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17.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drawings/drawing18.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drawings/drawing1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drawings/drawing20.xml" ContentType="application/vnd.openxmlformats-officedocument.drawing+xml"/>
  <Override PartName="/xl/comments7.xml" ContentType="application/vnd.openxmlformats-officedocument.spreadsheetml.comments+xml"/>
  <Override PartName="/xl/charts/chart5.xml" ContentType="application/vnd.openxmlformats-officedocument.drawingml.chart+xml"/>
  <Override PartName="/xl/drawings/drawing21.xml" ContentType="application/vnd.openxmlformats-officedocument.drawing+xml"/>
  <Override PartName="/xl/comments8.xml" ContentType="application/vnd.openxmlformats-officedocument.spreadsheetml.comments+xml"/>
  <Override PartName="/xl/charts/chart6.xml" ContentType="application/vnd.openxmlformats-officedocument.drawingml.chart+xml"/>
  <Override PartName="/xl/drawings/drawing22.xml" ContentType="application/vnd.openxmlformats-officedocument.drawing+xml"/>
  <Override PartName="/xl/comments9.xml" ContentType="application/vnd.openxmlformats-officedocument.spreadsheetml.comments+xml"/>
  <Override PartName="/xl/charts/chart7.xml" ContentType="application/vnd.openxmlformats-officedocument.drawingml.chart+xml"/>
  <Override PartName="/xl/drawings/drawing23.xml" ContentType="application/vnd.openxmlformats-officedocument.drawing+xml"/>
  <Override PartName="/xl/comments10.xml" ContentType="application/vnd.openxmlformats-officedocument.spreadsheetml.comments+xml"/>
  <Override PartName="/xl/charts/chart8.xml" ContentType="application/vnd.openxmlformats-officedocument.drawingml.chart+xml"/>
  <Override PartName="/xl/drawings/drawing24.xml" ContentType="application/vnd.openxmlformats-officedocument.drawing+xml"/>
  <Override PartName="/xl/comments11.xml" ContentType="application/vnd.openxmlformats-officedocument.spreadsheetml.comments+xml"/>
  <Override PartName="/xl/charts/chart9.xml" ContentType="application/vnd.openxmlformats-officedocument.drawingml.chart+xml"/>
  <Override PartName="/xl/drawings/drawing25.xml" ContentType="application/vnd.openxmlformats-officedocument.drawing+xml"/>
  <Override PartName="/xl/comments12.xml" ContentType="application/vnd.openxmlformats-officedocument.spreadsheetml.comments+xml"/>
  <Override PartName="/xl/charts/chart10.xml" ContentType="application/vnd.openxmlformats-officedocument.drawingml.chart+xml"/>
  <Override PartName="/xl/drawings/drawing26.xml" ContentType="application/vnd.openxmlformats-officedocument.drawing+xml"/>
  <Override PartName="/xl/comments13.xml" ContentType="application/vnd.openxmlformats-officedocument.spreadsheetml.comments+xml"/>
  <Override PartName="/xl/charts/chart11.xml" ContentType="application/vnd.openxmlformats-officedocument.drawingml.chart+xml"/>
  <Override PartName="/xl/drawings/drawing27.xml" ContentType="application/vnd.openxmlformats-officedocument.drawing+xml"/>
  <Override PartName="/xl/comments14.xml" ContentType="application/vnd.openxmlformats-officedocument.spreadsheetml.comments+xml"/>
  <Override PartName="/xl/charts/chart12.xml" ContentType="application/vnd.openxmlformats-officedocument.drawingml.chart+xml"/>
  <Override PartName="/xl/drawings/drawing28.xml" ContentType="application/vnd.openxmlformats-officedocument.drawing+xml"/>
  <Override PartName="/xl/comments15.xml" ContentType="application/vnd.openxmlformats-officedocument.spreadsheetml.comments+xml"/>
  <Override PartName="/xl/charts/chart13.xml" ContentType="application/vnd.openxmlformats-officedocument.drawingml.chart+xml"/>
  <Override PartName="/xl/drawings/drawing29.xml" ContentType="application/vnd.openxmlformats-officedocument.drawing+xml"/>
  <Override PartName="/xl/comments16.xml" ContentType="application/vnd.openxmlformats-officedocument.spreadsheetml.comments+xml"/>
  <Override PartName="/xl/charts/chart14.xml" ContentType="application/vnd.openxmlformats-officedocument.drawingml.chart+xml"/>
  <Override PartName="/xl/drawings/drawing30.xml" ContentType="application/vnd.openxmlformats-officedocument.drawing+xml"/>
  <Override PartName="/xl/comments17.xml" ContentType="application/vnd.openxmlformats-officedocument.spreadsheetml.comments+xml"/>
  <Override PartName="/xl/charts/chart15.xml" ContentType="application/vnd.openxmlformats-officedocument.drawingml.chart+xml"/>
  <Override PartName="/xl/drawings/drawing31.xml" ContentType="application/vnd.openxmlformats-officedocument.drawing+xml"/>
  <Override PartName="/xl/comments18.xml" ContentType="application/vnd.openxmlformats-officedocument.spreadsheetml.comments+xml"/>
  <Override PartName="/xl/charts/chart16.xml" ContentType="application/vnd.openxmlformats-officedocument.drawingml.chart+xml"/>
  <Override PartName="/xl/drawings/drawing32.xml" ContentType="application/vnd.openxmlformats-officedocument.drawing+xml"/>
  <Override PartName="/xl/comments19.xml" ContentType="application/vnd.openxmlformats-officedocument.spreadsheetml.comments+xml"/>
  <Override PartName="/xl/charts/chart17.xml" ContentType="application/vnd.openxmlformats-officedocument.drawingml.chart+xml"/>
  <Override PartName="/xl/drawings/drawing33.xml" ContentType="application/vnd.openxmlformats-officedocument.drawing+xml"/>
  <Override PartName="/xl/comments20.xml" ContentType="application/vnd.openxmlformats-officedocument.spreadsheetml.comments+xml"/>
  <Override PartName="/xl/charts/chart18.xml" ContentType="application/vnd.openxmlformats-officedocument.drawingml.chart+xml"/>
  <Override PartName="/xl/drawings/drawing34.xml" ContentType="application/vnd.openxmlformats-officedocument.drawing+xml"/>
  <Override PartName="/xl/comments21.xml" ContentType="application/vnd.openxmlformats-officedocument.spreadsheetml.comments+xml"/>
  <Override PartName="/xl/charts/chart19.xml" ContentType="application/vnd.openxmlformats-officedocument.drawingml.chart+xml"/>
  <Override PartName="/xl/drawings/drawing35.xml" ContentType="application/vnd.openxmlformats-officedocument.drawing+xml"/>
  <Override PartName="/xl/comments22.xml" ContentType="application/vnd.openxmlformats-officedocument.spreadsheetml.comments+xml"/>
  <Override PartName="/xl/charts/chart20.xml" ContentType="application/vnd.openxmlformats-officedocument.drawingml.chart+xml"/>
  <Override PartName="/xl/drawings/drawing36.xml" ContentType="application/vnd.openxmlformats-officedocument.drawing+xml"/>
  <Override PartName="/xl/comments23.xml" ContentType="application/vnd.openxmlformats-officedocument.spreadsheetml.comments+xml"/>
  <Override PartName="/xl/charts/chart21.xml" ContentType="application/vnd.openxmlformats-officedocument.drawingml.chart+xml"/>
  <Override PartName="/xl/drawings/drawing37.xml" ContentType="application/vnd.openxmlformats-officedocument.drawing+xml"/>
  <Override PartName="/xl/comments24.xml" ContentType="application/vnd.openxmlformats-officedocument.spreadsheetml.comments+xml"/>
  <Override PartName="/xl/charts/chart22.xml" ContentType="application/vnd.openxmlformats-officedocument.drawingml.chart+xml"/>
  <Override PartName="/xl/drawings/drawing38.xml" ContentType="application/vnd.openxmlformats-officedocument.drawing+xml"/>
  <Override PartName="/xl/comments25.xml" ContentType="application/vnd.openxmlformats-officedocument.spreadsheetml.comments+xml"/>
  <Override PartName="/xl/charts/chart23.xml" ContentType="application/vnd.openxmlformats-officedocument.drawingml.chart+xml"/>
  <Override PartName="/xl/drawings/drawing39.xml" ContentType="application/vnd.openxmlformats-officedocument.drawing+xml"/>
  <Override PartName="/xl/comments26.xml" ContentType="application/vnd.openxmlformats-officedocument.spreadsheetml.comments+xml"/>
  <Override PartName="/xl/charts/chart24.xml" ContentType="application/vnd.openxmlformats-officedocument.drawingml.chart+xml"/>
  <Override PartName="/xl/drawings/drawing40.xml" ContentType="application/vnd.openxmlformats-officedocument.drawing+xml"/>
  <Override PartName="/xl/comments27.xml" ContentType="application/vnd.openxmlformats-officedocument.spreadsheetml.comments+xml"/>
  <Override PartName="/xl/charts/chart25.xml" ContentType="application/vnd.openxmlformats-officedocument.drawingml.chart+xml"/>
  <Override PartName="/xl/drawings/drawing41.xml" ContentType="application/vnd.openxmlformats-officedocument.drawing+xml"/>
  <Override PartName="/xl/comments28.xml" ContentType="application/vnd.openxmlformats-officedocument.spreadsheetml.comments+xml"/>
  <Override PartName="/xl/charts/chart26.xml" ContentType="application/vnd.openxmlformats-officedocument.drawingml.chart+xml"/>
  <Override PartName="/xl/drawings/drawing42.xml" ContentType="application/vnd.openxmlformats-officedocument.drawing+xml"/>
  <Override PartName="/xl/comments29.xml" ContentType="application/vnd.openxmlformats-officedocument.spreadsheetml.comments+xml"/>
  <Override PartName="/xl/charts/chart27.xml" ContentType="application/vnd.openxmlformats-officedocument.drawingml.chart+xml"/>
  <Override PartName="/xl/drawings/drawing43.xml" ContentType="application/vnd.openxmlformats-officedocument.drawing+xml"/>
  <Override PartName="/xl/comments30.xml" ContentType="application/vnd.openxmlformats-officedocument.spreadsheetml.comments+xml"/>
  <Override PartName="/xl/charts/chart28.xml" ContentType="application/vnd.openxmlformats-officedocument.drawingml.chart+xml"/>
  <Override PartName="/xl/drawings/drawing44.xml" ContentType="application/vnd.openxmlformats-officedocument.drawing+xml"/>
  <Override PartName="/xl/comments31.xml" ContentType="application/vnd.openxmlformats-officedocument.spreadsheetml.comments+xml"/>
  <Override PartName="/xl/charts/chart29.xml" ContentType="application/vnd.openxmlformats-officedocument.drawingml.chart+xml"/>
  <Override PartName="/xl/drawings/drawing45.xml" ContentType="application/vnd.openxmlformats-officedocument.drawing+xml"/>
  <Override PartName="/xl/comments32.xml" ContentType="application/vnd.openxmlformats-officedocument.spreadsheetml.comments+xml"/>
  <Override PartName="/xl/charts/chart30.xml" ContentType="application/vnd.openxmlformats-officedocument.drawingml.chart+xml"/>
  <Override PartName="/xl/drawings/drawing46.xml" ContentType="application/vnd.openxmlformats-officedocument.drawing+xml"/>
  <Override PartName="/xl/comments33.xml" ContentType="application/vnd.openxmlformats-officedocument.spreadsheetml.comments+xml"/>
  <Override PartName="/xl/charts/chart31.xml" ContentType="application/vnd.openxmlformats-officedocument.drawingml.chart+xml"/>
  <Override PartName="/xl/drawings/drawing47.xml" ContentType="application/vnd.openxmlformats-officedocument.drawing+xml"/>
  <Override PartName="/xl/comments34.xml" ContentType="application/vnd.openxmlformats-officedocument.spreadsheetml.comments+xml"/>
  <Override PartName="/xl/charts/chart32.xml" ContentType="application/vnd.openxmlformats-officedocument.drawingml.chart+xml"/>
  <Override PartName="/xl/drawings/drawing48.xml" ContentType="application/vnd.openxmlformats-officedocument.drawing+xml"/>
  <Override PartName="/xl/comments35.xml" ContentType="application/vnd.openxmlformats-officedocument.spreadsheetml.comments+xml"/>
  <Override PartName="/xl/charts/chart33.xml" ContentType="application/vnd.openxmlformats-officedocument.drawingml.chart+xml"/>
  <Override PartName="/xl/drawings/drawing49.xml" ContentType="application/vnd.openxmlformats-officedocument.drawing+xml"/>
  <Override PartName="/xl/comments36.xml" ContentType="application/vnd.openxmlformats-officedocument.spreadsheetml.comments+xml"/>
  <Override PartName="/xl/charts/chart34.xml" ContentType="application/vnd.openxmlformats-officedocument.drawingml.chart+xml"/>
  <Override PartName="/xl/drawings/drawing50.xml" ContentType="application/vnd.openxmlformats-officedocument.drawing+xml"/>
  <Override PartName="/xl/comments37.xml" ContentType="application/vnd.openxmlformats-officedocument.spreadsheetml.comments+xml"/>
  <Override PartName="/xl/charts/chart35.xml" ContentType="application/vnd.openxmlformats-officedocument.drawingml.chart+xml"/>
  <Override PartName="/xl/drawings/drawing51.xml" ContentType="application/vnd.openxmlformats-officedocument.drawing+xml"/>
  <Override PartName="/xl/comments38.xml" ContentType="application/vnd.openxmlformats-officedocument.spreadsheetml.comments+xml"/>
  <Override PartName="/xl/charts/chart36.xml" ContentType="application/vnd.openxmlformats-officedocument.drawingml.chart+xml"/>
  <Override PartName="/xl/drawings/drawing52.xml" ContentType="application/vnd.openxmlformats-officedocument.drawing+xml"/>
  <Override PartName="/xl/comments39.xml" ContentType="application/vnd.openxmlformats-officedocument.spreadsheetml.comments+xml"/>
  <Override PartName="/xl/charts/chart37.xml" ContentType="application/vnd.openxmlformats-officedocument.drawingml.chart+xml"/>
  <Override PartName="/xl/drawings/drawing53.xml" ContentType="application/vnd.openxmlformats-officedocument.drawing+xml"/>
  <Override PartName="/xl/comments40.xml" ContentType="application/vnd.openxmlformats-officedocument.spreadsheetml.comments+xml"/>
  <Override PartName="/xl/charts/chart38.xml" ContentType="application/vnd.openxmlformats-officedocument.drawingml.chart+xml"/>
  <Override PartName="/xl/drawings/drawing54.xml" ContentType="application/vnd.openxmlformats-officedocument.drawing+xml"/>
  <Override PartName="/xl/comments41.xml" ContentType="application/vnd.openxmlformats-officedocument.spreadsheetml.comments+xml"/>
  <Override PartName="/xl/charts/chart39.xml" ContentType="application/vnd.openxmlformats-officedocument.drawingml.chart+xml"/>
  <Override PartName="/xl/drawings/drawing55.xml" ContentType="application/vnd.openxmlformats-officedocument.drawing+xml"/>
  <Override PartName="/xl/comments42.xml" ContentType="application/vnd.openxmlformats-officedocument.spreadsheetml.comments+xml"/>
  <Override PartName="/xl/charts/chart40.xml" ContentType="application/vnd.openxmlformats-officedocument.drawingml.chart+xml"/>
  <Override PartName="/xl/drawings/drawing56.xml" ContentType="application/vnd.openxmlformats-officedocument.drawing+xml"/>
  <Override PartName="/xl/comments43.xml" ContentType="application/vnd.openxmlformats-officedocument.spreadsheetml.comments+xml"/>
  <Override PartName="/xl/charts/chart41.xml" ContentType="application/vnd.openxmlformats-officedocument.drawingml.chart+xml"/>
  <Override PartName="/xl/drawings/drawing57.xml" ContentType="application/vnd.openxmlformats-officedocument.drawing+xml"/>
  <Override PartName="/xl/comments44.xml" ContentType="application/vnd.openxmlformats-officedocument.spreadsheetml.comments+xml"/>
  <Override PartName="/xl/charts/chart42.xml" ContentType="application/vnd.openxmlformats-officedocument.drawingml.chart+xml"/>
  <Override PartName="/xl/drawings/drawing58.xml" ContentType="application/vnd.openxmlformats-officedocument.drawing+xml"/>
  <Override PartName="/xl/comments45.xml" ContentType="application/vnd.openxmlformats-officedocument.spreadsheetml.comments+xml"/>
  <Override PartName="/xl/charts/chart43.xml" ContentType="application/vnd.openxmlformats-officedocument.drawingml.chart+xml"/>
  <Override PartName="/xl/drawings/drawing59.xml" ContentType="application/vnd.openxmlformats-officedocument.drawing+xml"/>
  <Override PartName="/xl/comments46.xml" ContentType="application/vnd.openxmlformats-officedocument.spreadsheetml.comments+xml"/>
  <Override PartName="/xl/charts/chart44.xml" ContentType="application/vnd.openxmlformats-officedocument.drawingml.chart+xml"/>
  <Override PartName="/xl/drawings/drawing60.xml" ContentType="application/vnd.openxmlformats-officedocument.drawing+xml"/>
  <Override PartName="/xl/comments47.xml" ContentType="application/vnd.openxmlformats-officedocument.spreadsheetml.comments+xml"/>
  <Override PartName="/xl/charts/chart45.xml" ContentType="application/vnd.openxmlformats-officedocument.drawingml.chart+xml"/>
  <Override PartName="/xl/drawings/drawing61.xml" ContentType="application/vnd.openxmlformats-officedocument.drawing+xml"/>
  <Override PartName="/xl/comments48.xml" ContentType="application/vnd.openxmlformats-officedocument.spreadsheetml.comments+xml"/>
  <Override PartName="/xl/charts/chart46.xml" ContentType="application/vnd.openxmlformats-officedocument.drawingml.chart+xml"/>
  <Override PartName="/xl/drawings/drawing62.xml" ContentType="application/vnd.openxmlformats-officedocument.drawing+xml"/>
  <Override PartName="/xl/comments49.xml" ContentType="application/vnd.openxmlformats-officedocument.spreadsheetml.comments+xml"/>
  <Override PartName="/xl/charts/chart47.xml" ContentType="application/vnd.openxmlformats-officedocument.drawingml.chart+xml"/>
  <Override PartName="/xl/drawings/drawing63.xml" ContentType="application/vnd.openxmlformats-officedocument.drawing+xml"/>
  <Override PartName="/xl/comments50.xml" ContentType="application/vnd.openxmlformats-officedocument.spreadsheetml.comments+xml"/>
  <Override PartName="/xl/charts/chart48.xml" ContentType="application/vnd.openxmlformats-officedocument.drawingml.chart+xml"/>
  <Override PartName="/xl/drawings/drawing64.xml" ContentType="application/vnd.openxmlformats-officedocument.drawing+xml"/>
  <Override PartName="/xl/comments51.xml" ContentType="application/vnd.openxmlformats-officedocument.spreadsheetml.comments+xml"/>
  <Override PartName="/xl/charts/chart49.xml" ContentType="application/vnd.openxmlformats-officedocument.drawingml.chart+xml"/>
  <Override PartName="/xl/drawings/drawing65.xml" ContentType="application/vnd.openxmlformats-officedocument.drawing+xml"/>
  <Override PartName="/xl/comments52.xml" ContentType="application/vnd.openxmlformats-officedocument.spreadsheetml.comments+xml"/>
  <Override PartName="/xl/charts/chart50.xml" ContentType="application/vnd.openxmlformats-officedocument.drawingml.chart+xml"/>
  <Override PartName="/xl/drawings/drawing66.xml" ContentType="application/vnd.openxmlformats-officedocument.drawing+xml"/>
  <Override PartName="/xl/comments53.xml" ContentType="application/vnd.openxmlformats-officedocument.spreadsheetml.comments+xml"/>
  <Override PartName="/xl/charts/chart51.xml" ContentType="application/vnd.openxmlformats-officedocument.drawingml.chart+xml"/>
  <Override PartName="/xl/drawings/drawing67.xml" ContentType="application/vnd.openxmlformats-officedocument.drawing+xml"/>
  <Override PartName="/xl/comments54.xml" ContentType="application/vnd.openxmlformats-officedocument.spreadsheetml.comments+xml"/>
  <Override PartName="/xl/charts/chart52.xml" ContentType="application/vnd.openxmlformats-officedocument.drawingml.chart+xml"/>
  <Override PartName="/xl/drawings/drawing68.xml" ContentType="application/vnd.openxmlformats-officedocument.drawing+xml"/>
  <Override PartName="/xl/comments55.xml" ContentType="application/vnd.openxmlformats-officedocument.spreadsheetml.comments+xml"/>
  <Override PartName="/xl/charts/chart53.xml" ContentType="application/vnd.openxmlformats-officedocument.drawingml.chart+xml"/>
  <Override PartName="/xl/drawings/drawing69.xml" ContentType="application/vnd.openxmlformats-officedocument.drawing+xml"/>
  <Override PartName="/xl/comments56.xml" ContentType="application/vnd.openxmlformats-officedocument.spreadsheetml.comments+xml"/>
  <Override PartName="/xl/charts/chart54.xml" ContentType="application/vnd.openxmlformats-officedocument.drawingml.chart+xml"/>
  <Override PartName="/xl/drawings/drawing70.xml" ContentType="application/vnd.openxmlformats-officedocument.drawing+xml"/>
  <Override PartName="/xl/comments57.xml" ContentType="application/vnd.openxmlformats-officedocument.spreadsheetml.comments+xml"/>
  <Override PartName="/xl/charts/chart55.xml" ContentType="application/vnd.openxmlformats-officedocument.drawingml.chart+xml"/>
  <Override PartName="/xl/drawings/drawing71.xml" ContentType="application/vnd.openxmlformats-officedocument.drawing+xml"/>
  <Override PartName="/xl/comments58.xml" ContentType="application/vnd.openxmlformats-officedocument.spreadsheetml.comments+xml"/>
  <Override PartName="/xl/charts/chart56.xml" ContentType="application/vnd.openxmlformats-officedocument.drawingml.chart+xml"/>
  <Override PartName="/xl/drawings/drawing72.xml" ContentType="application/vnd.openxmlformats-officedocument.drawing+xml"/>
  <Override PartName="/xl/comments59.xml" ContentType="application/vnd.openxmlformats-officedocument.spreadsheetml.comments+xml"/>
  <Override PartName="/xl/charts/chart57.xml" ContentType="application/vnd.openxmlformats-officedocument.drawingml.chart+xml"/>
  <Override PartName="/xl/drawings/drawing73.xml" ContentType="application/vnd.openxmlformats-officedocument.drawing+xml"/>
  <Override PartName="/xl/comments60.xml" ContentType="application/vnd.openxmlformats-officedocument.spreadsheetml.comments+xml"/>
  <Override PartName="/xl/charts/chart58.xml" ContentType="application/vnd.openxmlformats-officedocument.drawingml.chart+xml"/>
  <Override PartName="/xl/drawings/drawing74.xml" ContentType="application/vnd.openxmlformats-officedocument.drawing+xml"/>
  <Override PartName="/xl/comments61.xml" ContentType="application/vnd.openxmlformats-officedocument.spreadsheetml.comments+xml"/>
  <Override PartName="/xl/charts/chart59.xml" ContentType="application/vnd.openxmlformats-officedocument.drawingml.chart+xml"/>
  <Override PartName="/xl/drawings/drawing75.xml" ContentType="application/vnd.openxmlformats-officedocument.drawing+xml"/>
  <Override PartName="/xl/comments62.xml" ContentType="application/vnd.openxmlformats-officedocument.spreadsheetml.comments+xml"/>
  <Override PartName="/xl/charts/chart60.xml" ContentType="application/vnd.openxmlformats-officedocument.drawingml.chart+xml"/>
  <Override PartName="/xl/drawings/drawing76.xml" ContentType="application/vnd.openxmlformats-officedocument.drawing+xml"/>
  <Override PartName="/xl/comments63.xml" ContentType="application/vnd.openxmlformats-officedocument.spreadsheetml.comments+xml"/>
  <Override PartName="/xl/charts/chart61.xml" ContentType="application/vnd.openxmlformats-officedocument.drawingml.chart+xml"/>
  <Override PartName="/xl/drawings/drawing77.xml" ContentType="application/vnd.openxmlformats-officedocument.drawing+xml"/>
  <Override PartName="/xl/comments64.xml" ContentType="application/vnd.openxmlformats-officedocument.spreadsheetml.comments+xml"/>
  <Override PartName="/xl/charts/chart62.xml" ContentType="application/vnd.openxmlformats-officedocument.drawingml.chart+xml"/>
  <Override PartName="/xl/drawings/drawing78.xml" ContentType="application/vnd.openxmlformats-officedocument.drawing+xml"/>
  <Override PartName="/xl/comments65.xml" ContentType="application/vnd.openxmlformats-officedocument.spreadsheetml.comments+xml"/>
  <Override PartName="/xl/charts/chart63.xml" ContentType="application/vnd.openxmlformats-officedocument.drawingml.chart+xml"/>
  <Override PartName="/xl/drawings/drawing79.xml" ContentType="application/vnd.openxmlformats-officedocument.drawing+xml"/>
  <Override PartName="/xl/comments66.xml" ContentType="application/vnd.openxmlformats-officedocument.spreadsheetml.comments+xml"/>
  <Override PartName="/xl/charts/chart64.xml" ContentType="application/vnd.openxmlformats-officedocument.drawingml.chart+xml"/>
  <Override PartName="/xl/drawings/drawing80.xml" ContentType="application/vnd.openxmlformats-officedocument.drawing+xml"/>
  <Override PartName="/xl/comments67.xml" ContentType="application/vnd.openxmlformats-officedocument.spreadsheetml.comments+xml"/>
  <Override PartName="/xl/charts/chart65.xml" ContentType="application/vnd.openxmlformats-officedocument.drawingml.chart+xml"/>
  <Override PartName="/xl/drawings/drawing81.xml" ContentType="application/vnd.openxmlformats-officedocument.drawing+xml"/>
  <Override PartName="/xl/comments68.xml" ContentType="application/vnd.openxmlformats-officedocument.spreadsheetml.comments+xml"/>
  <Override PartName="/xl/charts/chart66.xml" ContentType="application/vnd.openxmlformats-officedocument.drawingml.chart+xml"/>
  <Override PartName="/xl/drawings/drawing82.xml" ContentType="application/vnd.openxmlformats-officedocument.drawing+xml"/>
  <Override PartName="/xl/comments69.xml" ContentType="application/vnd.openxmlformats-officedocument.spreadsheetml.comments+xml"/>
  <Override PartName="/xl/charts/chart67.xml" ContentType="application/vnd.openxmlformats-officedocument.drawingml.chart+xml"/>
  <Override PartName="/xl/drawings/drawing83.xml" ContentType="application/vnd.openxmlformats-officedocument.drawing+xml"/>
  <Override PartName="/xl/comments70.xml" ContentType="application/vnd.openxmlformats-officedocument.spreadsheetml.comments+xml"/>
  <Override PartName="/xl/charts/chart68.xml" ContentType="application/vnd.openxmlformats-officedocument.drawingml.chart+xml"/>
  <Override PartName="/xl/drawings/drawing84.xml" ContentType="application/vnd.openxmlformats-officedocument.drawing+xml"/>
  <Override PartName="/xl/comments71.xml" ContentType="application/vnd.openxmlformats-officedocument.spreadsheetml.comments+xml"/>
  <Override PartName="/xl/charts/chart69.xml" ContentType="application/vnd.openxmlformats-officedocument.drawingml.chart+xml"/>
  <Override PartName="/xl/drawings/drawing85.xml" ContentType="application/vnd.openxmlformats-officedocument.drawing+xml"/>
  <Override PartName="/xl/comments72.xml" ContentType="application/vnd.openxmlformats-officedocument.spreadsheetml.comments+xml"/>
  <Override PartName="/xl/charts/chart70.xml" ContentType="application/vnd.openxmlformats-officedocument.drawingml.chart+xml"/>
  <Override PartName="/xl/drawings/drawing86.xml" ContentType="application/vnd.openxmlformats-officedocument.drawing+xml"/>
  <Override PartName="/xl/comments73.xml" ContentType="application/vnd.openxmlformats-officedocument.spreadsheetml.comments+xml"/>
  <Override PartName="/xl/charts/chart71.xml" ContentType="application/vnd.openxmlformats-officedocument.drawingml.chart+xml"/>
  <Override PartName="/xl/drawings/drawing87.xml" ContentType="application/vnd.openxmlformats-officedocument.drawing+xml"/>
  <Override PartName="/xl/comments74.xml" ContentType="application/vnd.openxmlformats-officedocument.spreadsheetml.comments+xml"/>
  <Override PartName="/xl/charts/chart72.xml" ContentType="application/vnd.openxmlformats-officedocument.drawingml.chart+xml"/>
  <Override PartName="/xl/drawings/drawing88.xml" ContentType="application/vnd.openxmlformats-officedocument.drawing+xml"/>
  <Override PartName="/xl/comments75.xml" ContentType="application/vnd.openxmlformats-officedocument.spreadsheetml.comments+xml"/>
  <Override PartName="/xl/charts/chart73.xml" ContentType="application/vnd.openxmlformats-officedocument.drawingml.chart+xml"/>
  <Override PartName="/xl/drawings/drawing89.xml" ContentType="application/vnd.openxmlformats-officedocument.drawing+xml"/>
  <Override PartName="/xl/comments76.xml" ContentType="application/vnd.openxmlformats-officedocument.spreadsheetml.comments+xml"/>
  <Override PartName="/xl/charts/chart74.xml" ContentType="application/vnd.openxmlformats-officedocument.drawingml.chart+xml"/>
  <Override PartName="/xl/drawings/drawing90.xml" ContentType="application/vnd.openxmlformats-officedocument.drawing+xml"/>
  <Override PartName="/xl/comments77.xml" ContentType="application/vnd.openxmlformats-officedocument.spreadsheetml.comments+xml"/>
  <Override PartName="/xl/charts/chart75.xml" ContentType="application/vnd.openxmlformats-officedocument.drawingml.chart+xml"/>
  <Override PartName="/xl/drawings/drawing91.xml" ContentType="application/vnd.openxmlformats-officedocument.drawing+xml"/>
  <Override PartName="/xl/comments78.xml" ContentType="application/vnd.openxmlformats-officedocument.spreadsheetml.comments+xml"/>
  <Override PartName="/xl/charts/chart76.xml" ContentType="application/vnd.openxmlformats-officedocument.drawingml.chart+xml"/>
  <Override PartName="/xl/drawings/drawing92.xml" ContentType="application/vnd.openxmlformats-officedocument.drawing+xml"/>
  <Override PartName="/xl/comments79.xml" ContentType="application/vnd.openxmlformats-officedocument.spreadsheetml.comments+xml"/>
  <Override PartName="/xl/charts/chart77.xml" ContentType="application/vnd.openxmlformats-officedocument.drawingml.chart+xml"/>
  <Override PartName="/xl/drawings/drawing93.xml" ContentType="application/vnd.openxmlformats-officedocument.drawing+xml"/>
  <Override PartName="/xl/comments80.xml" ContentType="application/vnd.openxmlformats-officedocument.spreadsheetml.comments+xml"/>
  <Override PartName="/xl/charts/chart78.xml" ContentType="application/vnd.openxmlformats-officedocument.drawingml.chart+xml"/>
  <Override PartName="/xl/drawings/drawing94.xml" ContentType="application/vnd.openxmlformats-officedocument.drawing+xml"/>
  <Override PartName="/xl/comments81.xml" ContentType="application/vnd.openxmlformats-officedocument.spreadsheetml.comments+xml"/>
  <Override PartName="/xl/charts/chart79.xml" ContentType="application/vnd.openxmlformats-officedocument.drawingml.chart+xml"/>
  <Override PartName="/xl/drawings/drawing95.xml" ContentType="application/vnd.openxmlformats-officedocument.drawing+xml"/>
  <Override PartName="/xl/comments82.xml" ContentType="application/vnd.openxmlformats-officedocument.spreadsheetml.comments+xml"/>
  <Override PartName="/xl/charts/chart80.xml" ContentType="application/vnd.openxmlformats-officedocument.drawingml.chart+xml"/>
  <Override PartName="/xl/drawings/drawing96.xml" ContentType="application/vnd.openxmlformats-officedocument.drawing+xml"/>
  <Override PartName="/xl/comments83.xml" ContentType="application/vnd.openxmlformats-officedocument.spreadsheetml.comments+xml"/>
  <Override PartName="/xl/charts/chart81.xml" ContentType="application/vnd.openxmlformats-officedocument.drawingml.chart+xml"/>
  <Override PartName="/xl/drawings/drawing97.xml" ContentType="application/vnd.openxmlformats-officedocument.drawing+xml"/>
  <Override PartName="/xl/comments84.xml" ContentType="application/vnd.openxmlformats-officedocument.spreadsheetml.comments+xml"/>
  <Override PartName="/xl/charts/chart82.xml" ContentType="application/vnd.openxmlformats-officedocument.drawingml.chart+xml"/>
  <Override PartName="/xl/drawings/drawing98.xml" ContentType="application/vnd.openxmlformats-officedocument.drawing+xml"/>
  <Override PartName="/xl/comments85.xml" ContentType="application/vnd.openxmlformats-officedocument.spreadsheetml.comments+xml"/>
  <Override PartName="/xl/charts/chart83.xml" ContentType="application/vnd.openxmlformats-officedocument.drawingml.chart+xml"/>
  <Override PartName="/xl/drawings/drawing99.xml" ContentType="application/vnd.openxmlformats-officedocument.drawing+xml"/>
  <Override PartName="/xl/comments86.xml" ContentType="application/vnd.openxmlformats-officedocument.spreadsheetml.comments+xml"/>
  <Override PartName="/xl/charts/chart84.xml" ContentType="application/vnd.openxmlformats-officedocument.drawingml.chart+xml"/>
  <Override PartName="/xl/drawings/drawing100.xml" ContentType="application/vnd.openxmlformats-officedocument.drawing+xml"/>
  <Override PartName="/xl/comments87.xml" ContentType="application/vnd.openxmlformats-officedocument.spreadsheetml.comments+xml"/>
  <Override PartName="/xl/charts/chart85.xml" ContentType="application/vnd.openxmlformats-officedocument.drawingml.chart+xml"/>
  <Override PartName="/xl/drawings/drawing101.xml" ContentType="application/vnd.openxmlformats-officedocument.drawing+xml"/>
  <Override PartName="/xl/comments88.xml" ContentType="application/vnd.openxmlformats-officedocument.spreadsheetml.comments+xml"/>
  <Override PartName="/xl/charts/chart86.xml" ContentType="application/vnd.openxmlformats-officedocument.drawingml.chart+xml"/>
  <Override PartName="/xl/drawings/drawing102.xml" ContentType="application/vnd.openxmlformats-officedocument.drawing+xml"/>
  <Override PartName="/xl/comments89.xml" ContentType="application/vnd.openxmlformats-officedocument.spreadsheetml.comments+xml"/>
  <Override PartName="/xl/charts/chart87.xml" ContentType="application/vnd.openxmlformats-officedocument.drawingml.chart+xml"/>
  <Override PartName="/xl/drawings/drawing103.xml" ContentType="application/vnd.openxmlformats-officedocument.drawing+xml"/>
  <Override PartName="/xl/comments90.xml" ContentType="application/vnd.openxmlformats-officedocument.spreadsheetml.comments+xml"/>
  <Override PartName="/xl/charts/chart88.xml" ContentType="application/vnd.openxmlformats-officedocument.drawingml.chart+xml"/>
  <Override PartName="/xl/drawings/drawing104.xml" ContentType="application/vnd.openxmlformats-officedocument.drawing+xml"/>
  <Override PartName="/xl/comments91.xml" ContentType="application/vnd.openxmlformats-officedocument.spreadsheetml.comments+xml"/>
  <Override PartName="/xl/charts/chart89.xml" ContentType="application/vnd.openxmlformats-officedocument.drawingml.chart+xml"/>
  <Override PartName="/xl/drawings/drawing105.xml" ContentType="application/vnd.openxmlformats-officedocument.drawing+xml"/>
  <Override PartName="/xl/comments92.xml" ContentType="application/vnd.openxmlformats-officedocument.spreadsheetml.comments+xml"/>
  <Override PartName="/xl/charts/chart90.xml" ContentType="application/vnd.openxmlformats-officedocument.drawingml.chart+xml"/>
  <Override PartName="/xl/drawings/drawing106.xml" ContentType="application/vnd.openxmlformats-officedocument.drawing+xml"/>
  <Override PartName="/xl/comments93.xml" ContentType="application/vnd.openxmlformats-officedocument.spreadsheetml.comments+xml"/>
  <Override PartName="/xl/charts/chart91.xml" ContentType="application/vnd.openxmlformats-officedocument.drawingml.chart+xml"/>
  <Override PartName="/xl/drawings/drawing107.xml" ContentType="application/vnd.openxmlformats-officedocument.drawing+xml"/>
  <Override PartName="/xl/comments94.xml" ContentType="application/vnd.openxmlformats-officedocument.spreadsheetml.comments+xml"/>
  <Override PartName="/xl/charts/chart92.xml" ContentType="application/vnd.openxmlformats-officedocument.drawingml.chart+xml"/>
  <Override PartName="/xl/drawings/drawing108.xml" ContentType="application/vnd.openxmlformats-officedocument.drawing+xml"/>
  <Override PartName="/xl/comments95.xml" ContentType="application/vnd.openxmlformats-officedocument.spreadsheetml.comments+xml"/>
  <Override PartName="/xl/charts/chart93.xml" ContentType="application/vnd.openxmlformats-officedocument.drawingml.chart+xml"/>
  <Override PartName="/xl/drawings/drawing109.xml" ContentType="application/vnd.openxmlformats-officedocument.drawing+xml"/>
  <Override PartName="/xl/comments96.xml" ContentType="application/vnd.openxmlformats-officedocument.spreadsheetml.comments+xml"/>
  <Override PartName="/xl/charts/chart94.xml" ContentType="application/vnd.openxmlformats-officedocument.drawingml.chart+xml"/>
  <Override PartName="/xl/drawings/drawing110.xml" ContentType="application/vnd.openxmlformats-officedocument.drawing+xml"/>
  <Override PartName="/xl/comments97.xml" ContentType="application/vnd.openxmlformats-officedocument.spreadsheetml.comments+xml"/>
  <Override PartName="/xl/charts/chart95.xml" ContentType="application/vnd.openxmlformats-officedocument.drawingml.chart+xml"/>
  <Override PartName="/xl/drawings/drawing111.xml" ContentType="application/vnd.openxmlformats-officedocument.drawing+xml"/>
  <Override PartName="/xl/comments98.xml" ContentType="application/vnd.openxmlformats-officedocument.spreadsheetml.comments+xml"/>
  <Override PartName="/xl/charts/chart96.xml" ContentType="application/vnd.openxmlformats-officedocument.drawingml.chart+xml"/>
  <Override PartName="/xl/drawings/drawing112.xml" ContentType="application/vnd.openxmlformats-officedocument.drawing+xml"/>
  <Override PartName="/xl/comments99.xml" ContentType="application/vnd.openxmlformats-officedocument.spreadsheetml.comments+xml"/>
  <Override PartName="/xl/charts/chart97.xml" ContentType="application/vnd.openxmlformats-officedocument.drawingml.chart+xml"/>
  <Override PartName="/xl/drawings/drawing113.xml" ContentType="application/vnd.openxmlformats-officedocument.drawing+xml"/>
  <Override PartName="/xl/comments100.xml" ContentType="application/vnd.openxmlformats-officedocument.spreadsheetml.comments+xml"/>
  <Override PartName="/xl/charts/chart98.xml" ContentType="application/vnd.openxmlformats-officedocument.drawingml.chart+xml"/>
  <Override PartName="/xl/drawings/drawing114.xml" ContentType="application/vnd.openxmlformats-officedocument.drawing+xml"/>
  <Override PartName="/xl/comments101.xml" ContentType="application/vnd.openxmlformats-officedocument.spreadsheetml.comments+xml"/>
  <Override PartName="/xl/charts/chart99.xml" ContentType="application/vnd.openxmlformats-officedocument.drawingml.chart+xml"/>
  <Override PartName="/xl/drawings/drawing115.xml" ContentType="application/vnd.openxmlformats-officedocument.drawing+xml"/>
  <Override PartName="/xl/comments102.xml" ContentType="application/vnd.openxmlformats-officedocument.spreadsheetml.comments+xml"/>
  <Override PartName="/xl/charts/chart100.xml" ContentType="application/vnd.openxmlformats-officedocument.drawingml.chart+xml"/>
  <Override PartName="/xl/drawings/drawing116.xml" ContentType="application/vnd.openxmlformats-officedocument.drawing+xml"/>
  <Override PartName="/xl/comments103.xml" ContentType="application/vnd.openxmlformats-officedocument.spreadsheetml.comments+xml"/>
  <Override PartName="/xl/charts/chart101.xml" ContentType="application/vnd.openxmlformats-officedocument.drawingml.chart+xml"/>
  <Override PartName="/xl/drawings/drawing117.xml" ContentType="application/vnd.openxmlformats-officedocument.drawing+xml"/>
  <Override PartName="/xl/comments104.xml" ContentType="application/vnd.openxmlformats-officedocument.spreadsheetml.comments+xml"/>
  <Override PartName="/xl/charts/chart102.xml" ContentType="application/vnd.openxmlformats-officedocument.drawingml.chart+xml"/>
  <Override PartName="/xl/drawings/drawing118.xml" ContentType="application/vnd.openxmlformats-officedocument.drawing+xml"/>
  <Override PartName="/xl/comments105.xml" ContentType="application/vnd.openxmlformats-officedocument.spreadsheetml.comments+xml"/>
  <Override PartName="/xl/charts/chart103.xml" ContentType="application/vnd.openxmlformats-officedocument.drawingml.chart+xml"/>
  <Override PartName="/xl/drawings/drawing119.xml" ContentType="application/vnd.openxmlformats-officedocument.drawing+xml"/>
  <Override PartName="/xl/comments106.xml" ContentType="application/vnd.openxmlformats-officedocument.spreadsheetml.comments+xml"/>
  <Override PartName="/xl/charts/chart104.xml" ContentType="application/vnd.openxmlformats-officedocument.drawingml.chart+xml"/>
  <Override PartName="/xl/drawings/drawing120.xml" ContentType="application/vnd.openxmlformats-officedocument.drawing+xml"/>
  <Override PartName="/xl/comments107.xml" ContentType="application/vnd.openxmlformats-officedocument.spreadsheetml.comments+xml"/>
  <Override PartName="/xl/charts/chart105.xml" ContentType="application/vnd.openxmlformats-officedocument.drawingml.chart+xml"/>
  <Override PartName="/xl/drawings/drawing121.xml" ContentType="application/vnd.openxmlformats-officedocument.drawing+xml"/>
  <Override PartName="/xl/comments108.xml" ContentType="application/vnd.openxmlformats-officedocument.spreadsheetml.comments+xml"/>
  <Override PartName="/xl/charts/chart106.xml" ContentType="application/vnd.openxmlformats-officedocument.drawingml.chart+xml"/>
  <Override PartName="/xl/drawings/drawing122.xml" ContentType="application/vnd.openxmlformats-officedocument.drawing+xml"/>
  <Override PartName="/xl/comments109.xml" ContentType="application/vnd.openxmlformats-officedocument.spreadsheetml.comments+xml"/>
  <Override PartName="/xl/charts/chart107.xml" ContentType="application/vnd.openxmlformats-officedocument.drawingml.chart+xml"/>
  <Override PartName="/xl/drawings/drawing123.xml" ContentType="application/vnd.openxmlformats-officedocument.drawing+xml"/>
  <Override PartName="/xl/comments110.xml" ContentType="application/vnd.openxmlformats-officedocument.spreadsheetml.comments+xml"/>
  <Override PartName="/xl/charts/chart108.xml" ContentType="application/vnd.openxmlformats-officedocument.drawingml.chart+xml"/>
  <Override PartName="/xl/drawings/drawing124.xml" ContentType="application/vnd.openxmlformats-officedocument.drawing+xml"/>
  <Override PartName="/xl/comments111.xml" ContentType="application/vnd.openxmlformats-officedocument.spreadsheetml.comments+xml"/>
  <Override PartName="/xl/charts/chart109.xml" ContentType="application/vnd.openxmlformats-officedocument.drawingml.chart+xml"/>
  <Override PartName="/xl/drawings/drawing125.xml" ContentType="application/vnd.openxmlformats-officedocument.drawing+xml"/>
  <Override PartName="/xl/comments112.xml" ContentType="application/vnd.openxmlformats-officedocument.spreadsheetml.comments+xml"/>
  <Override PartName="/xl/charts/chart110.xml" ContentType="application/vnd.openxmlformats-officedocument.drawingml.chart+xml"/>
  <Override PartName="/xl/drawings/drawing126.xml" ContentType="application/vnd.openxmlformats-officedocument.drawing+xml"/>
  <Override PartName="/xl/comments113.xml" ContentType="application/vnd.openxmlformats-officedocument.spreadsheetml.comments+xml"/>
  <Override PartName="/xl/charts/chart111.xml" ContentType="application/vnd.openxmlformats-officedocument.drawingml.chart+xml"/>
  <Override PartName="/xl/drawings/drawing127.xml" ContentType="application/vnd.openxmlformats-officedocument.drawing+xml"/>
  <Override PartName="/xl/comments114.xml" ContentType="application/vnd.openxmlformats-officedocument.spreadsheetml.comments+xml"/>
  <Override PartName="/xl/charts/chart112.xml" ContentType="application/vnd.openxmlformats-officedocument.drawingml.chart+xml"/>
  <Override PartName="/xl/drawings/drawing128.xml" ContentType="application/vnd.openxmlformats-officedocument.drawing+xml"/>
  <Override PartName="/xl/comments115.xml" ContentType="application/vnd.openxmlformats-officedocument.spreadsheetml.comments+xml"/>
  <Override PartName="/xl/charts/chart113.xml" ContentType="application/vnd.openxmlformats-officedocument.drawingml.chart+xml"/>
  <Override PartName="/xl/drawings/drawing129.xml" ContentType="application/vnd.openxmlformats-officedocument.drawing+xml"/>
  <Override PartName="/xl/comments116.xml" ContentType="application/vnd.openxmlformats-officedocument.spreadsheetml.comments+xml"/>
  <Override PartName="/xl/charts/chart114.xml" ContentType="application/vnd.openxmlformats-officedocument.drawingml.chart+xml"/>
  <Override PartName="/xl/drawings/drawing130.xml" ContentType="application/vnd.openxmlformats-officedocument.drawing+xml"/>
  <Override PartName="/xl/comments117.xml" ContentType="application/vnd.openxmlformats-officedocument.spreadsheetml.comments+xml"/>
  <Override PartName="/xl/charts/chart115.xml" ContentType="application/vnd.openxmlformats-officedocument.drawingml.chart+xml"/>
  <Override PartName="/xl/drawings/drawing131.xml" ContentType="application/vnd.openxmlformats-officedocument.drawing+xml"/>
  <Override PartName="/xl/comments118.xml" ContentType="application/vnd.openxmlformats-officedocument.spreadsheetml.comments+xml"/>
  <Override PartName="/xl/charts/chart116.xml" ContentType="application/vnd.openxmlformats-officedocument.drawingml.chart+xml"/>
  <Override PartName="/xl/drawings/drawing132.xml" ContentType="application/vnd.openxmlformats-officedocument.drawing+xml"/>
  <Override PartName="/xl/comments119.xml" ContentType="application/vnd.openxmlformats-officedocument.spreadsheetml.comments+xml"/>
  <Override PartName="/xl/charts/chart117.xml" ContentType="application/vnd.openxmlformats-officedocument.drawingml.chart+xml"/>
  <Override PartName="/xl/drawings/drawing133.xml" ContentType="application/vnd.openxmlformats-officedocument.drawing+xml"/>
  <Override PartName="/xl/comments120.xml" ContentType="application/vnd.openxmlformats-officedocument.spreadsheetml.comments+xml"/>
  <Override PartName="/xl/charts/chart118.xml" ContentType="application/vnd.openxmlformats-officedocument.drawingml.chart+xml"/>
  <Override PartName="/xl/drawings/drawing134.xml" ContentType="application/vnd.openxmlformats-officedocument.drawing+xml"/>
  <Override PartName="/xl/comments121.xml" ContentType="application/vnd.openxmlformats-officedocument.spreadsheetml.comments+xml"/>
  <Override PartName="/xl/charts/chart119.xml" ContentType="application/vnd.openxmlformats-officedocument.drawingml.chart+xml"/>
  <Override PartName="/xl/drawings/drawing135.xml" ContentType="application/vnd.openxmlformats-officedocument.drawing+xml"/>
  <Override PartName="/xl/comments122.xml" ContentType="application/vnd.openxmlformats-officedocument.spreadsheetml.comments+xml"/>
  <Override PartName="/xl/charts/chart120.xml" ContentType="application/vnd.openxmlformats-officedocument.drawingml.chart+xml"/>
  <Override PartName="/xl/drawings/drawing136.xml" ContentType="application/vnd.openxmlformats-officedocument.drawing+xml"/>
  <Override PartName="/xl/comments123.xml" ContentType="application/vnd.openxmlformats-officedocument.spreadsheetml.comments+xml"/>
  <Override PartName="/xl/charts/chart121.xml" ContentType="application/vnd.openxmlformats-officedocument.drawingml.chart+xml"/>
  <Override PartName="/xl/drawings/drawing137.xml" ContentType="application/vnd.openxmlformats-officedocument.drawing+xml"/>
  <Override PartName="/xl/comments124.xml" ContentType="application/vnd.openxmlformats-officedocument.spreadsheetml.comments+xml"/>
  <Override PartName="/xl/charts/chart122.xml" ContentType="application/vnd.openxmlformats-officedocument.drawingml.chart+xml"/>
  <Override PartName="/xl/drawings/drawing138.xml" ContentType="application/vnd.openxmlformats-officedocument.drawing+xml"/>
  <Override PartName="/xl/comments125.xml" ContentType="application/vnd.openxmlformats-officedocument.spreadsheetml.comments+xml"/>
  <Override PartName="/xl/charts/chart123.xml" ContentType="application/vnd.openxmlformats-officedocument.drawingml.chart+xml"/>
  <Override PartName="/xl/drawings/drawing139.xml" ContentType="application/vnd.openxmlformats-officedocument.drawing+xml"/>
  <Override PartName="/xl/comments126.xml" ContentType="application/vnd.openxmlformats-officedocument.spreadsheetml.comments+xml"/>
  <Override PartName="/xl/charts/chart124.xml" ContentType="application/vnd.openxmlformats-officedocument.drawingml.chart+xml"/>
  <Override PartName="/xl/drawings/drawing140.xml" ContentType="application/vnd.openxmlformats-officedocument.drawing+xml"/>
  <Override PartName="/xl/comments127.xml" ContentType="application/vnd.openxmlformats-officedocument.spreadsheetml.comments+xml"/>
  <Override PartName="/xl/charts/chart125.xml" ContentType="application/vnd.openxmlformats-officedocument.drawingml.chart+xml"/>
  <Override PartName="/xl/drawings/drawing141.xml" ContentType="application/vnd.openxmlformats-officedocument.drawing+xml"/>
  <Override PartName="/xl/comments128.xml" ContentType="application/vnd.openxmlformats-officedocument.spreadsheetml.comments+xml"/>
  <Override PartName="/xl/charts/chart126.xml" ContentType="application/vnd.openxmlformats-officedocument.drawingml.chart+xml"/>
  <Override PartName="/xl/drawings/drawing142.xml" ContentType="application/vnd.openxmlformats-officedocument.drawing+xml"/>
  <Override PartName="/xl/comments129.xml" ContentType="application/vnd.openxmlformats-officedocument.spreadsheetml.comments+xml"/>
  <Override PartName="/xl/charts/chart127.xml" ContentType="application/vnd.openxmlformats-officedocument.drawingml.chart+xml"/>
  <Override PartName="/xl/drawings/drawing143.xml" ContentType="application/vnd.openxmlformats-officedocument.drawing+xml"/>
  <Override PartName="/xl/comments130.xml" ContentType="application/vnd.openxmlformats-officedocument.spreadsheetml.comments+xml"/>
  <Override PartName="/xl/charts/chart128.xml" ContentType="application/vnd.openxmlformats-officedocument.drawingml.chart+xml"/>
  <Override PartName="/xl/drawings/drawing144.xml" ContentType="application/vnd.openxmlformats-officedocument.drawing+xml"/>
  <Override PartName="/xl/comments131.xml" ContentType="application/vnd.openxmlformats-officedocument.spreadsheetml.comments+xml"/>
  <Override PartName="/xl/charts/chart1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defaultThemeVersion="166925"/>
  <mc:AlternateContent xmlns:mc="http://schemas.openxmlformats.org/markup-compatibility/2006">
    <mc:Choice Requires="x15">
      <x15ac:absPath xmlns:x15ac="http://schemas.microsoft.com/office/spreadsheetml/2010/11/ac" url="https://supersalud-my.sharepoint.com/personal/adriana_guerrero_supersalud_gov_co/Documents/2026/Temas/Publicaciones/Publicaciones/Febrero/"/>
    </mc:Choice>
  </mc:AlternateContent>
  <xr:revisionPtr revIDLastSave="2491" documentId="8_{B2C64518-5AF8-46BF-9DBA-3108CD411C55}" xr6:coauthVersionLast="47" xr6:coauthVersionMax="47" xr10:uidLastSave="{6EAABF46-3FB6-4A69-BC31-3B789006A3B7}"/>
  <bookViews>
    <workbookView xWindow="20370" yWindow="-120" windowWidth="29040" windowHeight="15720" tabRatio="531" firstSheet="3" activeTab="3" xr2:uid="{E1176277-3438-489E-91A9-CB4F401961A1}"/>
  </bookViews>
  <sheets>
    <sheet name="PLANTILLA" sheetId="11" state="hidden" r:id="rId1"/>
    <sheet name="SharePoint" sheetId="861" state="hidden" r:id="rId2"/>
    <sheet name="Reporte" sheetId="702" state="hidden" r:id="rId3"/>
    <sheet name="INDICADORES" sheetId="22" r:id="rId4"/>
    <sheet name="DIA" sheetId="664" r:id="rId5"/>
    <sheet name="DFJYC" sheetId="218" r:id="rId6"/>
    <sheet name="DEAS" sheetId="220" r:id="rId7"/>
    <sheet name="DETGRAT" sheetId="222" r:id="rId8"/>
    <sheet name="DPU" sheetId="223" r:id="rId9"/>
    <sheet name="DOLF" sheetId="308" r:id="rId10"/>
    <sheet name="DPSS" sheetId="221" r:id="rId11"/>
    <sheet name="DID" sheetId="224" r:id="rId12"/>
    <sheet name="DJ" sheetId="225" r:id="rId13"/>
    <sheet name="OAC" sheetId="226" r:id="rId14"/>
    <sheet name="OAP" sheetId="227" r:id="rId15"/>
    <sheet name="OCI" sheetId="228" r:id="rId16"/>
    <sheet name="SG" sheetId="231" r:id="rId17"/>
    <sheet name="OFL" sheetId="673" r:id="rId18"/>
    <sheet name="CT31" sheetId="665" r:id="rId19"/>
    <sheet name="CT32" sheetId="705" r:id="rId20"/>
    <sheet name="GF02-D" sheetId="706" r:id="rId21"/>
    <sheet name="CT25" sheetId="707" r:id="rId22"/>
    <sheet name="CT29" sheetId="859" state="hidden" r:id="rId23"/>
    <sheet name="JC01" sheetId="709" r:id="rId24"/>
    <sheet name="JC02" sheetId="710" r:id="rId25"/>
    <sheet name="JC03" sheetId="711" r:id="rId26"/>
    <sheet name="JC04" sheetId="712" r:id="rId27"/>
    <sheet name="JC05" sheetId="713" r:id="rId28"/>
    <sheet name="JC06" sheetId="714" r:id="rId29"/>
    <sheet name="JC07" sheetId="715" r:id="rId30"/>
    <sheet name="JC08" sheetId="716" r:id="rId31"/>
    <sheet name="TR06" sheetId="717" r:id="rId32"/>
    <sheet name="SE35" sheetId="718" r:id="rId33"/>
    <sheet name="AT12" sheetId="719" r:id="rId34"/>
    <sheet name="CT04" sheetId="720" r:id="rId35"/>
    <sheet name="CT28" sheetId="721" r:id="rId36"/>
    <sheet name="SE27" sheetId="722" r:id="rId37"/>
    <sheet name="SE47" sheetId="723" r:id="rId38"/>
    <sheet name="SE28" sheetId="724" r:id="rId39"/>
    <sheet name="CT21" sheetId="853" r:id="rId40"/>
    <sheet name="AT05" sheetId="725" r:id="rId41"/>
    <sheet name="AT11" sheetId="726" r:id="rId42"/>
    <sheet name="SE11" sheetId="727" r:id="rId43"/>
    <sheet name="DE09" sheetId="728" r:id="rId44"/>
    <sheet name="SE33" sheetId="729" r:id="rId45"/>
    <sheet name="SE34" sheetId="730" r:id="rId46"/>
    <sheet name="SE48" sheetId="731" r:id="rId47"/>
    <sheet name="SE49" sheetId="732" r:id="rId48"/>
    <sheet name="SE50" sheetId="733" r:id="rId49"/>
    <sheet name="SE31" sheetId="734" r:id="rId50"/>
    <sheet name="RL18" sheetId="735" r:id="rId51"/>
    <sheet name="RL10" sheetId="862" r:id="rId52"/>
    <sheet name="RL23" sheetId="737" r:id="rId53"/>
    <sheet name="AT04" sheetId="738" r:id="rId54"/>
    <sheet name="RL04" sheetId="739" r:id="rId55"/>
    <sheet name="RL03" sheetId="740" r:id="rId56"/>
    <sheet name="RL06" sheetId="741" r:id="rId57"/>
    <sheet name="RL24" sheetId="742" r:id="rId58"/>
    <sheet name="SE43" sheetId="743" r:id="rId59"/>
    <sheet name="SE42" sheetId="744" r:id="rId60"/>
    <sheet name="RL19" sheetId="854" r:id="rId61"/>
    <sheet name="RL20" sheetId="745" r:id="rId62"/>
    <sheet name="RL11" sheetId="746" r:id="rId63"/>
    <sheet name="SE22" sheetId="747" r:id="rId64"/>
    <sheet name="SE23" sheetId="748" r:id="rId65"/>
    <sheet name="AT09" sheetId="749" r:id="rId66"/>
    <sheet name="AT02" sheetId="750" r:id="rId67"/>
    <sheet name="AT03" sheetId="855" r:id="rId68"/>
    <sheet name="SE06" sheetId="751" r:id="rId69"/>
    <sheet name="SE05" sheetId="752" r:id="rId70"/>
    <sheet name="TR05" sheetId="753" r:id="rId71"/>
    <sheet name="TR07" sheetId="754" r:id="rId72"/>
    <sheet name="SE38" sheetId="755" r:id="rId73"/>
    <sheet name="SE39" sheetId="756" r:id="rId74"/>
    <sheet name="SE26" sheetId="757" r:id="rId75"/>
    <sheet name="CT23" sheetId="758" r:id="rId76"/>
    <sheet name="CT24" sheetId="759" r:id="rId77"/>
    <sheet name="TR04" sheetId="760" r:id="rId78"/>
    <sheet name="CT05" sheetId="761" r:id="rId79"/>
    <sheet name="CT06" sheetId="762" r:id="rId80"/>
    <sheet name="CT07" sheetId="763" r:id="rId81"/>
    <sheet name="DI07" sheetId="764" r:id="rId82"/>
    <sheet name="DI09" sheetId="765" r:id="rId83"/>
    <sheet name="DI10" sheetId="766" r:id="rId84"/>
    <sheet name="DE10" sheetId="767" r:id="rId85"/>
    <sheet name="DE16" sheetId="768" r:id="rId86"/>
    <sheet name="DE17" sheetId="769" r:id="rId87"/>
    <sheet name="DI34" sheetId="770" r:id="rId88"/>
    <sheet name="DI38" sheetId="771" r:id="rId89"/>
    <sheet name="DI31" sheetId="772" r:id="rId90"/>
    <sheet name="DI36" sheetId="773" r:id="rId91"/>
    <sheet name="DE13" sheetId="856" r:id="rId92"/>
    <sheet name="DE14" sheetId="774" r:id="rId93"/>
    <sheet name="DE18" sheetId="775" r:id="rId94"/>
    <sheet name="GJ13" sheetId="776" r:id="rId95"/>
    <sheet name="GJ02" sheetId="777" r:id="rId96"/>
    <sheet name="CT15" sheetId="778" r:id="rId97"/>
    <sheet name="CT16" sheetId="779" r:id="rId98"/>
    <sheet name="GJ04" sheetId="780" r:id="rId99"/>
    <sheet name="GJ05" sheetId="781" r:id="rId100"/>
    <sheet name="GJ06" sheetId="782" r:id="rId101"/>
    <sheet name="GJ07" sheetId="857" r:id="rId102"/>
    <sheet name="GJ14" sheetId="783" r:id="rId103"/>
    <sheet name="GJ15" sheetId="784" r:id="rId104"/>
    <sheet name="GJ12" sheetId="785" r:id="rId105"/>
    <sheet name="GJ10" sheetId="786" r:id="rId106"/>
    <sheet name="DI14" sheetId="787" r:id="rId107"/>
    <sheet name="DI35" sheetId="788" r:id="rId108"/>
    <sheet name="DI17" sheetId="789" r:id="rId109"/>
    <sheet name="GM01" sheetId="790" r:id="rId110"/>
    <sheet name="GM06" sheetId="791" r:id="rId111"/>
    <sheet name="GM03" sheetId="792" r:id="rId112"/>
    <sheet name="GM07" sheetId="793" r:id="rId113"/>
    <sheet name="DE04" sheetId="794" r:id="rId114"/>
    <sheet name="DE01" sheetId="795" r:id="rId115"/>
    <sheet name="GM04" sheetId="858" r:id="rId116"/>
    <sheet name="GM05" sheetId="796" r:id="rId117"/>
    <sheet name="PE01" sheetId="797" r:id="rId118"/>
    <sheet name="PE02" sheetId="798" r:id="rId119"/>
    <sheet name="PE03" sheetId="799" r:id="rId120"/>
    <sheet name="PE04" sheetId="800" r:id="rId121"/>
    <sheet name="PE05" sheetId="801" r:id="rId122"/>
    <sheet name="AC04" sheetId="802" r:id="rId123"/>
    <sheet name="AC05" sheetId="803" r:id="rId124"/>
    <sheet name="AC06" sheetId="804" r:id="rId125"/>
    <sheet name="AC07" sheetId="805" r:id="rId126"/>
    <sheet name="DI28" sheetId="806" r:id="rId127"/>
    <sheet name="BS01" sheetId="807" r:id="rId128"/>
    <sheet name="BS04" sheetId="808" r:id="rId129"/>
    <sheet name="BS08" sheetId="809" r:id="rId130"/>
    <sheet name="BS09" sheetId="810" r:id="rId131"/>
    <sheet name="BS05" sheetId="811" r:id="rId132"/>
    <sheet name="BS06" sheetId="812" r:id="rId133"/>
    <sheet name="DI23" sheetId="813" r:id="rId134"/>
    <sheet name="DI24" sheetId="814" r:id="rId135"/>
    <sheet name="DI33" sheetId="815" r:id="rId136"/>
    <sheet name="DI18" sheetId="816" r:id="rId137"/>
    <sheet name="DI20" sheetId="817" r:id="rId138"/>
    <sheet name="GF01" sheetId="818" r:id="rId139"/>
    <sheet name="GF02" sheetId="819" r:id="rId140"/>
    <sheet name="GF07" sheetId="820" r:id="rId141"/>
    <sheet name="GF08" sheetId="860" r:id="rId142"/>
    <sheet name="GF09" sheetId="821" r:id="rId143"/>
    <sheet name="GF11" sheetId="822" r:id="rId144"/>
    <sheet name="CT17" sheetId="824" r:id="rId145"/>
    <sheet name="SE25" sheetId="825" r:id="rId146"/>
    <sheet name="SE46" sheetId="826" r:id="rId147"/>
    <sheet name="DATOS" sheetId="852" state="hidden" r:id="rId148"/>
  </sheets>
  <externalReferences>
    <externalReference r:id="rId149"/>
    <externalReference r:id="rId150"/>
    <externalReference r:id="rId151"/>
  </externalReferences>
  <definedNames>
    <definedName name="_xlnm._FilterDatabase" localSheetId="2" hidden="1">Reporte!$CB$4:$CJ$136</definedName>
    <definedName name="_xlnm._FilterDatabase" localSheetId="1" hidden="1">SharePoint!$A$1:$DF$443</definedName>
    <definedName name="_xlnm.Print_Area" localSheetId="122">'AC04'!$A$1:$P$67</definedName>
    <definedName name="_xlnm.Print_Area" localSheetId="123">'AC05'!$A$1:$P$67</definedName>
    <definedName name="_xlnm.Print_Area" localSheetId="124">'AC06'!$A$1:$P$67</definedName>
    <definedName name="_xlnm.Print_Area" localSheetId="125">'AC07'!$A$1:$P$67</definedName>
    <definedName name="_xlnm.Print_Area" localSheetId="66">'AT02'!$A$1:$P$67</definedName>
    <definedName name="_xlnm.Print_Area" localSheetId="67">'AT03'!$A$1:$P$67</definedName>
    <definedName name="_xlnm.Print_Area" localSheetId="53">'AT04'!$A$1:$P$67</definedName>
    <definedName name="_xlnm.Print_Area" localSheetId="40">'AT05'!$A$1:$P$67</definedName>
    <definedName name="_xlnm.Print_Area" localSheetId="65">'AT09'!$A$1:$P$67</definedName>
    <definedName name="_xlnm.Print_Area" localSheetId="41">'AT11'!$A$1:$P$67</definedName>
    <definedName name="_xlnm.Print_Area" localSheetId="33">'AT12'!$A$1:$P$67</definedName>
    <definedName name="_xlnm.Print_Area" localSheetId="127">'BS01'!$A$1:$P$67</definedName>
    <definedName name="_xlnm.Print_Area" localSheetId="128">'BS04'!$A$1:$P$67</definedName>
    <definedName name="_xlnm.Print_Area" localSheetId="131">'BS05'!$A$1:$P$67</definedName>
    <definedName name="_xlnm.Print_Area" localSheetId="132">'BS06'!$A$1:$P$67</definedName>
    <definedName name="_xlnm.Print_Area" localSheetId="129">'BS08'!$A$1:$P$67</definedName>
    <definedName name="_xlnm.Print_Area" localSheetId="130">'BS09'!$A$1:$P$67</definedName>
    <definedName name="_xlnm.Print_Area" localSheetId="34">'CT04'!$A$1:$P$67</definedName>
    <definedName name="_xlnm.Print_Area" localSheetId="78">'CT05'!$A$1:$P$67</definedName>
    <definedName name="_xlnm.Print_Area" localSheetId="79">'CT06'!$A$1:$P$67</definedName>
    <definedName name="_xlnm.Print_Area" localSheetId="80">'CT07'!$A$1:$P$67</definedName>
    <definedName name="_xlnm.Print_Area" localSheetId="96">'CT15'!$A$1:$P$67</definedName>
    <definedName name="_xlnm.Print_Area" localSheetId="97">'CT16'!$A$1:$P$67</definedName>
    <definedName name="_xlnm.Print_Area" localSheetId="144">'CT17'!$A$1:$P$67</definedName>
    <definedName name="_xlnm.Print_Area" localSheetId="39">'CT21'!$A$1:$P$67</definedName>
    <definedName name="_xlnm.Print_Area" localSheetId="75">'CT23'!$A$1:$P$67</definedName>
    <definedName name="_xlnm.Print_Area" localSheetId="76">'CT24'!$A$1:$P$67</definedName>
    <definedName name="_xlnm.Print_Area" localSheetId="21">'CT25'!$A$1:$P$67</definedName>
    <definedName name="_xlnm.Print_Area" localSheetId="35">'CT28'!$A$1:$P$67</definedName>
    <definedName name="_xlnm.Print_Area" localSheetId="22">'CT29'!$A$1:$P$67</definedName>
    <definedName name="_xlnm.Print_Area" localSheetId="18">'CT31'!$A$1:$P$67</definedName>
    <definedName name="_xlnm.Print_Area" localSheetId="19">'CT32'!$A$1:$P$67</definedName>
    <definedName name="_xlnm.Print_Area" localSheetId="114">'DE01'!$A$1:$P$67</definedName>
    <definedName name="_xlnm.Print_Area" localSheetId="113">'DE04'!$A$1:$P$67</definedName>
    <definedName name="_xlnm.Print_Area" localSheetId="43">'DE09'!$A$1:$P$67</definedName>
    <definedName name="_xlnm.Print_Area" localSheetId="84">'DE10'!$A$1:$P$67</definedName>
    <definedName name="_xlnm.Print_Area" localSheetId="92">'DE14'!$A$1:$P$67</definedName>
    <definedName name="_xlnm.Print_Area" localSheetId="85">'DE16'!$A$1:$P$67</definedName>
    <definedName name="_xlnm.Print_Area" localSheetId="86">'DE17'!$A$1:$P$67</definedName>
    <definedName name="_xlnm.Print_Area" localSheetId="93">'DE18'!$A$1:$P$67</definedName>
    <definedName name="_xlnm.Print_Area" localSheetId="81">'DI07'!$A$1:$O$67</definedName>
    <definedName name="_xlnm.Print_Area" localSheetId="82">'DI09'!$A$1:$O$67</definedName>
    <definedName name="_xlnm.Print_Area" localSheetId="83">'DI10'!$A$1:$P$67</definedName>
    <definedName name="_xlnm.Print_Area" localSheetId="106">'DI14'!$A$1:$P$67</definedName>
    <definedName name="_xlnm.Print_Area" localSheetId="108">'DI17'!$A$1:$P$67</definedName>
    <definedName name="_xlnm.Print_Area" localSheetId="136">'DI18'!$A$1:$P$67</definedName>
    <definedName name="_xlnm.Print_Area" localSheetId="137">'DI20'!$A$1:$P$67</definedName>
    <definedName name="_xlnm.Print_Area" localSheetId="133">'DI23'!$A$1:$P$67</definedName>
    <definedName name="_xlnm.Print_Area" localSheetId="134">'DI24'!$A$1:$P$67</definedName>
    <definedName name="_xlnm.Print_Area" localSheetId="126">'DI28'!$A$1:$P$67</definedName>
    <definedName name="_xlnm.Print_Area" localSheetId="89">'DI31'!$A$1:$P$67</definedName>
    <definedName name="_xlnm.Print_Area" localSheetId="135">'DI33'!$A$1:$P$67</definedName>
    <definedName name="_xlnm.Print_Area" localSheetId="87">'DI34'!$A$1:$P$67</definedName>
    <definedName name="_xlnm.Print_Area" localSheetId="107">'DI35'!$A$1:$P$67</definedName>
    <definedName name="_xlnm.Print_Area" localSheetId="90">'DI36'!$A$1:$P$67</definedName>
    <definedName name="_xlnm.Print_Area" localSheetId="88">'DI38'!$A$1:$P$67</definedName>
    <definedName name="_xlnm.Print_Area" localSheetId="138">'GF01'!$A$1:$P$67</definedName>
    <definedName name="_xlnm.Print_Area" localSheetId="139">'GF02'!$A$1:$P$67</definedName>
    <definedName name="_xlnm.Print_Area" localSheetId="20">'GF02-D'!$A$1:$P$67</definedName>
    <definedName name="_xlnm.Print_Area" localSheetId="140">'GF07'!$A$1:$P$67</definedName>
    <definedName name="_xlnm.Print_Area" localSheetId="141">'GF08'!$A$1:$P$67</definedName>
    <definedName name="_xlnm.Print_Area" localSheetId="142">'GF09'!$A$1:$P$67</definedName>
    <definedName name="_xlnm.Print_Area" localSheetId="143">'GF11'!$A$1:$P$67</definedName>
    <definedName name="_xlnm.Print_Area" localSheetId="95">'GJ02'!$A$1:$P$67</definedName>
    <definedName name="_xlnm.Print_Area" localSheetId="98">'GJ04'!$A$1:$P$67</definedName>
    <definedName name="_xlnm.Print_Area" localSheetId="99">'GJ05'!$A$1:$P$67</definedName>
    <definedName name="_xlnm.Print_Area" localSheetId="100">'GJ06'!$A$1:$P$67</definedName>
    <definedName name="_xlnm.Print_Area" localSheetId="101">'GJ07'!$A$1:$P$67</definedName>
    <definedName name="_xlnm.Print_Area" localSheetId="105">'GJ10'!$A$1:$P$67</definedName>
    <definedName name="_xlnm.Print_Area" localSheetId="104">'GJ12'!$A$1:$P$67</definedName>
    <definedName name="_xlnm.Print_Area" localSheetId="94">'GJ13'!$A$1:$P$67</definedName>
    <definedName name="_xlnm.Print_Area" localSheetId="102">'GJ14'!$A$1:$P$67</definedName>
    <definedName name="_xlnm.Print_Area" localSheetId="103">'GJ15'!$A$1:$P$67</definedName>
    <definedName name="_xlnm.Print_Area" localSheetId="109">'GM01'!$A$1:$P$67</definedName>
    <definedName name="_xlnm.Print_Area" localSheetId="111">'GM03'!$A$1:$P$67</definedName>
    <definedName name="_xlnm.Print_Area" localSheetId="115">'GM04'!$A$1:$P$67</definedName>
    <definedName name="_xlnm.Print_Area" localSheetId="116">'GM05'!$A$1:$P$67</definedName>
    <definedName name="_xlnm.Print_Area" localSheetId="110">'GM06'!$A$1:$P$67</definedName>
    <definedName name="_xlnm.Print_Area" localSheetId="112">'GM07'!$A$1:$P$67</definedName>
    <definedName name="_xlnm.Print_Area" localSheetId="23">'JC01'!$A$1:$P$67</definedName>
    <definedName name="_xlnm.Print_Area" localSheetId="24">'JC02'!$A$1:$P$67</definedName>
    <definedName name="_xlnm.Print_Area" localSheetId="25">'JC03'!$A$1:$P$67</definedName>
    <definedName name="_xlnm.Print_Area" localSheetId="26">'JC04'!$A$1:$P$67</definedName>
    <definedName name="_xlnm.Print_Area" localSheetId="27">'JC05'!$A$1:$P$67</definedName>
    <definedName name="_xlnm.Print_Area" localSheetId="28">'JC06'!$A$1:$P$67</definedName>
    <definedName name="_xlnm.Print_Area" localSheetId="29">'JC07'!$A$1:$P$67</definedName>
    <definedName name="_xlnm.Print_Area" localSheetId="30">'JC08'!$A$1:$P$67</definedName>
    <definedName name="_xlnm.Print_Area" localSheetId="117">'PE01'!$A$1:$P$67</definedName>
    <definedName name="_xlnm.Print_Area" localSheetId="118">'PE02'!$A$1:$P$67</definedName>
    <definedName name="_xlnm.Print_Area" localSheetId="119">'PE03'!$A$1:$P$67</definedName>
    <definedName name="_xlnm.Print_Area" localSheetId="120">'PE04'!$A$1:$P$67</definedName>
    <definedName name="_xlnm.Print_Area" localSheetId="121">'PE05'!$A$1:$P$67</definedName>
    <definedName name="_xlnm.Print_Area" localSheetId="0">PLANTILLA!$A$1:$Y$92</definedName>
    <definedName name="_xlnm.Print_Area" localSheetId="55">'RL03'!$A$1:$P$67</definedName>
    <definedName name="_xlnm.Print_Area" localSheetId="54">'RL04'!$A$1:$P$67</definedName>
    <definedName name="_xlnm.Print_Area" localSheetId="56">'RL06'!$A$1:$P$67</definedName>
    <definedName name="_xlnm.Print_Area" localSheetId="51">'RL10'!$A$1:$P$67</definedName>
    <definedName name="_xlnm.Print_Area" localSheetId="62">'RL11'!$A$1:$P$67</definedName>
    <definedName name="_xlnm.Print_Area" localSheetId="50">'RL18'!$A$1:$P$67</definedName>
    <definedName name="_xlnm.Print_Area" localSheetId="60">'RL19'!$A$1:$P$67</definedName>
    <definedName name="_xlnm.Print_Area" localSheetId="61">'RL20'!$A$1:$P$67</definedName>
    <definedName name="_xlnm.Print_Area" localSheetId="52">'RL23'!$A$1:$P$67</definedName>
    <definedName name="_xlnm.Print_Area" localSheetId="57">'RL24'!$A$1:$P$67</definedName>
    <definedName name="_xlnm.Print_Area" localSheetId="69">'SE05'!$A$1:$P$67</definedName>
    <definedName name="_xlnm.Print_Area" localSheetId="68">'SE06'!$A$1:$P$67</definedName>
    <definedName name="_xlnm.Print_Area" localSheetId="42">'SE11'!$A$1:$P$67</definedName>
    <definedName name="_xlnm.Print_Area" localSheetId="63">'SE22'!$A$1:$P$67</definedName>
    <definedName name="_xlnm.Print_Area" localSheetId="64">'SE23'!$A$1:$P$67</definedName>
    <definedName name="_xlnm.Print_Area" localSheetId="145">'SE25'!$A$1:$P$67</definedName>
    <definedName name="_xlnm.Print_Area" localSheetId="74">'SE26'!$A$1:$P$67</definedName>
    <definedName name="_xlnm.Print_Area" localSheetId="36">'SE27'!$A$1:$P$67</definedName>
    <definedName name="_xlnm.Print_Area" localSheetId="38">'SE28'!$A$1:$P$67</definedName>
    <definedName name="_xlnm.Print_Area" localSheetId="49">'SE31'!$A$1:$P$67</definedName>
    <definedName name="_xlnm.Print_Area" localSheetId="44">'SE33'!$A$1:$P$67</definedName>
    <definedName name="_xlnm.Print_Area" localSheetId="45">'SE34'!$A$1:$P$67</definedName>
    <definedName name="_xlnm.Print_Area" localSheetId="32">'SE35'!$A$1:$P$67</definedName>
    <definedName name="_xlnm.Print_Area" localSheetId="72">'SE38'!$A$1:$P$67</definedName>
    <definedName name="_xlnm.Print_Area" localSheetId="73">'SE39'!$A$1:$P$67</definedName>
    <definedName name="_xlnm.Print_Area" localSheetId="59">'SE42'!$A$1:$P$67</definedName>
    <definedName name="_xlnm.Print_Area" localSheetId="58">'SE43'!$A$1:$P$67</definedName>
    <definedName name="_xlnm.Print_Area" localSheetId="146">'SE46'!$A$1:$P$67</definedName>
    <definedName name="_xlnm.Print_Area" localSheetId="37">'SE47'!$A$1:$P$67</definedName>
    <definedName name="_xlnm.Print_Area" localSheetId="46">'SE48'!$A$1:$P$67</definedName>
    <definedName name="_xlnm.Print_Area" localSheetId="47">'SE49'!$A$1:$P$67</definedName>
    <definedName name="_xlnm.Print_Area" localSheetId="48">'SE50'!$A$1:$P$67</definedName>
    <definedName name="_xlnm.Print_Area" localSheetId="77">'TR04'!$A$1:$P$67</definedName>
    <definedName name="_xlnm.Print_Area" localSheetId="70">'TR05'!$A$1:$P$67</definedName>
    <definedName name="_xlnm.Print_Area" localSheetId="31">'TR06'!$A$1:$P$67</definedName>
    <definedName name="_xlnm.Print_Area" localSheetId="71">'TR07'!$A$1:$P$67</definedName>
    <definedName name="D_MIPG" localSheetId="2">#REF!</definedName>
    <definedName name="DEPENDENCIAS" localSheetId="2">#REF!</definedName>
    <definedName name="EES" localSheetId="2">#REF!</definedName>
    <definedName name="FRECU" localSheetId="2">#REF!</definedName>
    <definedName name="Indicador_Piloto105" localSheetId="122">'[1]Piloto 105'!$I$3:$N$174</definedName>
    <definedName name="Indicador_Piloto105" localSheetId="123">'[1]Piloto 105'!$I$3:$N$174</definedName>
    <definedName name="Indicador_Piloto105" localSheetId="124">'[1]Piloto 105'!$I$3:$N$174</definedName>
    <definedName name="Indicador_Piloto105" localSheetId="125">'[1]Piloto 105'!$I$3:$N$174</definedName>
    <definedName name="Indicador_Piloto105" localSheetId="66">'[1]Piloto 105'!$I$3:$N$174</definedName>
    <definedName name="Indicador_Piloto105" localSheetId="67">'[1]Piloto 105'!$I$3:$N$174</definedName>
    <definedName name="Indicador_Piloto105" localSheetId="53">'[1]Piloto 105'!$I$3:$N$174</definedName>
    <definedName name="Indicador_Piloto105" localSheetId="40">'[1]Piloto 105'!$I$3:$N$174</definedName>
    <definedName name="Indicador_Piloto105" localSheetId="65">'[1]Piloto 105'!$I$3:$N$174</definedName>
    <definedName name="Indicador_Piloto105" localSheetId="41">'[1]Piloto 105'!$I$3:$N$174</definedName>
    <definedName name="Indicador_Piloto105" localSheetId="33">'[1]Piloto 105'!$I$3:$N$174</definedName>
    <definedName name="Indicador_Piloto105" localSheetId="127">'[1]Piloto 105'!$I$3:$N$174</definedName>
    <definedName name="Indicador_Piloto105" localSheetId="128">'[1]Piloto 105'!$I$3:$N$174</definedName>
    <definedName name="Indicador_Piloto105" localSheetId="131">'[1]Piloto 105'!$I$3:$N$174</definedName>
    <definedName name="Indicador_Piloto105" localSheetId="132">'[1]Piloto 105'!$I$3:$N$174</definedName>
    <definedName name="Indicador_Piloto105" localSheetId="129">'[1]Piloto 105'!$I$3:$N$174</definedName>
    <definedName name="Indicador_Piloto105" localSheetId="130">'[1]Piloto 105'!$I$3:$N$174</definedName>
    <definedName name="Indicador_Piloto105" localSheetId="34">'[1]Piloto 105'!$I$3:$N$174</definedName>
    <definedName name="Indicador_Piloto105" localSheetId="78">'[1]Piloto 105'!$I$3:$N$174</definedName>
    <definedName name="Indicador_Piloto105" localSheetId="79">'[1]Piloto 105'!$I$3:$N$174</definedName>
    <definedName name="Indicador_Piloto105" localSheetId="80">'[1]Piloto 105'!$I$3:$N$174</definedName>
    <definedName name="Indicador_Piloto105" localSheetId="96">'[1]Piloto 105'!$I$3:$N$174</definedName>
    <definedName name="Indicador_Piloto105" localSheetId="97">'[1]Piloto 105'!$I$3:$N$174</definedName>
    <definedName name="Indicador_Piloto105" localSheetId="144">'[1]Piloto 105'!$I$3:$N$174</definedName>
    <definedName name="Indicador_Piloto105" localSheetId="39">'[1]Piloto 105'!$I$3:$N$174</definedName>
    <definedName name="Indicador_Piloto105" localSheetId="75">'[1]Piloto 105'!$I$3:$N$174</definedName>
    <definedName name="Indicador_Piloto105" localSheetId="76">'[1]Piloto 105'!$I$3:$N$174</definedName>
    <definedName name="Indicador_Piloto105" localSheetId="21">'[1]Piloto 105'!$I$3:$N$174</definedName>
    <definedName name="Indicador_Piloto105" localSheetId="35">'[1]Piloto 105'!$I$3:$N$174</definedName>
    <definedName name="Indicador_Piloto105" localSheetId="22">'[1]Piloto 105'!$I$3:$N$174</definedName>
    <definedName name="Indicador_Piloto105" localSheetId="18">'[1]Piloto 105'!$I$3:$N$174</definedName>
    <definedName name="Indicador_Piloto105" localSheetId="19">'[1]Piloto 105'!$I$3:$N$174</definedName>
    <definedName name="Indicador_Piloto105" localSheetId="114">'[1]Piloto 105'!$I$3:$N$174</definedName>
    <definedName name="Indicador_Piloto105" localSheetId="113">'[1]Piloto 105'!$I$3:$N$174</definedName>
    <definedName name="Indicador_Piloto105" localSheetId="43">'[1]Piloto 105'!$I$3:$N$174</definedName>
    <definedName name="Indicador_Piloto105" localSheetId="84">'[1]Piloto 105'!$I$3:$N$174</definedName>
    <definedName name="Indicador_Piloto105" localSheetId="91">'[1]Piloto 105'!$I$3:$N$174</definedName>
    <definedName name="Indicador_Piloto105" localSheetId="92">'[1]Piloto 105'!$I$3:$N$174</definedName>
    <definedName name="Indicador_Piloto105" localSheetId="85">'[1]Piloto 105'!$I$3:$N$174</definedName>
    <definedName name="Indicador_Piloto105" localSheetId="86">'[1]Piloto 105'!$I$3:$N$174</definedName>
    <definedName name="Indicador_Piloto105" localSheetId="93">'[1]Piloto 105'!$I$3:$N$174</definedName>
    <definedName name="Indicador_Piloto105" localSheetId="81">'[1]Piloto 105'!$I$3:$N$174</definedName>
    <definedName name="Indicador_Piloto105" localSheetId="82">'[1]Piloto 105'!$I$3:$N$174</definedName>
    <definedName name="Indicador_Piloto105" localSheetId="83">'[1]Piloto 105'!$I$3:$N$174</definedName>
    <definedName name="Indicador_Piloto105" localSheetId="106">'[1]Piloto 105'!$I$3:$N$174</definedName>
    <definedName name="Indicador_Piloto105" localSheetId="108">'[1]Piloto 105'!$I$3:$N$174</definedName>
    <definedName name="Indicador_Piloto105" localSheetId="136">'[1]Piloto 105'!$I$3:$N$174</definedName>
    <definedName name="Indicador_Piloto105" localSheetId="137">'[1]Piloto 105'!$I$3:$N$174</definedName>
    <definedName name="Indicador_Piloto105" localSheetId="133">'[1]Piloto 105'!$I$3:$N$174</definedName>
    <definedName name="Indicador_Piloto105" localSheetId="134">'[1]Piloto 105'!$I$3:$N$174</definedName>
    <definedName name="Indicador_Piloto105" localSheetId="126">'[1]Piloto 105'!$I$3:$N$174</definedName>
    <definedName name="Indicador_Piloto105" localSheetId="89">'[1]Piloto 105'!$I$3:$N$174</definedName>
    <definedName name="Indicador_Piloto105" localSheetId="135">'[1]Piloto 105'!$I$3:$N$174</definedName>
    <definedName name="Indicador_Piloto105" localSheetId="87">'[1]Piloto 105'!$I$3:$N$174</definedName>
    <definedName name="Indicador_Piloto105" localSheetId="107">'[1]Piloto 105'!$I$3:$N$174</definedName>
    <definedName name="Indicador_Piloto105" localSheetId="90">'[1]Piloto 105'!$I$3:$N$174</definedName>
    <definedName name="Indicador_Piloto105" localSheetId="88">'[1]Piloto 105'!$I$3:$N$174</definedName>
    <definedName name="Indicador_Piloto105" localSheetId="138">'[1]Piloto 105'!$I$3:$N$174</definedName>
    <definedName name="Indicador_Piloto105" localSheetId="139">'[1]Piloto 105'!$I$3:$N$174</definedName>
    <definedName name="Indicador_Piloto105" localSheetId="20">'[1]Piloto 105'!$I$3:$N$174</definedName>
    <definedName name="Indicador_Piloto105" localSheetId="140">'[1]Piloto 105'!$I$3:$N$174</definedName>
    <definedName name="Indicador_Piloto105" localSheetId="141">'[1]Piloto 105'!$I$3:$N$174</definedName>
    <definedName name="Indicador_Piloto105" localSheetId="142">'[1]Piloto 105'!$I$3:$N$174</definedName>
    <definedName name="Indicador_Piloto105" localSheetId="143">'[1]Piloto 105'!$I$3:$N$174</definedName>
    <definedName name="Indicador_Piloto105" localSheetId="95">'[1]Piloto 105'!$I$3:$N$174</definedName>
    <definedName name="Indicador_Piloto105" localSheetId="98">'[1]Piloto 105'!$I$3:$N$174</definedName>
    <definedName name="Indicador_Piloto105" localSheetId="99">'[1]Piloto 105'!$I$3:$N$174</definedName>
    <definedName name="Indicador_Piloto105" localSheetId="100">'[1]Piloto 105'!$I$3:$N$174</definedName>
    <definedName name="Indicador_Piloto105" localSheetId="101">'[1]Piloto 105'!$I$3:$N$174</definedName>
    <definedName name="Indicador_Piloto105" localSheetId="105">'[1]Piloto 105'!$I$3:$N$174</definedName>
    <definedName name="Indicador_Piloto105" localSheetId="104">'[1]Piloto 105'!$I$3:$N$174</definedName>
    <definedName name="Indicador_Piloto105" localSheetId="94">'[1]Piloto 105'!$I$3:$N$174</definedName>
    <definedName name="Indicador_Piloto105" localSheetId="102">'[1]Piloto 105'!$I$3:$N$174</definedName>
    <definedName name="Indicador_Piloto105" localSheetId="103">'[1]Piloto 105'!$I$3:$N$174</definedName>
    <definedName name="Indicador_Piloto105" localSheetId="109">'[1]Piloto 105'!$I$3:$N$174</definedName>
    <definedName name="Indicador_Piloto105" localSheetId="111">'[1]Piloto 105'!$I$3:$N$174</definedName>
    <definedName name="Indicador_Piloto105" localSheetId="115">'[1]Piloto 105'!$I$3:$N$174</definedName>
    <definedName name="Indicador_Piloto105" localSheetId="116">'[1]Piloto 105'!$I$3:$N$174</definedName>
    <definedName name="Indicador_Piloto105" localSheetId="110">'[1]Piloto 105'!$I$3:$N$174</definedName>
    <definedName name="Indicador_Piloto105" localSheetId="112">'[1]Piloto 105'!$I$3:$N$174</definedName>
    <definedName name="Indicador_Piloto105" localSheetId="23">'[1]Piloto 105'!$I$3:$N$174</definedName>
    <definedName name="Indicador_Piloto105" localSheetId="24">'[1]Piloto 105'!$I$3:$N$174</definedName>
    <definedName name="Indicador_Piloto105" localSheetId="25">'[1]Piloto 105'!$I$3:$N$174</definedName>
    <definedName name="Indicador_Piloto105" localSheetId="26">'[1]Piloto 105'!$I$3:$N$174</definedName>
    <definedName name="Indicador_Piloto105" localSheetId="27">'[1]Piloto 105'!$I$3:$N$174</definedName>
    <definedName name="Indicador_Piloto105" localSheetId="28">'[1]Piloto 105'!$I$3:$N$174</definedName>
    <definedName name="Indicador_Piloto105" localSheetId="29">'[1]Piloto 105'!$I$3:$N$174</definedName>
    <definedName name="Indicador_Piloto105" localSheetId="30">'[1]Piloto 105'!$I$3:$N$174</definedName>
    <definedName name="Indicador_Piloto105" localSheetId="117">'[1]Piloto 105'!$I$3:$N$174</definedName>
    <definedName name="Indicador_Piloto105" localSheetId="118">'[1]Piloto 105'!$I$3:$N$174</definedName>
    <definedName name="Indicador_Piloto105" localSheetId="119">'[1]Piloto 105'!$I$3:$N$174</definedName>
    <definedName name="Indicador_Piloto105" localSheetId="120">'[1]Piloto 105'!$I$3:$N$174</definedName>
    <definedName name="Indicador_Piloto105" localSheetId="121">'[1]Piloto 105'!$I$3:$N$174</definedName>
    <definedName name="Indicador_Piloto105" localSheetId="0">'[1]Piloto 105'!$I$3:$N$174</definedName>
    <definedName name="Indicador_Piloto105" localSheetId="55">'[1]Piloto 105'!$I$3:$N$174</definedName>
    <definedName name="Indicador_Piloto105" localSheetId="54">'[1]Piloto 105'!$I$3:$N$174</definedName>
    <definedName name="Indicador_Piloto105" localSheetId="56">'[1]Piloto 105'!$I$3:$N$174</definedName>
    <definedName name="Indicador_Piloto105" localSheetId="51">'[1]Piloto 105'!$I$3:$N$174</definedName>
    <definedName name="Indicador_Piloto105" localSheetId="62">'[1]Piloto 105'!$I$3:$N$174</definedName>
    <definedName name="Indicador_Piloto105" localSheetId="50">'[1]Piloto 105'!$I$3:$N$174</definedName>
    <definedName name="Indicador_Piloto105" localSheetId="60">'[1]Piloto 105'!$I$3:$N$174</definedName>
    <definedName name="Indicador_Piloto105" localSheetId="61">'[1]Piloto 105'!$I$3:$N$174</definedName>
    <definedName name="Indicador_Piloto105" localSheetId="52">'[1]Piloto 105'!$I$3:$N$174</definedName>
    <definedName name="Indicador_Piloto105" localSheetId="57">'[1]Piloto 105'!$I$3:$N$174</definedName>
    <definedName name="Indicador_Piloto105" localSheetId="69">'[1]Piloto 105'!$I$3:$N$174</definedName>
    <definedName name="Indicador_Piloto105" localSheetId="68">'[1]Piloto 105'!$I$3:$N$174</definedName>
    <definedName name="Indicador_Piloto105" localSheetId="42">'[1]Piloto 105'!$I$3:$N$174</definedName>
    <definedName name="Indicador_Piloto105" localSheetId="63">'[1]Piloto 105'!$I$3:$N$174</definedName>
    <definedName name="Indicador_Piloto105" localSheetId="64">'[1]Piloto 105'!$I$3:$N$174</definedName>
    <definedName name="Indicador_Piloto105" localSheetId="145">'[1]Piloto 105'!$I$3:$N$174</definedName>
    <definedName name="Indicador_Piloto105" localSheetId="74">'[1]Piloto 105'!$I$3:$N$174</definedName>
    <definedName name="Indicador_Piloto105" localSheetId="36">'[1]Piloto 105'!$I$3:$N$174</definedName>
    <definedName name="Indicador_Piloto105" localSheetId="38">'[1]Piloto 105'!$I$3:$N$174</definedName>
    <definedName name="Indicador_Piloto105" localSheetId="49">'[1]Piloto 105'!$I$3:$N$174</definedName>
    <definedName name="Indicador_Piloto105" localSheetId="44">'[1]Piloto 105'!$I$3:$N$174</definedName>
    <definedName name="Indicador_Piloto105" localSheetId="45">'[1]Piloto 105'!$I$3:$N$174</definedName>
    <definedName name="Indicador_Piloto105" localSheetId="32">'[1]Piloto 105'!$I$3:$N$174</definedName>
    <definedName name="Indicador_Piloto105" localSheetId="72">'[1]Piloto 105'!$I$3:$N$174</definedName>
    <definedName name="Indicador_Piloto105" localSheetId="73">'[1]Piloto 105'!$I$3:$N$174</definedName>
    <definedName name="Indicador_Piloto105" localSheetId="59">'[1]Piloto 105'!$I$3:$N$174</definedName>
    <definedName name="Indicador_Piloto105" localSheetId="58">'[1]Piloto 105'!$I$3:$N$174</definedName>
    <definedName name="Indicador_Piloto105" localSheetId="146">'[1]Piloto 105'!$I$3:$N$174</definedName>
    <definedName name="Indicador_Piloto105" localSheetId="37">'[1]Piloto 105'!$I$3:$N$174</definedName>
    <definedName name="Indicador_Piloto105" localSheetId="46">'[1]Piloto 105'!$I$3:$N$174</definedName>
    <definedName name="Indicador_Piloto105" localSheetId="47">'[1]Piloto 105'!$I$3:$N$174</definedName>
    <definedName name="Indicador_Piloto105" localSheetId="48">'[1]Piloto 105'!$I$3:$N$174</definedName>
    <definedName name="Indicador_Piloto105" localSheetId="77">'[1]Piloto 105'!$I$3:$N$174</definedName>
    <definedName name="Indicador_Piloto105" localSheetId="70">'[1]Piloto 105'!$I$3:$N$174</definedName>
    <definedName name="Indicador_Piloto105" localSheetId="31">'[1]Piloto 105'!$I$3:$N$174</definedName>
    <definedName name="Indicador_Piloto105" localSheetId="71">'[1]Piloto 105'!$I$3:$N$174</definedName>
    <definedName name="Indicador_Piloto105">'[1]Piloto 105'!$I$3:$N$174</definedName>
    <definedName name="Lista">[2]Hoja1!$D$3:$D$6</definedName>
    <definedName name="OBI" localSheetId="2">#REF!</definedName>
    <definedName name="Objetivo_institucional">[3]Listas!$F$2:$F$11</definedName>
    <definedName name="ODS" localSheetId="2">#REF!</definedName>
    <definedName name="P_MIPG" localSheetId="2">#REF!</definedName>
    <definedName name="PI" localSheetId="2">#REF!</definedName>
    <definedName name="PND" localSheetId="2">#REF!</definedName>
    <definedName name="TIPO" localSheetId="2">#REF!</definedName>
    <definedName name="UM" localSheetId="2">#REF!</definedName>
  </definedNames>
  <calcPr calcId="191028"/>
  <pivotCaches>
    <pivotCache cacheId="0" r:id="rId152"/>
    <pivotCache cacheId="1" r:id="rId15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13" i="861" l="1"/>
  <c r="K181" i="861"/>
  <c r="A64" i="763"/>
  <c r="K405" i="861"/>
  <c r="K313" i="861"/>
  <c r="K282" i="861"/>
  <c r="K232" i="861"/>
  <c r="K173" i="861"/>
  <c r="K87" i="861"/>
  <c r="K54" i="861"/>
  <c r="K6" i="861"/>
  <c r="K330" i="861"/>
  <c r="K329" i="861"/>
  <c r="K109" i="861"/>
  <c r="K11" i="861"/>
  <c r="K443" i="861" l="1"/>
  <c r="CF20" i="702" l="1"/>
  <c r="CO10" i="702"/>
  <c r="CO11" i="702"/>
  <c r="CO60" i="702"/>
  <c r="CO61" i="702"/>
  <c r="CO88" i="702"/>
  <c r="CO90" i="702"/>
  <c r="CO94" i="702"/>
  <c r="CO106" i="702"/>
  <c r="CO117" i="702"/>
  <c r="CE129" i="702" l="1"/>
  <c r="CF124" i="702"/>
  <c r="CF6" i="702"/>
  <c r="CF7" i="702"/>
  <c r="CF8" i="702"/>
  <c r="CF9" i="702"/>
  <c r="CF10" i="702"/>
  <c r="CF11" i="702"/>
  <c r="CF12" i="702"/>
  <c r="CF13" i="702"/>
  <c r="CF14" i="702"/>
  <c r="CF15" i="702"/>
  <c r="CF16" i="702"/>
  <c r="CF17" i="702"/>
  <c r="CF18" i="702"/>
  <c r="CF19" i="702"/>
  <c r="CF21" i="702"/>
  <c r="CF22" i="702"/>
  <c r="CF23" i="702"/>
  <c r="CF24" i="702"/>
  <c r="CF25" i="702"/>
  <c r="CF26" i="702"/>
  <c r="CF27" i="702"/>
  <c r="CF28" i="702"/>
  <c r="CF29" i="702"/>
  <c r="CF30" i="702"/>
  <c r="CF31" i="702"/>
  <c r="CF32" i="702"/>
  <c r="CF33" i="702"/>
  <c r="CF34" i="702"/>
  <c r="CF35" i="702"/>
  <c r="CF36" i="702"/>
  <c r="CF37" i="702"/>
  <c r="CF38" i="702"/>
  <c r="CF39" i="702"/>
  <c r="CF40" i="702"/>
  <c r="CF41" i="702"/>
  <c r="CF42" i="702"/>
  <c r="CF43" i="702"/>
  <c r="CF44" i="702"/>
  <c r="CF45" i="702"/>
  <c r="CF46" i="702"/>
  <c r="CF47" i="702"/>
  <c r="CF48" i="702"/>
  <c r="CF49" i="702"/>
  <c r="CF50" i="702"/>
  <c r="CF51" i="702"/>
  <c r="CF52" i="702"/>
  <c r="CF53" i="702"/>
  <c r="CF54" i="702"/>
  <c r="CF55" i="702"/>
  <c r="CF56" i="702"/>
  <c r="CF57" i="702"/>
  <c r="CF58" i="702"/>
  <c r="CF5" i="702"/>
  <c r="CF116" i="702" l="1"/>
  <c r="CK7" i="702"/>
  <c r="CL7" i="702"/>
  <c r="CM7" i="702"/>
  <c r="CR7" i="702"/>
  <c r="CK8" i="702"/>
  <c r="CL8" i="702"/>
  <c r="CM8" i="702"/>
  <c r="CR8" i="702"/>
  <c r="CK9" i="702"/>
  <c r="CL9" i="702"/>
  <c r="CM9" i="702"/>
  <c r="CR9" i="702"/>
  <c r="CK10" i="702"/>
  <c r="CL10" i="702"/>
  <c r="CM10" i="702"/>
  <c r="CR10" i="702"/>
  <c r="CK11" i="702"/>
  <c r="CL11" i="702"/>
  <c r="CM11" i="702"/>
  <c r="CR11" i="702"/>
  <c r="CK12" i="702"/>
  <c r="CL12" i="702"/>
  <c r="CM12" i="702"/>
  <c r="CR12" i="702"/>
  <c r="CK13" i="702"/>
  <c r="CL13" i="702"/>
  <c r="CM13" i="702"/>
  <c r="CR13" i="702"/>
  <c r="CK14" i="702"/>
  <c r="CL14" i="702"/>
  <c r="CM14" i="702"/>
  <c r="CR14" i="702"/>
  <c r="CK15" i="702"/>
  <c r="CL15" i="702"/>
  <c r="CM15" i="702"/>
  <c r="CR15" i="702"/>
  <c r="CK16" i="702"/>
  <c r="CL16" i="702"/>
  <c r="CM16" i="702"/>
  <c r="CR16" i="702"/>
  <c r="CK17" i="702"/>
  <c r="CL17" i="702"/>
  <c r="CM17" i="702"/>
  <c r="CR17" i="702"/>
  <c r="CK18" i="702"/>
  <c r="CL18" i="702"/>
  <c r="CM18" i="702"/>
  <c r="CR18" i="702"/>
  <c r="CK19" i="702"/>
  <c r="CL19" i="702"/>
  <c r="CM19" i="702"/>
  <c r="CR19" i="702"/>
  <c r="CK20" i="702"/>
  <c r="CL20" i="702"/>
  <c r="CM20" i="702"/>
  <c r="CR20" i="702"/>
  <c r="CK21" i="702"/>
  <c r="CL21" i="702"/>
  <c r="CM21" i="702"/>
  <c r="CR21" i="702"/>
  <c r="CK22" i="702"/>
  <c r="CL22" i="702"/>
  <c r="CM22" i="702"/>
  <c r="CR22" i="702"/>
  <c r="CK23" i="702"/>
  <c r="CL23" i="702"/>
  <c r="CM23" i="702"/>
  <c r="CR23" i="702"/>
  <c r="CK24" i="702"/>
  <c r="CL24" i="702"/>
  <c r="CM24" i="702"/>
  <c r="CR24" i="702"/>
  <c r="CK25" i="702"/>
  <c r="CL25" i="702"/>
  <c r="CM25" i="702"/>
  <c r="CR25" i="702"/>
  <c r="CK26" i="702"/>
  <c r="CL26" i="702"/>
  <c r="CM26" i="702"/>
  <c r="CR26" i="702"/>
  <c r="CK27" i="702"/>
  <c r="CL27" i="702"/>
  <c r="CM27" i="702"/>
  <c r="CR27" i="702"/>
  <c r="CK28" i="702"/>
  <c r="CL28" i="702"/>
  <c r="CM28" i="702"/>
  <c r="CR28" i="702"/>
  <c r="CK29" i="702"/>
  <c r="CL29" i="702"/>
  <c r="CM29" i="702"/>
  <c r="CR29" i="702"/>
  <c r="CK30" i="702"/>
  <c r="CL30" i="702"/>
  <c r="CM30" i="702"/>
  <c r="CR30" i="702"/>
  <c r="CK31" i="702"/>
  <c r="CL31" i="702"/>
  <c r="CM31" i="702"/>
  <c r="CR31" i="702"/>
  <c r="CK32" i="702"/>
  <c r="CL32" i="702"/>
  <c r="CM32" i="702"/>
  <c r="CR32" i="702"/>
  <c r="CK33" i="702"/>
  <c r="CL33" i="702"/>
  <c r="CM33" i="702"/>
  <c r="CR33" i="702"/>
  <c r="CK34" i="702"/>
  <c r="CL34" i="702"/>
  <c r="CM34" i="702"/>
  <c r="CR34" i="702"/>
  <c r="CK35" i="702"/>
  <c r="CL35" i="702"/>
  <c r="CM35" i="702"/>
  <c r="CR35" i="702"/>
  <c r="CK36" i="702"/>
  <c r="CL36" i="702"/>
  <c r="CM36" i="702"/>
  <c r="CR36" i="702"/>
  <c r="CK37" i="702"/>
  <c r="CL37" i="702"/>
  <c r="CM37" i="702"/>
  <c r="CR37" i="702"/>
  <c r="CK38" i="702"/>
  <c r="CL38" i="702"/>
  <c r="CM38" i="702"/>
  <c r="CR38" i="702"/>
  <c r="CK39" i="702"/>
  <c r="CL39" i="702"/>
  <c r="CM39" i="702"/>
  <c r="CR39" i="702"/>
  <c r="CK40" i="702"/>
  <c r="CL40" i="702"/>
  <c r="CM40" i="702"/>
  <c r="CR40" i="702"/>
  <c r="CK41" i="702"/>
  <c r="CL41" i="702"/>
  <c r="CM41" i="702"/>
  <c r="CR41" i="702"/>
  <c r="CK42" i="702"/>
  <c r="CL42" i="702"/>
  <c r="CM42" i="702"/>
  <c r="CR42" i="702"/>
  <c r="CK43" i="702"/>
  <c r="CL43" i="702"/>
  <c r="CM43" i="702"/>
  <c r="CR43" i="702"/>
  <c r="CK44" i="702"/>
  <c r="CL44" i="702"/>
  <c r="CM44" i="702"/>
  <c r="CR44" i="702"/>
  <c r="CK45" i="702"/>
  <c r="CL45" i="702"/>
  <c r="CM45" i="702"/>
  <c r="CR45" i="702"/>
  <c r="CK46" i="702"/>
  <c r="CL46" i="702"/>
  <c r="CM46" i="702"/>
  <c r="CR46" i="702"/>
  <c r="CK47" i="702"/>
  <c r="CL47" i="702"/>
  <c r="CM47" i="702"/>
  <c r="CR47" i="702"/>
  <c r="CK48" i="702"/>
  <c r="CL48" i="702"/>
  <c r="CM48" i="702"/>
  <c r="CR48" i="702"/>
  <c r="CK49" i="702"/>
  <c r="CL49" i="702"/>
  <c r="CM49" i="702"/>
  <c r="CR49" i="702"/>
  <c r="CK50" i="702"/>
  <c r="CL50" i="702"/>
  <c r="CM50" i="702"/>
  <c r="CR50" i="702"/>
  <c r="CK51" i="702"/>
  <c r="CL51" i="702"/>
  <c r="CM51" i="702"/>
  <c r="CR51" i="702"/>
  <c r="CK52" i="702"/>
  <c r="CL52" i="702"/>
  <c r="CM52" i="702"/>
  <c r="CR52" i="702"/>
  <c r="CK53" i="702"/>
  <c r="CL53" i="702"/>
  <c r="CM53" i="702"/>
  <c r="CR53" i="702"/>
  <c r="CK54" i="702"/>
  <c r="CL54" i="702"/>
  <c r="CM54" i="702"/>
  <c r="CR54" i="702"/>
  <c r="CK55" i="702"/>
  <c r="CL55" i="702"/>
  <c r="CM55" i="702"/>
  <c r="CR55" i="702"/>
  <c r="CK56" i="702"/>
  <c r="CL56" i="702"/>
  <c r="CM56" i="702"/>
  <c r="CR56" i="702"/>
  <c r="CK57" i="702"/>
  <c r="CL57" i="702"/>
  <c r="CM57" i="702"/>
  <c r="CR57" i="702"/>
  <c r="CK58" i="702"/>
  <c r="CL58" i="702"/>
  <c r="CM58" i="702"/>
  <c r="CR58" i="702"/>
  <c r="CK59" i="702"/>
  <c r="CL59" i="702"/>
  <c r="CM59" i="702"/>
  <c r="CN59" i="702"/>
  <c r="CO59" i="702"/>
  <c r="CQ59" i="702"/>
  <c r="CR59" i="702"/>
  <c r="CK60" i="702"/>
  <c r="CL60" i="702"/>
  <c r="CM60" i="702"/>
  <c r="CR60" i="702"/>
  <c r="CK61" i="702"/>
  <c r="CL61" i="702"/>
  <c r="CM61" i="702"/>
  <c r="CR61" i="702"/>
  <c r="CK62" i="702"/>
  <c r="CL62" i="702"/>
  <c r="CM62" i="702"/>
  <c r="CR62" i="702"/>
  <c r="CK63" i="702"/>
  <c r="CL63" i="702"/>
  <c r="CM63" i="702"/>
  <c r="CN63" i="702"/>
  <c r="CO63" i="702"/>
  <c r="CR63" i="702"/>
  <c r="CK64" i="702"/>
  <c r="CL64" i="702"/>
  <c r="CM64" i="702"/>
  <c r="CR64" i="702"/>
  <c r="CK65" i="702"/>
  <c r="CL65" i="702"/>
  <c r="CM65" i="702"/>
  <c r="CR65" i="702"/>
  <c r="CK66" i="702"/>
  <c r="CL66" i="702"/>
  <c r="CM66" i="702"/>
  <c r="CR66" i="702"/>
  <c r="CK67" i="702"/>
  <c r="CL67" i="702"/>
  <c r="CM67" i="702"/>
  <c r="CR67" i="702"/>
  <c r="CK68" i="702"/>
  <c r="CL68" i="702"/>
  <c r="CM68" i="702"/>
  <c r="CR68" i="702"/>
  <c r="CK69" i="702"/>
  <c r="CL69" i="702"/>
  <c r="CM69" i="702"/>
  <c r="CR69" i="702"/>
  <c r="CK70" i="702"/>
  <c r="CL70" i="702"/>
  <c r="CM70" i="702"/>
  <c r="CR70" i="702"/>
  <c r="CK71" i="702"/>
  <c r="CL71" i="702"/>
  <c r="CM71" i="702"/>
  <c r="CR71" i="702"/>
  <c r="CK72" i="702"/>
  <c r="CL72" i="702"/>
  <c r="CM72" i="702"/>
  <c r="CR72" i="702"/>
  <c r="CK73" i="702"/>
  <c r="CL73" i="702"/>
  <c r="CM73" i="702"/>
  <c r="CN73" i="702"/>
  <c r="CO73" i="702"/>
  <c r="CR73" i="702"/>
  <c r="CK74" i="702"/>
  <c r="CL74" i="702"/>
  <c r="CM74" i="702"/>
  <c r="CR74" i="702"/>
  <c r="CK75" i="702"/>
  <c r="CL75" i="702"/>
  <c r="CM75" i="702"/>
  <c r="CR75" i="702"/>
  <c r="CK76" i="702"/>
  <c r="CL76" i="702"/>
  <c r="CM76" i="702"/>
  <c r="CR76" i="702"/>
  <c r="CK77" i="702"/>
  <c r="CL77" i="702"/>
  <c r="CM77" i="702"/>
  <c r="CR77" i="702"/>
  <c r="CK78" i="702"/>
  <c r="CL78" i="702"/>
  <c r="CM78" i="702"/>
  <c r="CR78" i="702"/>
  <c r="CK79" i="702"/>
  <c r="CL79" i="702"/>
  <c r="CM79" i="702"/>
  <c r="CR79" i="702"/>
  <c r="CK80" i="702"/>
  <c r="CL80" i="702"/>
  <c r="CM80" i="702"/>
  <c r="CR80" i="702"/>
  <c r="CK81" i="702"/>
  <c r="CL81" i="702"/>
  <c r="CM81" i="702"/>
  <c r="CR81" i="702"/>
  <c r="CK82" i="702"/>
  <c r="CL82" i="702"/>
  <c r="CM82" i="702"/>
  <c r="CR82" i="702"/>
  <c r="CK83" i="702"/>
  <c r="CL83" i="702"/>
  <c r="CM83" i="702"/>
  <c r="CR83" i="702"/>
  <c r="CK84" i="702"/>
  <c r="CL84" i="702"/>
  <c r="CM84" i="702"/>
  <c r="CR84" i="702"/>
  <c r="CK85" i="702"/>
  <c r="CL85" i="702"/>
  <c r="CM85" i="702"/>
  <c r="CR85" i="702"/>
  <c r="CK86" i="702"/>
  <c r="CL86" i="702"/>
  <c r="CM86" i="702"/>
  <c r="CR86" i="702"/>
  <c r="CK87" i="702"/>
  <c r="CL87" i="702"/>
  <c r="CM87" i="702"/>
  <c r="CR87" i="702"/>
  <c r="CK88" i="702"/>
  <c r="CL88" i="702"/>
  <c r="CM88" i="702"/>
  <c r="CR88" i="702"/>
  <c r="CK89" i="702"/>
  <c r="CL89" i="702"/>
  <c r="CM89" i="702"/>
  <c r="CR89" i="702"/>
  <c r="CK90" i="702"/>
  <c r="CL90" i="702"/>
  <c r="CM90" i="702"/>
  <c r="CR90" i="702"/>
  <c r="CK91" i="702"/>
  <c r="CL91" i="702"/>
  <c r="CM91" i="702"/>
  <c r="CR91" i="702"/>
  <c r="CK92" i="702"/>
  <c r="CL92" i="702"/>
  <c r="CM92" i="702"/>
  <c r="CR92" i="702"/>
  <c r="CK93" i="702"/>
  <c r="CL93" i="702"/>
  <c r="CM93" i="702"/>
  <c r="CR93" i="702"/>
  <c r="CK94" i="702"/>
  <c r="CL94" i="702"/>
  <c r="CM94" i="702"/>
  <c r="CR94" i="702"/>
  <c r="CK95" i="702"/>
  <c r="CL95" i="702"/>
  <c r="CM95" i="702"/>
  <c r="CR95" i="702"/>
  <c r="CK96" i="702"/>
  <c r="CL96" i="702"/>
  <c r="CM96" i="702"/>
  <c r="CR96" i="702"/>
  <c r="CK97" i="702"/>
  <c r="CL97" i="702"/>
  <c r="CM97" i="702"/>
  <c r="CR97" i="702"/>
  <c r="CK98" i="702"/>
  <c r="CL98" i="702"/>
  <c r="CM98" i="702"/>
  <c r="CR98" i="702"/>
  <c r="CK99" i="702"/>
  <c r="CL99" i="702"/>
  <c r="CM99" i="702"/>
  <c r="CR99" i="702"/>
  <c r="CK100" i="702"/>
  <c r="CL100" i="702"/>
  <c r="CM100" i="702"/>
  <c r="CR100" i="702"/>
  <c r="CK101" i="702"/>
  <c r="CL101" i="702"/>
  <c r="CM101" i="702"/>
  <c r="CR101" i="702"/>
  <c r="CK102" i="702"/>
  <c r="CL102" i="702"/>
  <c r="CM102" i="702"/>
  <c r="CR102" i="702"/>
  <c r="CK103" i="702"/>
  <c r="CL103" i="702"/>
  <c r="CM103" i="702"/>
  <c r="CR103" i="702"/>
  <c r="CK104" i="702"/>
  <c r="CL104" i="702"/>
  <c r="CM104" i="702"/>
  <c r="CR104" i="702"/>
  <c r="CK105" i="702"/>
  <c r="CL105" i="702"/>
  <c r="CM105" i="702"/>
  <c r="CR105" i="702"/>
  <c r="CK106" i="702"/>
  <c r="CL106" i="702"/>
  <c r="CM106" i="702"/>
  <c r="CR106" i="702"/>
  <c r="CK107" i="702"/>
  <c r="CL107" i="702"/>
  <c r="CM107" i="702"/>
  <c r="CR107" i="702"/>
  <c r="CK108" i="702"/>
  <c r="CL108" i="702"/>
  <c r="CM108" i="702"/>
  <c r="CR108" i="702"/>
  <c r="CK109" i="702"/>
  <c r="CL109" i="702"/>
  <c r="CM109" i="702"/>
  <c r="CR109" i="702"/>
  <c r="CK110" i="702"/>
  <c r="CL110" i="702"/>
  <c r="CM110" i="702"/>
  <c r="CR110" i="702"/>
  <c r="CK111" i="702"/>
  <c r="CL111" i="702"/>
  <c r="CM111" i="702"/>
  <c r="CR111" i="702"/>
  <c r="CK112" i="702"/>
  <c r="CL112" i="702"/>
  <c r="CM112" i="702"/>
  <c r="CR112" i="702"/>
  <c r="CK113" i="702"/>
  <c r="CL113" i="702"/>
  <c r="CM113" i="702"/>
  <c r="CR113" i="702"/>
  <c r="CK114" i="702"/>
  <c r="CL114" i="702"/>
  <c r="CM114" i="702"/>
  <c r="CR114" i="702"/>
  <c r="CK115" i="702"/>
  <c r="CL115" i="702"/>
  <c r="CM115" i="702"/>
  <c r="CR115" i="702"/>
  <c r="CK116" i="702"/>
  <c r="CL116" i="702"/>
  <c r="CM116" i="702"/>
  <c r="CR116" i="702"/>
  <c r="CK117" i="702"/>
  <c r="CL117" i="702"/>
  <c r="CM117" i="702"/>
  <c r="CR117" i="702"/>
  <c r="CK118" i="702"/>
  <c r="CL118" i="702"/>
  <c r="CM118" i="702"/>
  <c r="CR118" i="702"/>
  <c r="CK119" i="702"/>
  <c r="CL119" i="702"/>
  <c r="CM119" i="702"/>
  <c r="CR119" i="702"/>
  <c r="CK120" i="702"/>
  <c r="CL120" i="702"/>
  <c r="CM120" i="702"/>
  <c r="CR120" i="702"/>
  <c r="CK121" i="702"/>
  <c r="CL121" i="702"/>
  <c r="CM121" i="702"/>
  <c r="CR121" i="702"/>
  <c r="CK122" i="702"/>
  <c r="CL122" i="702"/>
  <c r="CM122" i="702"/>
  <c r="CR122" i="702"/>
  <c r="CK123" i="702"/>
  <c r="CL123" i="702"/>
  <c r="CM123" i="702"/>
  <c r="CR123" i="702"/>
  <c r="CK124" i="702"/>
  <c r="CL124" i="702"/>
  <c r="CM124" i="702"/>
  <c r="CR124" i="702"/>
  <c r="CK125" i="702"/>
  <c r="CL125" i="702"/>
  <c r="CM125" i="702"/>
  <c r="CR125" i="702"/>
  <c r="CK126" i="702"/>
  <c r="CL126" i="702"/>
  <c r="CM126" i="702"/>
  <c r="CR126" i="702"/>
  <c r="CK127" i="702"/>
  <c r="CL127" i="702"/>
  <c r="CM127" i="702"/>
  <c r="CR127" i="702"/>
  <c r="CK128" i="702"/>
  <c r="CL128" i="702"/>
  <c r="CM128" i="702"/>
  <c r="CR128" i="702"/>
  <c r="CK129" i="702"/>
  <c r="CL129" i="702"/>
  <c r="CM129" i="702"/>
  <c r="CN129" i="702"/>
  <c r="CO129" i="702"/>
  <c r="CR129" i="702"/>
  <c r="CK130" i="702"/>
  <c r="CL130" i="702"/>
  <c r="CM130" i="702"/>
  <c r="CR130" i="702"/>
  <c r="CK131" i="702"/>
  <c r="CL131" i="702"/>
  <c r="CM131" i="702"/>
  <c r="CR131" i="702"/>
  <c r="CK132" i="702"/>
  <c r="CL132" i="702"/>
  <c r="CM132" i="702"/>
  <c r="CR132" i="702"/>
  <c r="CK133" i="702"/>
  <c r="CL133" i="702"/>
  <c r="CM133" i="702"/>
  <c r="CN133" i="702"/>
  <c r="CO133" i="702"/>
  <c r="CR133" i="702"/>
  <c r="CP73" i="702" l="1"/>
  <c r="CP63" i="702"/>
  <c r="CP129" i="702"/>
  <c r="CP133" i="702"/>
  <c r="CP59" i="702"/>
  <c r="CH6" i="702" l="1"/>
  <c r="CH7" i="702"/>
  <c r="CH8" i="702"/>
  <c r="CH9" i="702"/>
  <c r="CH10" i="702"/>
  <c r="CH11" i="702"/>
  <c r="CH12" i="702"/>
  <c r="CH13" i="702"/>
  <c r="CH14" i="702"/>
  <c r="CH15" i="702"/>
  <c r="CH16" i="702"/>
  <c r="CH17" i="702"/>
  <c r="CH18" i="702"/>
  <c r="CH19" i="702"/>
  <c r="CH20" i="702"/>
  <c r="CH21" i="702"/>
  <c r="CH22" i="702"/>
  <c r="CH23" i="702"/>
  <c r="CH24" i="702"/>
  <c r="CH25" i="702"/>
  <c r="CH26" i="702"/>
  <c r="CH27" i="702"/>
  <c r="CH28" i="702"/>
  <c r="CH29" i="702"/>
  <c r="CH30" i="702"/>
  <c r="CH31" i="702"/>
  <c r="CH32" i="702"/>
  <c r="CH33" i="702"/>
  <c r="CH34" i="702"/>
  <c r="CH35" i="702"/>
  <c r="CH36" i="702"/>
  <c r="CH37" i="702"/>
  <c r="CH38" i="702"/>
  <c r="CH39" i="702"/>
  <c r="CH40" i="702"/>
  <c r="CH41" i="702"/>
  <c r="CH42" i="702"/>
  <c r="CH43" i="702"/>
  <c r="CH44" i="702"/>
  <c r="CH45" i="702"/>
  <c r="CH46" i="702"/>
  <c r="CH47" i="702"/>
  <c r="CH48" i="702"/>
  <c r="CH49" i="702"/>
  <c r="CH50" i="702"/>
  <c r="CH51" i="702"/>
  <c r="CH52" i="702"/>
  <c r="CH53" i="702"/>
  <c r="CH54" i="702"/>
  <c r="CH55" i="702"/>
  <c r="CH56" i="702"/>
  <c r="CH57" i="702"/>
  <c r="CH58" i="702"/>
  <c r="CH59" i="702"/>
  <c r="CH60" i="702"/>
  <c r="CH61" i="702"/>
  <c r="CH62" i="702"/>
  <c r="CH63" i="702"/>
  <c r="CH64" i="702"/>
  <c r="CH65" i="702"/>
  <c r="CH66" i="702"/>
  <c r="CH67" i="702"/>
  <c r="CH68" i="702"/>
  <c r="CH69" i="702"/>
  <c r="CH70" i="702"/>
  <c r="CH71" i="702"/>
  <c r="CH72" i="702"/>
  <c r="CH73" i="702"/>
  <c r="CH74" i="702"/>
  <c r="CH75" i="702"/>
  <c r="CH76" i="702"/>
  <c r="CH77" i="702"/>
  <c r="CH78" i="702"/>
  <c r="CH79" i="702"/>
  <c r="CH80" i="702"/>
  <c r="CH81" i="702"/>
  <c r="CH82" i="702"/>
  <c r="CH83" i="702"/>
  <c r="CH84" i="702"/>
  <c r="CH85" i="702"/>
  <c r="CH86" i="702"/>
  <c r="CH87" i="702"/>
  <c r="CH88" i="702"/>
  <c r="CH89" i="702"/>
  <c r="CH90" i="702"/>
  <c r="CH91" i="702"/>
  <c r="CH92" i="702"/>
  <c r="CH93" i="702"/>
  <c r="CH94" i="702"/>
  <c r="CH95" i="702"/>
  <c r="CH96" i="702"/>
  <c r="CH97" i="702"/>
  <c r="CH98" i="702"/>
  <c r="CH99" i="702"/>
  <c r="CH100" i="702"/>
  <c r="CH101" i="702"/>
  <c r="CH102" i="702"/>
  <c r="CH103" i="702"/>
  <c r="CH104" i="702"/>
  <c r="CH105" i="702"/>
  <c r="CH106" i="702"/>
  <c r="CH107" i="702"/>
  <c r="CH108" i="702"/>
  <c r="CH109" i="702"/>
  <c r="CH110" i="702"/>
  <c r="CH111" i="702"/>
  <c r="CH112" i="702"/>
  <c r="CH113" i="702"/>
  <c r="CH114" i="702"/>
  <c r="CH115" i="702"/>
  <c r="CH116" i="702"/>
  <c r="CH117" i="702"/>
  <c r="CH118" i="702"/>
  <c r="CH119" i="702"/>
  <c r="CH120" i="702"/>
  <c r="CH121" i="702"/>
  <c r="CH122" i="702"/>
  <c r="CH123" i="702"/>
  <c r="CH124" i="702"/>
  <c r="CH125" i="702"/>
  <c r="CH126" i="702"/>
  <c r="CH127" i="702"/>
  <c r="CH128" i="702"/>
  <c r="CH129" i="702"/>
  <c r="CH130" i="702"/>
  <c r="CH131" i="702"/>
  <c r="CH132" i="702"/>
  <c r="CH133" i="702"/>
  <c r="CH5" i="702"/>
  <c r="CE133" i="702"/>
  <c r="CR6" i="702"/>
  <c r="CR5" i="702"/>
  <c r="CK6" i="702"/>
  <c r="CL6" i="702"/>
  <c r="CM6" i="702"/>
  <c r="CK5" i="702"/>
  <c r="CO5" i="702"/>
  <c r="CN5" i="702"/>
  <c r="CP5" i="702" s="1"/>
  <c r="CM5" i="702"/>
  <c r="CL5" i="702"/>
  <c r="CU73" i="702" l="1"/>
  <c r="CU72" i="702"/>
  <c r="CU71" i="702"/>
  <c r="CU439" i="861"/>
  <c r="CV439" i="861"/>
  <c r="CW439" i="861"/>
  <c r="CX439" i="861"/>
  <c r="CY439" i="861"/>
  <c r="CZ439" i="861"/>
  <c r="DA439" i="861"/>
  <c r="DB439" i="861"/>
  <c r="DC439" i="861"/>
  <c r="DD439" i="861"/>
  <c r="DE439" i="861"/>
  <c r="DF439" i="861"/>
  <c r="CU440" i="861"/>
  <c r="CV440" i="861"/>
  <c r="CW440" i="861"/>
  <c r="CX440" i="861"/>
  <c r="CY440" i="861"/>
  <c r="CZ440" i="861"/>
  <c r="DA440" i="861"/>
  <c r="DB440" i="861"/>
  <c r="DC440" i="861"/>
  <c r="DD440" i="861"/>
  <c r="DE440" i="861"/>
  <c r="DF440" i="861"/>
  <c r="DF438" i="861"/>
  <c r="CY3" i="861"/>
  <c r="CU74" i="702" l="1"/>
  <c r="CF133" i="702"/>
  <c r="CQ133" i="702" s="1"/>
  <c r="CD3" i="702"/>
  <c r="CE73" i="702" l="1"/>
  <c r="CQ5" i="702"/>
  <c r="CQ6" i="702"/>
  <c r="CQ7" i="702"/>
  <c r="CQ8" i="702"/>
  <c r="CQ9" i="702"/>
  <c r="CQ10" i="702"/>
  <c r="CQ11" i="702"/>
  <c r="CQ12" i="702"/>
  <c r="CQ13" i="702"/>
  <c r="CQ14" i="702"/>
  <c r="CQ15" i="702"/>
  <c r="CQ16" i="702"/>
  <c r="CQ17" i="702"/>
  <c r="CQ18" i="702"/>
  <c r="CQ19" i="702"/>
  <c r="CQ20" i="702"/>
  <c r="CQ21" i="702"/>
  <c r="CQ22" i="702"/>
  <c r="CQ23" i="702"/>
  <c r="CQ24" i="702"/>
  <c r="CQ25" i="702"/>
  <c r="CQ26" i="702"/>
  <c r="CQ27" i="702"/>
  <c r="CQ28" i="702"/>
  <c r="CQ29" i="702"/>
  <c r="CQ30" i="702"/>
  <c r="CQ31" i="702"/>
  <c r="CQ32" i="702"/>
  <c r="CQ33" i="702"/>
  <c r="CQ34" i="702"/>
  <c r="CQ35" i="702"/>
  <c r="CQ36" i="702"/>
  <c r="CQ37" i="702"/>
  <c r="CQ38" i="702"/>
  <c r="CQ39" i="702"/>
  <c r="CQ40" i="702"/>
  <c r="CQ41" i="702"/>
  <c r="CQ42" i="702"/>
  <c r="CQ43" i="702"/>
  <c r="CQ44" i="702"/>
  <c r="CQ45" i="702"/>
  <c r="CQ46" i="702"/>
  <c r="CQ47" i="702"/>
  <c r="CQ48" i="702"/>
  <c r="CQ49" i="702"/>
  <c r="CQ50" i="702"/>
  <c r="CQ51" i="702"/>
  <c r="CQ52" i="702"/>
  <c r="CQ53" i="702"/>
  <c r="CQ54" i="702"/>
  <c r="CQ55" i="702"/>
  <c r="CQ56" i="702"/>
  <c r="CQ57" i="702"/>
  <c r="CQ58" i="702"/>
  <c r="CF60" i="702"/>
  <c r="CQ60" i="702" s="1"/>
  <c r="CF61" i="702"/>
  <c r="CQ61" i="702" s="1"/>
  <c r="CF62" i="702"/>
  <c r="CQ62" i="702" s="1"/>
  <c r="CF63" i="702"/>
  <c r="CQ63" i="702" s="1"/>
  <c r="CF64" i="702"/>
  <c r="CQ64" i="702" s="1"/>
  <c r="CF65" i="702"/>
  <c r="CQ65" i="702" s="1"/>
  <c r="CF66" i="702"/>
  <c r="CQ66" i="702" s="1"/>
  <c r="CF67" i="702"/>
  <c r="CQ67" i="702" s="1"/>
  <c r="CF68" i="702"/>
  <c r="CQ68" i="702" s="1"/>
  <c r="CF69" i="702"/>
  <c r="CQ69" i="702" s="1"/>
  <c r="CF70" i="702"/>
  <c r="CQ70" i="702" s="1"/>
  <c r="CF71" i="702"/>
  <c r="CQ71" i="702" s="1"/>
  <c r="CF72" i="702"/>
  <c r="CQ72" i="702" s="1"/>
  <c r="CF73" i="702"/>
  <c r="CQ73" i="702" s="1"/>
  <c r="CF74" i="702"/>
  <c r="CQ74" i="702" s="1"/>
  <c r="CF75" i="702"/>
  <c r="CQ75" i="702" s="1"/>
  <c r="CF76" i="702"/>
  <c r="CQ76" i="702" s="1"/>
  <c r="CF77" i="702"/>
  <c r="CQ77" i="702" s="1"/>
  <c r="CF78" i="702"/>
  <c r="CQ78" i="702" s="1"/>
  <c r="CF79" i="702"/>
  <c r="CQ79" i="702" s="1"/>
  <c r="CF80" i="702"/>
  <c r="CQ80" i="702" s="1"/>
  <c r="CF81" i="702"/>
  <c r="CQ81" i="702" s="1"/>
  <c r="CF132" i="702"/>
  <c r="CQ132" i="702" s="1"/>
  <c r="CF131" i="702"/>
  <c r="CQ131" i="702" s="1"/>
  <c r="CF130" i="702"/>
  <c r="CQ130" i="702" s="1"/>
  <c r="CF129" i="702"/>
  <c r="CQ129" i="702" s="1"/>
  <c r="CF128" i="702"/>
  <c r="CQ128" i="702" s="1"/>
  <c r="CF127" i="702"/>
  <c r="CQ127" i="702" s="1"/>
  <c r="CF126" i="702"/>
  <c r="CQ126" i="702" s="1"/>
  <c r="CF125" i="702"/>
  <c r="CQ125" i="702" s="1"/>
  <c r="CQ124" i="702"/>
  <c r="CF123" i="702"/>
  <c r="CQ123" i="702" s="1"/>
  <c r="CF122" i="702"/>
  <c r="CQ122" i="702" s="1"/>
  <c r="CF121" i="702"/>
  <c r="CQ121" i="702" s="1"/>
  <c r="CF120" i="702"/>
  <c r="CQ120" i="702" s="1"/>
  <c r="CF119" i="702"/>
  <c r="CQ119" i="702" s="1"/>
  <c r="CF118" i="702"/>
  <c r="CQ118" i="702" s="1"/>
  <c r="CF117" i="702"/>
  <c r="CQ117" i="702" s="1"/>
  <c r="CQ116" i="702"/>
  <c r="CF115" i="702"/>
  <c r="CQ115" i="702" s="1"/>
  <c r="CF114" i="702"/>
  <c r="CQ114" i="702" s="1"/>
  <c r="CF113" i="702"/>
  <c r="CQ113" i="702" s="1"/>
  <c r="CF112" i="702"/>
  <c r="CQ112" i="702" s="1"/>
  <c r="CF111" i="702"/>
  <c r="CQ111" i="702" s="1"/>
  <c r="CF110" i="702"/>
  <c r="CQ110" i="702" s="1"/>
  <c r="CF109" i="702"/>
  <c r="CQ109" i="702" s="1"/>
  <c r="CF108" i="702"/>
  <c r="CQ108" i="702" s="1"/>
  <c r="CF107" i="702"/>
  <c r="CQ107" i="702" s="1"/>
  <c r="CF106" i="702"/>
  <c r="CQ106" i="702" s="1"/>
  <c r="CF105" i="702"/>
  <c r="CQ105" i="702" s="1"/>
  <c r="CF104" i="702"/>
  <c r="CQ104" i="702" s="1"/>
  <c r="CF103" i="702"/>
  <c r="CQ103" i="702" s="1"/>
  <c r="CF102" i="702"/>
  <c r="CQ102" i="702" s="1"/>
  <c r="CF101" i="702"/>
  <c r="CQ101" i="702" s="1"/>
  <c r="CF100" i="702"/>
  <c r="CQ100" i="702" s="1"/>
  <c r="CF99" i="702"/>
  <c r="CQ99" i="702" s="1"/>
  <c r="CF98" i="702"/>
  <c r="CQ98" i="702" s="1"/>
  <c r="CF97" i="702"/>
  <c r="CQ97" i="702" s="1"/>
  <c r="CF96" i="702"/>
  <c r="CQ96" i="702" s="1"/>
  <c r="CF95" i="702"/>
  <c r="CQ95" i="702" s="1"/>
  <c r="CF94" i="702"/>
  <c r="CQ94" i="702" s="1"/>
  <c r="CF93" i="702"/>
  <c r="CQ93" i="702" s="1"/>
  <c r="CF92" i="702"/>
  <c r="CQ92" i="702" s="1"/>
  <c r="CF91" i="702"/>
  <c r="CQ91" i="702" s="1"/>
  <c r="CF90" i="702"/>
  <c r="CQ90" i="702" s="1"/>
  <c r="CF89" i="702"/>
  <c r="CQ89" i="702" s="1"/>
  <c r="CF88" i="702"/>
  <c r="CQ88" i="702" s="1"/>
  <c r="CF87" i="702"/>
  <c r="CQ87" i="702" s="1"/>
  <c r="CF86" i="702"/>
  <c r="CQ86" i="702" s="1"/>
  <c r="CF85" i="702"/>
  <c r="CQ85" i="702" s="1"/>
  <c r="CF84" i="702"/>
  <c r="CQ84" i="702" s="1"/>
  <c r="CF83" i="702"/>
  <c r="CQ83" i="702" s="1"/>
  <c r="CF82" i="702"/>
  <c r="CQ82" i="702" s="1"/>
  <c r="A64" i="826" l="1"/>
  <c r="A64" i="825"/>
  <c r="A64" i="824"/>
  <c r="A64" i="822"/>
  <c r="A64" i="821"/>
  <c r="A64" i="860"/>
  <c r="A64" i="820"/>
  <c r="A64" i="819"/>
  <c r="A64" i="818"/>
  <c r="A64" i="817"/>
  <c r="A64" i="816"/>
  <c r="A64" i="815"/>
  <c r="A64" i="814"/>
  <c r="A64" i="813"/>
  <c r="A64" i="812"/>
  <c r="A64" i="811"/>
  <c r="A64" i="810"/>
  <c r="A64" i="809"/>
  <c r="A64" i="808"/>
  <c r="A64" i="807"/>
  <c r="A64" i="806"/>
  <c r="A64" i="805"/>
  <c r="A64" i="804"/>
  <c r="A64" i="803"/>
  <c r="A64" i="802"/>
  <c r="A64" i="801"/>
  <c r="A64" i="800"/>
  <c r="A64" i="799"/>
  <c r="A64" i="798"/>
  <c r="A64" i="797"/>
  <c r="A64" i="796"/>
  <c r="A64" i="858"/>
  <c r="A64" i="795"/>
  <c r="A64" i="794"/>
  <c r="A64" i="793"/>
  <c r="A64" i="792"/>
  <c r="A64" i="791"/>
  <c r="A64" i="790"/>
  <c r="A64" i="789"/>
  <c r="A64" i="788"/>
  <c r="A64" i="787"/>
  <c r="A64" i="786"/>
  <c r="A64" i="785"/>
  <c r="A64" i="784"/>
  <c r="A64" i="783"/>
  <c r="A64" i="857"/>
  <c r="A64" i="782"/>
  <c r="A64" i="781"/>
  <c r="A64" i="780"/>
  <c r="A64" i="779"/>
  <c r="A64" i="778"/>
  <c r="A64" i="777"/>
  <c r="A64" i="776"/>
  <c r="A64" i="775"/>
  <c r="A64" i="774"/>
  <c r="A64" i="856"/>
  <c r="A64" i="773"/>
  <c r="A64" i="772"/>
  <c r="A64" i="771"/>
  <c r="A64" i="770"/>
  <c r="A64" i="769"/>
  <c r="A64" i="768"/>
  <c r="A64" i="767"/>
  <c r="A64" i="766"/>
  <c r="A64" i="765"/>
  <c r="A64" i="764"/>
  <c r="A64" i="762"/>
  <c r="A64" i="761"/>
  <c r="A64" i="760"/>
  <c r="A64" i="759"/>
  <c r="A64" i="758"/>
  <c r="A64" i="757"/>
  <c r="A64" i="756"/>
  <c r="A64" i="755"/>
  <c r="A64" i="754"/>
  <c r="A64" i="753"/>
  <c r="A64" i="752"/>
  <c r="A64" i="751"/>
  <c r="A64" i="855"/>
  <c r="A64" i="750"/>
  <c r="A64" i="749"/>
  <c r="A64" i="748"/>
  <c r="A64" i="747"/>
  <c r="A64" i="746"/>
  <c r="A64" i="745"/>
  <c r="A64" i="854"/>
  <c r="A64" i="744"/>
  <c r="A64" i="743"/>
  <c r="A64" i="742"/>
  <c r="A64" i="741"/>
  <c r="A64" i="740"/>
  <c r="A64" i="739"/>
  <c r="A64" i="738"/>
  <c r="A64" i="737"/>
  <c r="A64" i="862"/>
  <c r="E67" i="862"/>
  <c r="A57" i="862"/>
  <c r="A55" i="862"/>
  <c r="A53" i="862"/>
  <c r="A51" i="862"/>
  <c r="A49" i="862"/>
  <c r="A47" i="862"/>
  <c r="A45" i="862"/>
  <c r="A43" i="862"/>
  <c r="A41" i="862"/>
  <c r="M15" i="862"/>
  <c r="F15" i="862"/>
  <c r="C15" i="862"/>
  <c r="C26" i="862" s="1"/>
  <c r="D26" i="862" s="1"/>
  <c r="D27" i="862" s="1"/>
  <c r="D28" i="862" s="1"/>
  <c r="D29" i="862" s="1"/>
  <c r="D30" i="862" s="1"/>
  <c r="D31" i="862" s="1"/>
  <c r="D32" i="862" s="1"/>
  <c r="D33" i="862" s="1"/>
  <c r="D34" i="862" s="1"/>
  <c r="D35" i="862" s="1"/>
  <c r="D36" i="862" s="1"/>
  <c r="D37" i="862" s="1"/>
  <c r="D38" i="862" s="1"/>
  <c r="A15" i="862"/>
  <c r="N12" i="862"/>
  <c r="J12" i="862"/>
  <c r="C12" i="862"/>
  <c r="A19" i="862" s="1"/>
  <c r="F10" i="862"/>
  <c r="C10" i="862"/>
  <c r="C8" i="862"/>
  <c r="C7" i="862"/>
  <c r="C6" i="862"/>
  <c r="C5" i="862"/>
  <c r="A64" i="735"/>
  <c r="A64" i="734"/>
  <c r="A64" i="733"/>
  <c r="A64" i="732"/>
  <c r="A64" i="731"/>
  <c r="A64" i="730"/>
  <c r="A64" i="729"/>
  <c r="A64" i="728"/>
  <c r="A64" i="727"/>
  <c r="A64" i="726"/>
  <c r="A64" i="725"/>
  <c r="A64" i="853"/>
  <c r="A64" i="724"/>
  <c r="A64" i="723"/>
  <c r="A64" i="722"/>
  <c r="A64" i="721"/>
  <c r="A64" i="720"/>
  <c r="A64" i="719"/>
  <c r="A64" i="718"/>
  <c r="A64" i="717"/>
  <c r="A64" i="716"/>
  <c r="A64" i="715"/>
  <c r="A64" i="714"/>
  <c r="A64" i="713"/>
  <c r="A64" i="712"/>
  <c r="A64" i="711"/>
  <c r="A64" i="710"/>
  <c r="A64" i="709"/>
  <c r="A64" i="707"/>
  <c r="A64" i="706"/>
  <c r="A64" i="705"/>
  <c r="A64" i="859"/>
  <c r="A64" i="665"/>
  <c r="C27" i="862" l="1"/>
  <c r="C28" i="862" s="1"/>
  <c r="C29" i="862" s="1"/>
  <c r="C30" i="862" s="1"/>
  <c r="C31" i="862" s="1"/>
  <c r="C32" i="862" s="1"/>
  <c r="C33" i="862" s="1"/>
  <c r="C34" i="862" s="1"/>
  <c r="C35" i="862" s="1"/>
  <c r="C36" i="862" s="1"/>
  <c r="C37" i="862" s="1"/>
  <c r="C38" i="862" s="1"/>
  <c r="A59" i="862"/>
  <c r="A61" i="862"/>
  <c r="A63" i="862"/>
  <c r="A63" i="665"/>
  <c r="CU2" i="861"/>
  <c r="CV2" i="861"/>
  <c r="CW2" i="861"/>
  <c r="CU3" i="861"/>
  <c r="CV3" i="861"/>
  <c r="CW3" i="861"/>
  <c r="CD128" i="861" s="1"/>
  <c r="CU4" i="861"/>
  <c r="CB52" i="861" s="1"/>
  <c r="CV4" i="861"/>
  <c r="CC52" i="861" s="1"/>
  <c r="CW4" i="861"/>
  <c r="CD52" i="861" s="1"/>
  <c r="CU5" i="861"/>
  <c r="CB98" i="861" s="1"/>
  <c r="CV5" i="861"/>
  <c r="CC98" i="861" s="1"/>
  <c r="CW5" i="861"/>
  <c r="CU6" i="861"/>
  <c r="CV6" i="861"/>
  <c r="CW6" i="861"/>
  <c r="CU7" i="861"/>
  <c r="CV7" i="861"/>
  <c r="CW7" i="861"/>
  <c r="CU8" i="861"/>
  <c r="CV8" i="861"/>
  <c r="CW8" i="861"/>
  <c r="CU9" i="861"/>
  <c r="CV9" i="861"/>
  <c r="CW9" i="861"/>
  <c r="CU10" i="861"/>
  <c r="CB57" i="861" s="1"/>
  <c r="CV10" i="861"/>
  <c r="CC57" i="861" s="1"/>
  <c r="CW10" i="861"/>
  <c r="CD57" i="861" s="1"/>
  <c r="CU11" i="861"/>
  <c r="CV11" i="861"/>
  <c r="CW11" i="861"/>
  <c r="CU12" i="861"/>
  <c r="CV12" i="861"/>
  <c r="CW12" i="861"/>
  <c r="CU13" i="861"/>
  <c r="CV13" i="861"/>
  <c r="CW13" i="861"/>
  <c r="CU14" i="861"/>
  <c r="CB19" i="861" s="1"/>
  <c r="CV14" i="861"/>
  <c r="CC19" i="861" s="1"/>
  <c r="CW14" i="861"/>
  <c r="CD19" i="861" s="1"/>
  <c r="CU15" i="861"/>
  <c r="CB20" i="861" s="1"/>
  <c r="CV15" i="861"/>
  <c r="CC20" i="861" s="1"/>
  <c r="CW15" i="861"/>
  <c r="CD20" i="861" s="1"/>
  <c r="CU16" i="861"/>
  <c r="CB21" i="861" s="1"/>
  <c r="CV16" i="861"/>
  <c r="CW16" i="861"/>
  <c r="CU17" i="861"/>
  <c r="CV17" i="861"/>
  <c r="CC18" i="861" s="1"/>
  <c r="CW17" i="861"/>
  <c r="CU18" i="861"/>
  <c r="CB17" i="861" s="1"/>
  <c r="CV18" i="861"/>
  <c r="CW18" i="861"/>
  <c r="CU19" i="861"/>
  <c r="CV19" i="861"/>
  <c r="CC60" i="861" s="1"/>
  <c r="CW19" i="861"/>
  <c r="CD60" i="861" s="1"/>
  <c r="CU20" i="861"/>
  <c r="CB61" i="861" s="1"/>
  <c r="CV20" i="861"/>
  <c r="CC61" i="861" s="1"/>
  <c r="CW20" i="861"/>
  <c r="CD61" i="861" s="1"/>
  <c r="CU21" i="861"/>
  <c r="CB62" i="861" s="1"/>
  <c r="CV21" i="861"/>
  <c r="CC62" i="861" s="1"/>
  <c r="CW21" i="861"/>
  <c r="CU22" i="861"/>
  <c r="CV22" i="861"/>
  <c r="CW22" i="861"/>
  <c r="CU23" i="861"/>
  <c r="CV23" i="861"/>
  <c r="CC8" i="861" s="1"/>
  <c r="CW23" i="861"/>
  <c r="CU24" i="861"/>
  <c r="CV24" i="861"/>
  <c r="CW24" i="861"/>
  <c r="CD6" i="861" s="1"/>
  <c r="CU25" i="861"/>
  <c r="CB3" i="861" s="1"/>
  <c r="CV25" i="861"/>
  <c r="CC3" i="861" s="1"/>
  <c r="CW25" i="861"/>
  <c r="CD3" i="861" s="1"/>
  <c r="CU26" i="861"/>
  <c r="CB5" i="861" s="1"/>
  <c r="CV26" i="861"/>
  <c r="CC5" i="861" s="1"/>
  <c r="CW26" i="861"/>
  <c r="CD5" i="861" s="1"/>
  <c r="CU27" i="861"/>
  <c r="CV27" i="861"/>
  <c r="CW27" i="861"/>
  <c r="CU28" i="861"/>
  <c r="CB4" i="861" s="1"/>
  <c r="CV28" i="861"/>
  <c r="CC4" i="861" s="1"/>
  <c r="CW28" i="861"/>
  <c r="CD4" i="861" s="1"/>
  <c r="CU29" i="861"/>
  <c r="CV29" i="861"/>
  <c r="CW29" i="861"/>
  <c r="CU30" i="861"/>
  <c r="CB15" i="861" s="1"/>
  <c r="CV30" i="861"/>
  <c r="CC15" i="861" s="1"/>
  <c r="CW30" i="861"/>
  <c r="CD15" i="861" s="1"/>
  <c r="CU31" i="861"/>
  <c r="CB40" i="861" s="1"/>
  <c r="CV31" i="861"/>
  <c r="CC40" i="861" s="1"/>
  <c r="CW31" i="861"/>
  <c r="CD40" i="861" s="1"/>
  <c r="CU32" i="861"/>
  <c r="CB41" i="861" s="1"/>
  <c r="CV32" i="861"/>
  <c r="CW32" i="861"/>
  <c r="CU33" i="861"/>
  <c r="CV33" i="861"/>
  <c r="CW33" i="861"/>
  <c r="CU34" i="861"/>
  <c r="CV34" i="861"/>
  <c r="CW34" i="861"/>
  <c r="CU35" i="861"/>
  <c r="CV35" i="861"/>
  <c r="CC37" i="861" s="1"/>
  <c r="CW35" i="861"/>
  <c r="CD37" i="861" s="1"/>
  <c r="CU36" i="861"/>
  <c r="CB39" i="861" s="1"/>
  <c r="CV36" i="861"/>
  <c r="CC39" i="861" s="1"/>
  <c r="CW36" i="861"/>
  <c r="CD39" i="861" s="1"/>
  <c r="CU37" i="861"/>
  <c r="CB44" i="861" s="1"/>
  <c r="CV37" i="861"/>
  <c r="CC44" i="861" s="1"/>
  <c r="CW37" i="861"/>
  <c r="CU38" i="861"/>
  <c r="CV38" i="861"/>
  <c r="CW38" i="861"/>
  <c r="CU39" i="861"/>
  <c r="CV39" i="861"/>
  <c r="CC50" i="861" s="1"/>
  <c r="CW39" i="861"/>
  <c r="CU40" i="861"/>
  <c r="CV40" i="861"/>
  <c r="CW40" i="861"/>
  <c r="CD51" i="861" s="1"/>
  <c r="CU41" i="861"/>
  <c r="CB22" i="861" s="1"/>
  <c r="CV41" i="861"/>
  <c r="CC22" i="861" s="1"/>
  <c r="CW41" i="861"/>
  <c r="CD22" i="861" s="1"/>
  <c r="CU42" i="861"/>
  <c r="CB23" i="861" s="1"/>
  <c r="CV42" i="861"/>
  <c r="CC23" i="861" s="1"/>
  <c r="CW42" i="861"/>
  <c r="CD23" i="861" s="1"/>
  <c r="CU43" i="861"/>
  <c r="CV43" i="861"/>
  <c r="CW43" i="861"/>
  <c r="CU44" i="861"/>
  <c r="CV44" i="861"/>
  <c r="CW44" i="861"/>
  <c r="CD83" i="861" s="1"/>
  <c r="CU45" i="861"/>
  <c r="CV45" i="861"/>
  <c r="CW45" i="861"/>
  <c r="CU46" i="861"/>
  <c r="CB84" i="861" s="1"/>
  <c r="CV46" i="861"/>
  <c r="CC84" i="861" s="1"/>
  <c r="CW46" i="861"/>
  <c r="CD84" i="861" s="1"/>
  <c r="CU47" i="861"/>
  <c r="CB80" i="861" s="1"/>
  <c r="CV47" i="861"/>
  <c r="CC80" i="861" s="1"/>
  <c r="CW47" i="861"/>
  <c r="CD80" i="861" s="1"/>
  <c r="CU48" i="861"/>
  <c r="CB81" i="861" s="1"/>
  <c r="CV48" i="861"/>
  <c r="CW48" i="861"/>
  <c r="CU49" i="861"/>
  <c r="CV49" i="861"/>
  <c r="CW49" i="861"/>
  <c r="CU50" i="861"/>
  <c r="CB88" i="861" s="1"/>
  <c r="CV50" i="861"/>
  <c r="CW50" i="861"/>
  <c r="CU51" i="861"/>
  <c r="CV51" i="861"/>
  <c r="CC89" i="861" s="1"/>
  <c r="CW51" i="861"/>
  <c r="CD89" i="861" s="1"/>
  <c r="CU52" i="861"/>
  <c r="CV52" i="861"/>
  <c r="CC99" i="861" s="1"/>
  <c r="CW52" i="861"/>
  <c r="CD99" i="861" s="1"/>
  <c r="CU53" i="861"/>
  <c r="CB100" i="861" s="1"/>
  <c r="CV53" i="861"/>
  <c r="CC100" i="861" s="1"/>
  <c r="CW53" i="861"/>
  <c r="CU54" i="861"/>
  <c r="CV54" i="861"/>
  <c r="CW54" i="861"/>
  <c r="CU55" i="861"/>
  <c r="CV55" i="861"/>
  <c r="CW55" i="861"/>
  <c r="CU56" i="861"/>
  <c r="CV56" i="861"/>
  <c r="CW56" i="861"/>
  <c r="CU57" i="861"/>
  <c r="CB116" i="861" s="1"/>
  <c r="CV57" i="861"/>
  <c r="CC116" i="861" s="1"/>
  <c r="CW57" i="861"/>
  <c r="CD116" i="861" s="1"/>
  <c r="CU58" i="861"/>
  <c r="CB119" i="861" s="1"/>
  <c r="CV58" i="861"/>
  <c r="CC119" i="861" s="1"/>
  <c r="CW58" i="861"/>
  <c r="CD119" i="861" s="1"/>
  <c r="CU59" i="861"/>
  <c r="CV59" i="861"/>
  <c r="CW59" i="861"/>
  <c r="CU60" i="861"/>
  <c r="CV60" i="861"/>
  <c r="CW60" i="861"/>
  <c r="CD121" i="861" s="1"/>
  <c r="CU61" i="861"/>
  <c r="CV61" i="861"/>
  <c r="CW61" i="861"/>
  <c r="CU62" i="861"/>
  <c r="CB114" i="861" s="1"/>
  <c r="CV62" i="861"/>
  <c r="CC114" i="861" s="1"/>
  <c r="CW62" i="861"/>
  <c r="CD114" i="861" s="1"/>
  <c r="CU63" i="861"/>
  <c r="CB123" i="861" s="1"/>
  <c r="CV63" i="861"/>
  <c r="CC123" i="861" s="1"/>
  <c r="CW63" i="861"/>
  <c r="CD123" i="861" s="1"/>
  <c r="CU64" i="861"/>
  <c r="CB126" i="861" s="1"/>
  <c r="CV64" i="861"/>
  <c r="CW64" i="861"/>
  <c r="CD126" i="861" s="1"/>
  <c r="CU65" i="861"/>
  <c r="CV65" i="861"/>
  <c r="CW65" i="861"/>
  <c r="CU66" i="861"/>
  <c r="CV66" i="861"/>
  <c r="CW66" i="861"/>
  <c r="CU67" i="861"/>
  <c r="CV67" i="861"/>
  <c r="CC105" i="861" s="1"/>
  <c r="CW67" i="861"/>
  <c r="CD105" i="861" s="1"/>
  <c r="CU68" i="861"/>
  <c r="CV68" i="861"/>
  <c r="CC106" i="861" s="1"/>
  <c r="CW68" i="861"/>
  <c r="CD106" i="861" s="1"/>
  <c r="CU69" i="861"/>
  <c r="CB107" i="861" s="1"/>
  <c r="CV69" i="861"/>
  <c r="CC107" i="861" s="1"/>
  <c r="CW69" i="861"/>
  <c r="CU70" i="861"/>
  <c r="CB108" i="861" s="1"/>
  <c r="CV70" i="861"/>
  <c r="CW70" i="861"/>
  <c r="CU71" i="861"/>
  <c r="CV71" i="861"/>
  <c r="CW71" i="861"/>
  <c r="CU72" i="861"/>
  <c r="CV72" i="861"/>
  <c r="CW72" i="861"/>
  <c r="CD7" i="861" s="1"/>
  <c r="CU73" i="861"/>
  <c r="CV73" i="861"/>
  <c r="CW73" i="861"/>
  <c r="CU74" i="861"/>
  <c r="CB10" i="861" s="1"/>
  <c r="CV74" i="861"/>
  <c r="CC10" i="861" s="1"/>
  <c r="CW74" i="861"/>
  <c r="CD10" i="861" s="1"/>
  <c r="CU75" i="861"/>
  <c r="CV75" i="861"/>
  <c r="CC9" i="861" s="1"/>
  <c r="CW75" i="861"/>
  <c r="CU76" i="861"/>
  <c r="CB16" i="861" s="1"/>
  <c r="CV76" i="861"/>
  <c r="CC16" i="861" s="1"/>
  <c r="CW76" i="861"/>
  <c r="CD16" i="861" s="1"/>
  <c r="CU77" i="861"/>
  <c r="CV77" i="861"/>
  <c r="CW77" i="861"/>
  <c r="CU78" i="861"/>
  <c r="CB13" i="861" s="1"/>
  <c r="CV78" i="861"/>
  <c r="CC13" i="861" s="1"/>
  <c r="CW78" i="861"/>
  <c r="CD13" i="861" s="1"/>
  <c r="CU79" i="861"/>
  <c r="CV79" i="861"/>
  <c r="CW79" i="861"/>
  <c r="CU80" i="861"/>
  <c r="CB49" i="861" s="1"/>
  <c r="CV80" i="861"/>
  <c r="CW80" i="861"/>
  <c r="CD49" i="861" s="1"/>
  <c r="CU81" i="861"/>
  <c r="CV81" i="861"/>
  <c r="CC47" i="861" s="1"/>
  <c r="CW81" i="861"/>
  <c r="CU82" i="861"/>
  <c r="CV82" i="861"/>
  <c r="CW82" i="861"/>
  <c r="CU83" i="861"/>
  <c r="CV83" i="861"/>
  <c r="CW83" i="861"/>
  <c r="CU84" i="861"/>
  <c r="CV84" i="861"/>
  <c r="CW84" i="861"/>
  <c r="CU85" i="861"/>
  <c r="CB87" i="861" s="1"/>
  <c r="CV85" i="861"/>
  <c r="CC87" i="861" s="1"/>
  <c r="CW85" i="861"/>
  <c r="CU86" i="861"/>
  <c r="CV86" i="861"/>
  <c r="CW86" i="861"/>
  <c r="CU87" i="861"/>
  <c r="CV87" i="861"/>
  <c r="CW87" i="861"/>
  <c r="CU88" i="861"/>
  <c r="CV88" i="861"/>
  <c r="CW88" i="861"/>
  <c r="CD75" i="861" s="1"/>
  <c r="CU89" i="861"/>
  <c r="CB76" i="861" s="1"/>
  <c r="CV89" i="861"/>
  <c r="CC76" i="861" s="1"/>
  <c r="CW89" i="861"/>
  <c r="CD76" i="861" s="1"/>
  <c r="CU90" i="861"/>
  <c r="CV90" i="861"/>
  <c r="CW90" i="861"/>
  <c r="CU91" i="861"/>
  <c r="CV91" i="861"/>
  <c r="CC71" i="861" s="1"/>
  <c r="CW91" i="861"/>
  <c r="CU92" i="861"/>
  <c r="CV92" i="861"/>
  <c r="CW92" i="861"/>
  <c r="CD66" i="861" s="1"/>
  <c r="CU93" i="861"/>
  <c r="CV93" i="861"/>
  <c r="CW93" i="861"/>
  <c r="CU94" i="861"/>
  <c r="CV94" i="861"/>
  <c r="CW94" i="861"/>
  <c r="CU95" i="861"/>
  <c r="CV95" i="861"/>
  <c r="CW95" i="861"/>
  <c r="CU96" i="861"/>
  <c r="CB129" i="861" s="1"/>
  <c r="CV96" i="861"/>
  <c r="CW96" i="861"/>
  <c r="CD129" i="861" s="1"/>
  <c r="CU97" i="861"/>
  <c r="CV97" i="861"/>
  <c r="CW97" i="861"/>
  <c r="CU98" i="861"/>
  <c r="CV98" i="861"/>
  <c r="CW98" i="861"/>
  <c r="CU99" i="861"/>
  <c r="CV99" i="861"/>
  <c r="CW99" i="861"/>
  <c r="CU100" i="861"/>
  <c r="CV100" i="861"/>
  <c r="CW100" i="861"/>
  <c r="CU101" i="861"/>
  <c r="CV101" i="861"/>
  <c r="CW101" i="861"/>
  <c r="CU102" i="861"/>
  <c r="CV102" i="861"/>
  <c r="CW102" i="861"/>
  <c r="CU103" i="861"/>
  <c r="CV103" i="861"/>
  <c r="CC46" i="861" s="1"/>
  <c r="CW103" i="861"/>
  <c r="CU104" i="861"/>
  <c r="CV104" i="861"/>
  <c r="CW104" i="861"/>
  <c r="CD73" i="861" s="1"/>
  <c r="CU105" i="861"/>
  <c r="CV105" i="861"/>
  <c r="CW105" i="861"/>
  <c r="CU106" i="861"/>
  <c r="CV106" i="861"/>
  <c r="CW106" i="861"/>
  <c r="CU107" i="861"/>
  <c r="CV107" i="861"/>
  <c r="CC56" i="861" s="1"/>
  <c r="CW107" i="861"/>
  <c r="CU108" i="861"/>
  <c r="CV108" i="861"/>
  <c r="CW108" i="861"/>
  <c r="CU109" i="861"/>
  <c r="CV109" i="861"/>
  <c r="CW109" i="861"/>
  <c r="CU110" i="861"/>
  <c r="CV110" i="861"/>
  <c r="CW110" i="861"/>
  <c r="CU111" i="861"/>
  <c r="CV111" i="861"/>
  <c r="CW111" i="861"/>
  <c r="CU112" i="861"/>
  <c r="CV112" i="861"/>
  <c r="CW112" i="861"/>
  <c r="CU113" i="861"/>
  <c r="CV113" i="861"/>
  <c r="CW113" i="861"/>
  <c r="CU114" i="861"/>
  <c r="CV114" i="861"/>
  <c r="CW114" i="861"/>
  <c r="CU115" i="861"/>
  <c r="CV115" i="861"/>
  <c r="CW115" i="861"/>
  <c r="CU116" i="861"/>
  <c r="CV116" i="861"/>
  <c r="CW116" i="861"/>
  <c r="CU117" i="861"/>
  <c r="CB58" i="861" s="1"/>
  <c r="CV117" i="861"/>
  <c r="CC58" i="861" s="1"/>
  <c r="CW117" i="861"/>
  <c r="CU118" i="861"/>
  <c r="CB59" i="861" s="1"/>
  <c r="CV118" i="861"/>
  <c r="CW118" i="861"/>
  <c r="CU119" i="861"/>
  <c r="CV119" i="861"/>
  <c r="CW119" i="861"/>
  <c r="CU120" i="861"/>
  <c r="CV120" i="861"/>
  <c r="CW120" i="861"/>
  <c r="CU121" i="861"/>
  <c r="CV121" i="861"/>
  <c r="CW121" i="861"/>
  <c r="CU122" i="861"/>
  <c r="CV122" i="861"/>
  <c r="CW122" i="861"/>
  <c r="CU123" i="861"/>
  <c r="CV123" i="861"/>
  <c r="CC64" i="861" s="1"/>
  <c r="CW123" i="861"/>
  <c r="CU124" i="861"/>
  <c r="CV124" i="861"/>
  <c r="CW124" i="861"/>
  <c r="CD65" i="861" s="1"/>
  <c r="CU125" i="861"/>
  <c r="CV125" i="861"/>
  <c r="CW125" i="861"/>
  <c r="CU126" i="861"/>
  <c r="CV126" i="861"/>
  <c r="CW126" i="861"/>
  <c r="CU127" i="861"/>
  <c r="CV127" i="861"/>
  <c r="CW127" i="861"/>
  <c r="CU128" i="861"/>
  <c r="CV128" i="861"/>
  <c r="CW128" i="861"/>
  <c r="CU129" i="861"/>
  <c r="CV129" i="861"/>
  <c r="CW129" i="861"/>
  <c r="CU130" i="861"/>
  <c r="CV130" i="861"/>
  <c r="CW130" i="861"/>
  <c r="CU131" i="861"/>
  <c r="CV131" i="861"/>
  <c r="CW131" i="861"/>
  <c r="CU132" i="861"/>
  <c r="CV132" i="861"/>
  <c r="CW132" i="861"/>
  <c r="CU133" i="861"/>
  <c r="CV133" i="861"/>
  <c r="CW133" i="861"/>
  <c r="CU134" i="861"/>
  <c r="CB42" i="861" s="1"/>
  <c r="CV134" i="861"/>
  <c r="CW134" i="861"/>
  <c r="CD42" i="861" s="1"/>
  <c r="CU135" i="861"/>
  <c r="CV135" i="861"/>
  <c r="CW135" i="861"/>
  <c r="CU136" i="861"/>
  <c r="CV136" i="861"/>
  <c r="CW136" i="861"/>
  <c r="CX3" i="861"/>
  <c r="CE128" i="861" s="1"/>
  <c r="CZ3" i="861"/>
  <c r="CG128" i="861" s="1"/>
  <c r="DA3" i="861"/>
  <c r="CH128" i="861" s="1"/>
  <c r="DB3" i="861"/>
  <c r="CI128" i="861" s="1"/>
  <c r="DC3" i="861"/>
  <c r="CJ128" i="861" s="1"/>
  <c r="DD3" i="861"/>
  <c r="CK128" i="861" s="1"/>
  <c r="DE3" i="861"/>
  <c r="CL128" i="861" s="1"/>
  <c r="DF3" i="861"/>
  <c r="CM128" i="861" s="1"/>
  <c r="CX4" i="861"/>
  <c r="CY4" i="861"/>
  <c r="CZ4" i="861"/>
  <c r="DA4" i="861"/>
  <c r="CH52" i="861" s="1"/>
  <c r="DB4" i="861"/>
  <c r="DC4" i="861"/>
  <c r="DD4" i="861"/>
  <c r="DE4" i="861"/>
  <c r="CL52" i="861" s="1"/>
  <c r="DF4" i="861"/>
  <c r="CM52" i="861" s="1"/>
  <c r="CX5" i="861"/>
  <c r="CE98" i="861" s="1"/>
  <c r="CY5" i="861"/>
  <c r="CF98" i="861" s="1"/>
  <c r="CZ5" i="861"/>
  <c r="CG98" i="861" s="1"/>
  <c r="DA5" i="861"/>
  <c r="CH98" i="861" s="1"/>
  <c r="DB5" i="861"/>
  <c r="CI98" i="861" s="1"/>
  <c r="DC5" i="861"/>
  <c r="DD5" i="861"/>
  <c r="CK98" i="861" s="1"/>
  <c r="DE5" i="861"/>
  <c r="DF5" i="861"/>
  <c r="CX6" i="861"/>
  <c r="CY6" i="861"/>
  <c r="CF104" i="861" s="1"/>
  <c r="CZ6" i="861"/>
  <c r="DA6" i="861"/>
  <c r="DB6" i="861"/>
  <c r="DC6" i="861"/>
  <c r="CJ104" i="861" s="1"/>
  <c r="DD6" i="861"/>
  <c r="CK104" i="861" s="1"/>
  <c r="DE6" i="861"/>
  <c r="CL104" i="861" s="1"/>
  <c r="DF6" i="861"/>
  <c r="CM104" i="861" s="1"/>
  <c r="CX7" i="861"/>
  <c r="CE69" i="861" s="1"/>
  <c r="CY7" i="861"/>
  <c r="CF69" i="861" s="1"/>
  <c r="CZ7" i="861"/>
  <c r="CG69" i="861" s="1"/>
  <c r="DA7" i="861"/>
  <c r="DB7" i="861"/>
  <c r="CI69" i="861" s="1"/>
  <c r="DC7" i="861"/>
  <c r="DD7" i="861"/>
  <c r="DE7" i="861"/>
  <c r="DF7" i="861"/>
  <c r="CM69" i="861" s="1"/>
  <c r="CX8" i="861"/>
  <c r="CY8" i="861"/>
  <c r="CZ8" i="861"/>
  <c r="DA8" i="861"/>
  <c r="DB8" i="861"/>
  <c r="CI111" i="861" s="1"/>
  <c r="DC8" i="861"/>
  <c r="CJ111" i="861" s="1"/>
  <c r="DD8" i="861"/>
  <c r="CK111" i="861" s="1"/>
  <c r="DE8" i="861"/>
  <c r="CL111" i="861" s="1"/>
  <c r="DF8" i="861"/>
  <c r="CM111" i="861" s="1"/>
  <c r="CX9" i="861"/>
  <c r="CY9" i="861"/>
  <c r="CZ9" i="861"/>
  <c r="DA9" i="861"/>
  <c r="DB9" i="861"/>
  <c r="DC9" i="861"/>
  <c r="DD9" i="861"/>
  <c r="DE9" i="861"/>
  <c r="DF9" i="861"/>
  <c r="CX10" i="861"/>
  <c r="CY10" i="861"/>
  <c r="CF57" i="861" s="1"/>
  <c r="CZ10" i="861"/>
  <c r="CG57" i="861" s="1"/>
  <c r="DA10" i="861"/>
  <c r="CH57" i="861" s="1"/>
  <c r="DB10" i="861"/>
  <c r="CI57" i="861" s="1"/>
  <c r="DC10" i="861"/>
  <c r="CJ57" i="861" s="1"/>
  <c r="DD10" i="861"/>
  <c r="CK57" i="861" s="1"/>
  <c r="DE10" i="861"/>
  <c r="CL57" i="861" s="1"/>
  <c r="DF10" i="861"/>
  <c r="CM57" i="861" s="1"/>
  <c r="CX11" i="861"/>
  <c r="CE53" i="861" s="1"/>
  <c r="CY11" i="861"/>
  <c r="CZ11" i="861"/>
  <c r="DA11" i="861"/>
  <c r="DB11" i="861"/>
  <c r="CI53" i="861" s="1"/>
  <c r="DC11" i="861"/>
  <c r="DD11" i="861"/>
  <c r="DE11" i="861"/>
  <c r="DF11" i="861"/>
  <c r="CM53" i="861" s="1"/>
  <c r="CX12" i="861"/>
  <c r="CE54" i="861" s="1"/>
  <c r="CY12" i="861"/>
  <c r="CF54" i="861" s="1"/>
  <c r="CZ12" i="861"/>
  <c r="CG54" i="861" s="1"/>
  <c r="DA12" i="861"/>
  <c r="CH54" i="861" s="1"/>
  <c r="DB12" i="861"/>
  <c r="CI54" i="861" s="1"/>
  <c r="DC12" i="861"/>
  <c r="CJ54" i="861" s="1"/>
  <c r="DD12" i="861"/>
  <c r="CK54" i="861" s="1"/>
  <c r="DE12" i="861"/>
  <c r="CL54" i="861" s="1"/>
  <c r="DF12" i="861"/>
  <c r="CX13" i="861"/>
  <c r="CE55" i="861" s="1"/>
  <c r="CY13" i="861"/>
  <c r="CZ13" i="861"/>
  <c r="CG55" i="861" s="1"/>
  <c r="DA13" i="861"/>
  <c r="DB13" i="861"/>
  <c r="DC13" i="861"/>
  <c r="DD13" i="861"/>
  <c r="CK55" i="861" s="1"/>
  <c r="DE13" i="861"/>
  <c r="CL55" i="861" s="1"/>
  <c r="DF13" i="861"/>
  <c r="CM55" i="861" s="1"/>
  <c r="CX14" i="861"/>
  <c r="CE19" i="861" s="1"/>
  <c r="CY14" i="861"/>
  <c r="CF19" i="861" s="1"/>
  <c r="CZ14" i="861"/>
  <c r="CG19" i="861" s="1"/>
  <c r="DA14" i="861"/>
  <c r="CH19" i="861" s="1"/>
  <c r="DB14" i="861"/>
  <c r="CI19" i="861" s="1"/>
  <c r="DC14" i="861"/>
  <c r="CJ19" i="861" s="1"/>
  <c r="DD14" i="861"/>
  <c r="DE14" i="861"/>
  <c r="CL19" i="861" s="1"/>
  <c r="DF14" i="861"/>
  <c r="CX15" i="861"/>
  <c r="CE20" i="861" s="1"/>
  <c r="CY15" i="861"/>
  <c r="CZ15" i="861"/>
  <c r="DA15" i="861"/>
  <c r="DB15" i="861"/>
  <c r="CI20" i="861" s="1"/>
  <c r="DC15" i="861"/>
  <c r="CJ20" i="861" s="1"/>
  <c r="DD15" i="861"/>
  <c r="CK20" i="861" s="1"/>
  <c r="DE15" i="861"/>
  <c r="CL20" i="861" s="1"/>
  <c r="DF15" i="861"/>
  <c r="CM20" i="861" s="1"/>
  <c r="CX16" i="861"/>
  <c r="CE21" i="861" s="1"/>
  <c r="CY16" i="861"/>
  <c r="CF21" i="861" s="1"/>
  <c r="CZ16" i="861"/>
  <c r="CG21" i="861" s="1"/>
  <c r="DA16" i="861"/>
  <c r="CH21" i="861" s="1"/>
  <c r="DB16" i="861"/>
  <c r="DC16" i="861"/>
  <c r="DD16" i="861"/>
  <c r="CK21" i="861" s="1"/>
  <c r="DE16" i="861"/>
  <c r="CL21" i="861" s="1"/>
  <c r="DF16" i="861"/>
  <c r="CX17" i="861"/>
  <c r="CY17" i="861"/>
  <c r="CZ17" i="861"/>
  <c r="DA17" i="861"/>
  <c r="DB17" i="861"/>
  <c r="CI18" i="861" s="1"/>
  <c r="DC17" i="861"/>
  <c r="CJ18" i="861" s="1"/>
  <c r="DD17" i="861"/>
  <c r="CK18" i="861" s="1"/>
  <c r="DE17" i="861"/>
  <c r="CL18" i="861" s="1"/>
  <c r="DF17" i="861"/>
  <c r="CM18" i="861" s="1"/>
  <c r="CX18" i="861"/>
  <c r="CE17" i="861" s="1"/>
  <c r="CY18" i="861"/>
  <c r="CF17" i="861" s="1"/>
  <c r="CZ18" i="861"/>
  <c r="DA18" i="861"/>
  <c r="CH17" i="861" s="1"/>
  <c r="DB18" i="861"/>
  <c r="DC18" i="861"/>
  <c r="CJ17" i="861" s="1"/>
  <c r="DD18" i="861"/>
  <c r="DE18" i="861"/>
  <c r="DF18" i="861"/>
  <c r="CX19" i="861"/>
  <c r="CY19" i="861"/>
  <c r="CF60" i="861" s="1"/>
  <c r="CZ19" i="861"/>
  <c r="CG60" i="861" s="1"/>
  <c r="DA19" i="861"/>
  <c r="CH60" i="861" s="1"/>
  <c r="DB19" i="861"/>
  <c r="CI60" i="861" s="1"/>
  <c r="DC19" i="861"/>
  <c r="CJ60" i="861" s="1"/>
  <c r="DD19" i="861"/>
  <c r="CK60" i="861" s="1"/>
  <c r="DE19" i="861"/>
  <c r="CL60" i="861" s="1"/>
  <c r="DF19" i="861"/>
  <c r="CM60" i="861" s="1"/>
  <c r="CX20" i="861"/>
  <c r="CY20" i="861"/>
  <c r="CZ20" i="861"/>
  <c r="DA20" i="861"/>
  <c r="CH61" i="861" s="1"/>
  <c r="DB20" i="861"/>
  <c r="DC20" i="861"/>
  <c r="DD20" i="861"/>
  <c r="DE20" i="861"/>
  <c r="CL61" i="861" s="1"/>
  <c r="DF20" i="861"/>
  <c r="CM61" i="861" s="1"/>
  <c r="CX21" i="861"/>
  <c r="CY21" i="861"/>
  <c r="CF62" i="861" s="1"/>
  <c r="CZ21" i="861"/>
  <c r="CG62" i="861" s="1"/>
  <c r="DA21" i="861"/>
  <c r="CH62" i="861" s="1"/>
  <c r="DB21" i="861"/>
  <c r="CI62" i="861" s="1"/>
  <c r="DC21" i="861"/>
  <c r="CJ62" i="861" s="1"/>
  <c r="DD21" i="861"/>
  <c r="CK62" i="861" s="1"/>
  <c r="DE21" i="861"/>
  <c r="DF21" i="861"/>
  <c r="CX22" i="861"/>
  <c r="CY22" i="861"/>
  <c r="CZ22" i="861"/>
  <c r="DA22" i="861"/>
  <c r="DB22" i="861"/>
  <c r="DC22" i="861"/>
  <c r="CJ63" i="861" s="1"/>
  <c r="DD22" i="861"/>
  <c r="CK63" i="861" s="1"/>
  <c r="DE22" i="861"/>
  <c r="CL63" i="861" s="1"/>
  <c r="DF22" i="861"/>
  <c r="CM63" i="861" s="1"/>
  <c r="CX23" i="861"/>
  <c r="CE8" i="861" s="1"/>
  <c r="CY23" i="861"/>
  <c r="CF8" i="861" s="1"/>
  <c r="CZ23" i="861"/>
  <c r="CG8" i="861" s="1"/>
  <c r="DA23" i="861"/>
  <c r="CH8" i="861" s="1"/>
  <c r="DB23" i="861"/>
  <c r="CI8" i="861" s="1"/>
  <c r="DC23" i="861"/>
  <c r="DD23" i="861"/>
  <c r="CK8" i="861" s="1"/>
  <c r="DE23" i="861"/>
  <c r="CL8" i="861" s="1"/>
  <c r="DF23" i="861"/>
  <c r="CM8" i="861" s="1"/>
  <c r="CX24" i="861"/>
  <c r="CY24" i="861"/>
  <c r="CZ24" i="861"/>
  <c r="DA24" i="861"/>
  <c r="CH6" i="861" s="1"/>
  <c r="DB24" i="861"/>
  <c r="CI6" i="861" s="1"/>
  <c r="DC24" i="861"/>
  <c r="CJ6" i="861" s="1"/>
  <c r="DD24" i="861"/>
  <c r="CK6" i="861" s="1"/>
  <c r="DE24" i="861"/>
  <c r="CL6" i="861" s="1"/>
  <c r="DF24" i="861"/>
  <c r="CM6" i="861" s="1"/>
  <c r="CX25" i="861"/>
  <c r="CY25" i="861"/>
  <c r="CZ25" i="861"/>
  <c r="DA25" i="861"/>
  <c r="DB25" i="861"/>
  <c r="DC25" i="861"/>
  <c r="DD25" i="861"/>
  <c r="DE25" i="861"/>
  <c r="DF25" i="861"/>
  <c r="CX26" i="861"/>
  <c r="CY26" i="861"/>
  <c r="CZ26" i="861"/>
  <c r="DA26" i="861"/>
  <c r="CH5" i="861" s="1"/>
  <c r="DB26" i="861"/>
  <c r="CI5" i="861" s="1"/>
  <c r="DC26" i="861"/>
  <c r="CJ5" i="861" s="1"/>
  <c r="DD26" i="861"/>
  <c r="CK5" i="861" s="1"/>
  <c r="DE26" i="861"/>
  <c r="CL5" i="861" s="1"/>
  <c r="DF26" i="861"/>
  <c r="CM5" i="861" s="1"/>
  <c r="CX27" i="861"/>
  <c r="CE11" i="861" s="1"/>
  <c r="CY27" i="861"/>
  <c r="CZ27" i="861"/>
  <c r="CG11" i="861" s="1"/>
  <c r="DA27" i="861"/>
  <c r="CH11" i="861" s="1"/>
  <c r="DB27" i="861"/>
  <c r="CI11" i="861" s="1"/>
  <c r="DC27" i="861"/>
  <c r="DD27" i="861"/>
  <c r="DE27" i="861"/>
  <c r="DF27" i="861"/>
  <c r="CX28" i="861"/>
  <c r="CE4" i="861" s="1"/>
  <c r="CY28" i="861"/>
  <c r="CF4" i="861" s="1"/>
  <c r="CZ28" i="861"/>
  <c r="CG4" i="861" s="1"/>
  <c r="DA28" i="861"/>
  <c r="CH4" i="861" s="1"/>
  <c r="DB28" i="861"/>
  <c r="CI4" i="861" s="1"/>
  <c r="DC28" i="861"/>
  <c r="CJ4" i="861" s="1"/>
  <c r="DD28" i="861"/>
  <c r="CK4" i="861" s="1"/>
  <c r="DE28" i="861"/>
  <c r="CL4" i="861" s="1"/>
  <c r="DF28" i="861"/>
  <c r="CX29" i="861"/>
  <c r="CE14" i="861" s="1"/>
  <c r="CY29" i="861"/>
  <c r="CZ29" i="861"/>
  <c r="CG14" i="861" s="1"/>
  <c r="DA29" i="861"/>
  <c r="DB29" i="861"/>
  <c r="DC29" i="861"/>
  <c r="DD29" i="861"/>
  <c r="CK14" i="861" s="1"/>
  <c r="DE29" i="861"/>
  <c r="CL14" i="861" s="1"/>
  <c r="DF29" i="861"/>
  <c r="CM14" i="861" s="1"/>
  <c r="CX30" i="861"/>
  <c r="CE15" i="861" s="1"/>
  <c r="CY30" i="861"/>
  <c r="CF15" i="861" s="1"/>
  <c r="CZ30" i="861"/>
  <c r="CG15" i="861" s="1"/>
  <c r="DA30" i="861"/>
  <c r="CH15" i="861" s="1"/>
  <c r="DB30" i="861"/>
  <c r="CI15" i="861" s="1"/>
  <c r="DC30" i="861"/>
  <c r="CJ15" i="861" s="1"/>
  <c r="DD30" i="861"/>
  <c r="DE30" i="861"/>
  <c r="CL15" i="861" s="1"/>
  <c r="DF30" i="861"/>
  <c r="CM15" i="861" s="1"/>
  <c r="CX31" i="861"/>
  <c r="CE40" i="861" s="1"/>
  <c r="CY31" i="861"/>
  <c r="CZ31" i="861"/>
  <c r="DA31" i="861"/>
  <c r="DB31" i="861"/>
  <c r="CI40" i="861" s="1"/>
  <c r="DC31" i="861"/>
  <c r="CJ40" i="861" s="1"/>
  <c r="DD31" i="861"/>
  <c r="CK40" i="861" s="1"/>
  <c r="DE31" i="861"/>
  <c r="CL40" i="861" s="1"/>
  <c r="DF31" i="861"/>
  <c r="CM40" i="861" s="1"/>
  <c r="CX32" i="861"/>
  <c r="CE41" i="861" s="1"/>
  <c r="CY32" i="861"/>
  <c r="CF41" i="861" s="1"/>
  <c r="CZ32" i="861"/>
  <c r="CG41" i="861" s="1"/>
  <c r="DA32" i="861"/>
  <c r="CH41" i="861" s="1"/>
  <c r="DB32" i="861"/>
  <c r="DC32" i="861"/>
  <c r="CJ41" i="861" s="1"/>
  <c r="DD32" i="861"/>
  <c r="DE32" i="861"/>
  <c r="CL41" i="861" s="1"/>
  <c r="DF32" i="861"/>
  <c r="CX33" i="861"/>
  <c r="CY33" i="861"/>
  <c r="CZ33" i="861"/>
  <c r="CG43" i="861" s="1"/>
  <c r="DA33" i="861"/>
  <c r="CH43" i="861" s="1"/>
  <c r="DB33" i="861"/>
  <c r="CI43" i="861" s="1"/>
  <c r="DC33" i="861"/>
  <c r="CJ43" i="861" s="1"/>
  <c r="DD33" i="861"/>
  <c r="CK43" i="861" s="1"/>
  <c r="DE33" i="861"/>
  <c r="CL43" i="861" s="1"/>
  <c r="DF33" i="861"/>
  <c r="CM43" i="861" s="1"/>
  <c r="CX34" i="861"/>
  <c r="CE38" i="861" s="1"/>
  <c r="CY34" i="861"/>
  <c r="CF38" i="861" s="1"/>
  <c r="CZ34" i="861"/>
  <c r="DA34" i="861"/>
  <c r="CH38" i="861" s="1"/>
  <c r="DB34" i="861"/>
  <c r="DC34" i="861"/>
  <c r="CJ38" i="861" s="1"/>
  <c r="DD34" i="861"/>
  <c r="DE34" i="861"/>
  <c r="DF34" i="861"/>
  <c r="CX35" i="861"/>
  <c r="CY35" i="861"/>
  <c r="CF37" i="861" s="1"/>
  <c r="CZ35" i="861"/>
  <c r="CG37" i="861" s="1"/>
  <c r="DA35" i="861"/>
  <c r="CH37" i="861" s="1"/>
  <c r="DB35" i="861"/>
  <c r="CI37" i="861" s="1"/>
  <c r="DC35" i="861"/>
  <c r="CJ37" i="861" s="1"/>
  <c r="DD35" i="861"/>
  <c r="CK37" i="861" s="1"/>
  <c r="DE35" i="861"/>
  <c r="CL37" i="861" s="1"/>
  <c r="DF35" i="861"/>
  <c r="CM37" i="861" s="1"/>
  <c r="CX36" i="861"/>
  <c r="CY36" i="861"/>
  <c r="CF39" i="861" s="1"/>
  <c r="CZ36" i="861"/>
  <c r="DA36" i="861"/>
  <c r="CH39" i="861" s="1"/>
  <c r="DB36" i="861"/>
  <c r="DC36" i="861"/>
  <c r="DD36" i="861"/>
  <c r="DE36" i="861"/>
  <c r="CL39" i="861" s="1"/>
  <c r="DF36" i="861"/>
  <c r="CM39" i="861" s="1"/>
  <c r="CX37" i="861"/>
  <c r="CE44" i="861" s="1"/>
  <c r="CY37" i="861"/>
  <c r="CF44" i="861" s="1"/>
  <c r="CZ37" i="861"/>
  <c r="CG44" i="861" s="1"/>
  <c r="DA37" i="861"/>
  <c r="CH44" i="861" s="1"/>
  <c r="DB37" i="861"/>
  <c r="CI44" i="861" s="1"/>
  <c r="DC37" i="861"/>
  <c r="CJ44" i="861" s="1"/>
  <c r="DD37" i="861"/>
  <c r="DE37" i="861"/>
  <c r="DF37" i="861"/>
  <c r="CM44" i="861" s="1"/>
  <c r="CX38" i="861"/>
  <c r="CY38" i="861"/>
  <c r="CZ38" i="861"/>
  <c r="DA38" i="861"/>
  <c r="DB38" i="861"/>
  <c r="DC38" i="861"/>
  <c r="DD38" i="861"/>
  <c r="DE38" i="861"/>
  <c r="DF38" i="861"/>
  <c r="CX39" i="861"/>
  <c r="CE50" i="861" s="1"/>
  <c r="CY39" i="861"/>
  <c r="CF50" i="861" s="1"/>
  <c r="CZ39" i="861"/>
  <c r="CG50" i="861" s="1"/>
  <c r="DA39" i="861"/>
  <c r="CH50" i="861" s="1"/>
  <c r="DB39" i="861"/>
  <c r="CI50" i="861" s="1"/>
  <c r="DC39" i="861"/>
  <c r="DD39" i="861"/>
  <c r="DE39" i="861"/>
  <c r="DF39" i="861"/>
  <c r="CM50" i="861" s="1"/>
  <c r="CX40" i="861"/>
  <c r="CY40" i="861"/>
  <c r="CZ40" i="861"/>
  <c r="DA40" i="861"/>
  <c r="CH51" i="861" s="1"/>
  <c r="DB40" i="861"/>
  <c r="CI51" i="861" s="1"/>
  <c r="DC40" i="861"/>
  <c r="CJ51" i="861" s="1"/>
  <c r="DD40" i="861"/>
  <c r="CK51" i="861" s="1"/>
  <c r="DE40" i="861"/>
  <c r="CL51" i="861" s="1"/>
  <c r="DF40" i="861"/>
  <c r="CM51" i="861" s="1"/>
  <c r="CX41" i="861"/>
  <c r="CE22" i="861" s="1"/>
  <c r="CY41" i="861"/>
  <c r="CF22" i="861" s="1"/>
  <c r="CZ41" i="861"/>
  <c r="CG22" i="861" s="1"/>
  <c r="DA41" i="861"/>
  <c r="DB41" i="861"/>
  <c r="CI22" i="861" s="1"/>
  <c r="DC41" i="861"/>
  <c r="DD41" i="861"/>
  <c r="CK22" i="861" s="1"/>
  <c r="DE41" i="861"/>
  <c r="DF41" i="861"/>
  <c r="CX42" i="861"/>
  <c r="CY42" i="861"/>
  <c r="CF23" i="861" s="1"/>
  <c r="CZ42" i="861"/>
  <c r="CG23" i="861" s="1"/>
  <c r="DA42" i="861"/>
  <c r="CH23" i="861" s="1"/>
  <c r="DB42" i="861"/>
  <c r="CI23" i="861" s="1"/>
  <c r="DC42" i="861"/>
  <c r="CJ23" i="861" s="1"/>
  <c r="DD42" i="861"/>
  <c r="CK23" i="861" s="1"/>
  <c r="DE42" i="861"/>
  <c r="CL23" i="861" s="1"/>
  <c r="DF42" i="861"/>
  <c r="CM23" i="861" s="1"/>
  <c r="CX43" i="861"/>
  <c r="CE31" i="861" s="1"/>
  <c r="CY43" i="861"/>
  <c r="CZ43" i="861"/>
  <c r="CG31" i="861" s="1"/>
  <c r="DA43" i="861"/>
  <c r="DB43" i="861"/>
  <c r="CI31" i="861" s="1"/>
  <c r="DC43" i="861"/>
  <c r="DD43" i="861"/>
  <c r="DE43" i="861"/>
  <c r="DF43" i="861"/>
  <c r="CM31" i="861" s="1"/>
  <c r="CX44" i="861"/>
  <c r="CE83" i="861" s="1"/>
  <c r="CY44" i="861"/>
  <c r="CF83" i="861" s="1"/>
  <c r="CZ44" i="861"/>
  <c r="CG83" i="861" s="1"/>
  <c r="DA44" i="861"/>
  <c r="CH83" i="861" s="1"/>
  <c r="DB44" i="861"/>
  <c r="CI83" i="861" s="1"/>
  <c r="DC44" i="861"/>
  <c r="CJ83" i="861" s="1"/>
  <c r="DD44" i="861"/>
  <c r="CK83" i="861" s="1"/>
  <c r="DE44" i="861"/>
  <c r="CL83" i="861" s="1"/>
  <c r="DF44" i="861"/>
  <c r="CX45" i="861"/>
  <c r="CY45" i="861"/>
  <c r="CZ45" i="861"/>
  <c r="CG91" i="861" s="1"/>
  <c r="DA45" i="861"/>
  <c r="DB45" i="861"/>
  <c r="DC45" i="861"/>
  <c r="DD45" i="861"/>
  <c r="CK91" i="861" s="1"/>
  <c r="DE45" i="861"/>
  <c r="CL91" i="861" s="1"/>
  <c r="DF45" i="861"/>
  <c r="CM91" i="861" s="1"/>
  <c r="CX46" i="861"/>
  <c r="CE84" i="861" s="1"/>
  <c r="CY46" i="861"/>
  <c r="CF84" i="861" s="1"/>
  <c r="CZ46" i="861"/>
  <c r="CG84" i="861" s="1"/>
  <c r="DA46" i="861"/>
  <c r="CH84" i="861" s="1"/>
  <c r="DB46" i="861"/>
  <c r="CI84" i="861" s="1"/>
  <c r="DC46" i="861"/>
  <c r="CJ84" i="861" s="1"/>
  <c r="DD46" i="861"/>
  <c r="DE46" i="861"/>
  <c r="DF46" i="861"/>
  <c r="CX47" i="861"/>
  <c r="CE80" i="861" s="1"/>
  <c r="CY47" i="861"/>
  <c r="CZ47" i="861"/>
  <c r="DA47" i="861"/>
  <c r="DB47" i="861"/>
  <c r="CI80" i="861" s="1"/>
  <c r="DC47" i="861"/>
  <c r="CJ80" i="861" s="1"/>
  <c r="DD47" i="861"/>
  <c r="CK80" i="861" s="1"/>
  <c r="DE47" i="861"/>
  <c r="CL80" i="861" s="1"/>
  <c r="DF47" i="861"/>
  <c r="CM80" i="861" s="1"/>
  <c r="CX48" i="861"/>
  <c r="CE81" i="861" s="1"/>
  <c r="CY48" i="861"/>
  <c r="CF81" i="861" s="1"/>
  <c r="CZ48" i="861"/>
  <c r="CG81" i="861" s="1"/>
  <c r="DA48" i="861"/>
  <c r="CH81" i="861" s="1"/>
  <c r="DB48" i="861"/>
  <c r="DC48" i="861"/>
  <c r="CJ81" i="861" s="1"/>
  <c r="DD48" i="861"/>
  <c r="DE48" i="861"/>
  <c r="CL81" i="861" s="1"/>
  <c r="DF48" i="861"/>
  <c r="CM81" i="861" s="1"/>
  <c r="CX49" i="861"/>
  <c r="CY49" i="861"/>
  <c r="CZ49" i="861"/>
  <c r="CG82" i="861" s="1"/>
  <c r="DA49" i="861"/>
  <c r="CH82" i="861" s="1"/>
  <c r="DB49" i="861"/>
  <c r="CI82" i="861" s="1"/>
  <c r="DC49" i="861"/>
  <c r="CJ82" i="861" s="1"/>
  <c r="DD49" i="861"/>
  <c r="CK82" i="861" s="1"/>
  <c r="DE49" i="861"/>
  <c r="CL82" i="861" s="1"/>
  <c r="DF49" i="861"/>
  <c r="CM82" i="861" s="1"/>
  <c r="CX50" i="861"/>
  <c r="CE88" i="861" s="1"/>
  <c r="CY50" i="861"/>
  <c r="CF88" i="861" s="1"/>
  <c r="CZ50" i="861"/>
  <c r="DA50" i="861"/>
  <c r="DB50" i="861"/>
  <c r="DC50" i="861"/>
  <c r="CJ88" i="861" s="1"/>
  <c r="DD50" i="861"/>
  <c r="DE50" i="861"/>
  <c r="DF50" i="861"/>
  <c r="CX51" i="861"/>
  <c r="CE89" i="861" s="1"/>
  <c r="CY51" i="861"/>
  <c r="CF89" i="861" s="1"/>
  <c r="CZ51" i="861"/>
  <c r="CG89" i="861" s="1"/>
  <c r="DA51" i="861"/>
  <c r="CH89" i="861" s="1"/>
  <c r="DB51" i="861"/>
  <c r="CI89" i="861" s="1"/>
  <c r="DC51" i="861"/>
  <c r="CJ89" i="861" s="1"/>
  <c r="DD51" i="861"/>
  <c r="CK89" i="861" s="1"/>
  <c r="DE51" i="861"/>
  <c r="CL89" i="861" s="1"/>
  <c r="DF51" i="861"/>
  <c r="CM89" i="861" s="1"/>
  <c r="CX52" i="861"/>
  <c r="CY52" i="861"/>
  <c r="CZ52" i="861"/>
  <c r="DA52" i="861"/>
  <c r="CH99" i="861" s="1"/>
  <c r="DB52" i="861"/>
  <c r="DC52" i="861"/>
  <c r="DD52" i="861"/>
  <c r="DE52" i="861"/>
  <c r="CL99" i="861" s="1"/>
  <c r="DF52" i="861"/>
  <c r="CM99" i="861" s="1"/>
  <c r="CX53" i="861"/>
  <c r="CE100" i="861" s="1"/>
  <c r="CY53" i="861"/>
  <c r="CF100" i="861" s="1"/>
  <c r="CZ53" i="861"/>
  <c r="CG100" i="861" s="1"/>
  <c r="DA53" i="861"/>
  <c r="CH100" i="861" s="1"/>
  <c r="DB53" i="861"/>
  <c r="CI100" i="861" s="1"/>
  <c r="DC53" i="861"/>
  <c r="CJ100" i="861" s="1"/>
  <c r="DD53" i="861"/>
  <c r="CK100" i="861" s="1"/>
  <c r="DE53" i="861"/>
  <c r="DF53" i="861"/>
  <c r="CX54" i="861"/>
  <c r="CY54" i="861"/>
  <c r="CZ54" i="861"/>
  <c r="DA54" i="861"/>
  <c r="DB54" i="861"/>
  <c r="DC54" i="861"/>
  <c r="DD54" i="861"/>
  <c r="DE54" i="861"/>
  <c r="DF54" i="861"/>
  <c r="CX55" i="861"/>
  <c r="CE79" i="861" s="1"/>
  <c r="CY55" i="861"/>
  <c r="CF79" i="861" s="1"/>
  <c r="CZ55" i="861"/>
  <c r="CG79" i="861" s="1"/>
  <c r="DA55" i="861"/>
  <c r="CH79" i="861" s="1"/>
  <c r="DB55" i="861"/>
  <c r="CI79" i="861" s="1"/>
  <c r="DC55" i="861"/>
  <c r="DD55" i="861"/>
  <c r="DE55" i="861"/>
  <c r="DF55" i="861"/>
  <c r="CM79" i="861" s="1"/>
  <c r="CX56" i="861"/>
  <c r="CY56" i="861"/>
  <c r="CZ56" i="861"/>
  <c r="DA56" i="861"/>
  <c r="CH115" i="861" s="1"/>
  <c r="DB56" i="861"/>
  <c r="CI115" i="861" s="1"/>
  <c r="DC56" i="861"/>
  <c r="CJ115" i="861" s="1"/>
  <c r="DD56" i="861"/>
  <c r="CK115" i="861" s="1"/>
  <c r="DE56" i="861"/>
  <c r="CL115" i="861" s="1"/>
  <c r="DF56" i="861"/>
  <c r="CM115" i="861" s="1"/>
  <c r="CX57" i="861"/>
  <c r="CE116" i="861" s="1"/>
  <c r="CY57" i="861"/>
  <c r="CF116" i="861" s="1"/>
  <c r="CZ57" i="861"/>
  <c r="CG116" i="861" s="1"/>
  <c r="DA57" i="861"/>
  <c r="DB57" i="861"/>
  <c r="DC57" i="861"/>
  <c r="DD57" i="861"/>
  <c r="CK116" i="861" s="1"/>
  <c r="DE57" i="861"/>
  <c r="DF57" i="861"/>
  <c r="CX58" i="861"/>
  <c r="CY58" i="861"/>
  <c r="CF119" i="861" s="1"/>
  <c r="CZ58" i="861"/>
  <c r="CG119" i="861" s="1"/>
  <c r="DA58" i="861"/>
  <c r="CH119" i="861" s="1"/>
  <c r="DB58" i="861"/>
  <c r="CI119" i="861" s="1"/>
  <c r="DC58" i="861"/>
  <c r="CJ119" i="861" s="1"/>
  <c r="DD58" i="861"/>
  <c r="CK119" i="861" s="1"/>
  <c r="DE58" i="861"/>
  <c r="CL119" i="861" s="1"/>
  <c r="DF58" i="861"/>
  <c r="CM119" i="861" s="1"/>
  <c r="CX59" i="861"/>
  <c r="CE124" i="861" s="1"/>
  <c r="CY59" i="861"/>
  <c r="CZ59" i="861"/>
  <c r="CG124" i="861" s="1"/>
  <c r="DA59" i="861"/>
  <c r="DB59" i="861"/>
  <c r="CI124" i="861" s="1"/>
  <c r="DC59" i="861"/>
  <c r="DD59" i="861"/>
  <c r="DE59" i="861"/>
  <c r="DF59" i="861"/>
  <c r="CM124" i="861" s="1"/>
  <c r="CX60" i="861"/>
  <c r="CE121" i="861" s="1"/>
  <c r="CY60" i="861"/>
  <c r="CF121" i="861" s="1"/>
  <c r="CZ60" i="861"/>
  <c r="CG121" i="861" s="1"/>
  <c r="DA60" i="861"/>
  <c r="CH121" i="861" s="1"/>
  <c r="DB60" i="861"/>
  <c r="CI121" i="861" s="1"/>
  <c r="DC60" i="861"/>
  <c r="CJ121" i="861" s="1"/>
  <c r="DD60" i="861"/>
  <c r="CK121" i="861" s="1"/>
  <c r="DE60" i="861"/>
  <c r="CL121" i="861" s="1"/>
  <c r="DF60" i="861"/>
  <c r="CX61" i="861"/>
  <c r="CY61" i="861"/>
  <c r="CZ61" i="861"/>
  <c r="CG122" i="861" s="1"/>
  <c r="DA61" i="861"/>
  <c r="DB61" i="861"/>
  <c r="DC61" i="861"/>
  <c r="DD61" i="861"/>
  <c r="CK122" i="861" s="1"/>
  <c r="DE61" i="861"/>
  <c r="CL122" i="861" s="1"/>
  <c r="DF61" i="861"/>
  <c r="CM122" i="861" s="1"/>
  <c r="CX62" i="861"/>
  <c r="CE114" i="861" s="1"/>
  <c r="CY62" i="861"/>
  <c r="CF114" i="861" s="1"/>
  <c r="CZ62" i="861"/>
  <c r="CG114" i="861" s="1"/>
  <c r="DA62" i="861"/>
  <c r="CH114" i="861" s="1"/>
  <c r="DB62" i="861"/>
  <c r="CI114" i="861" s="1"/>
  <c r="DC62" i="861"/>
  <c r="CJ114" i="861" s="1"/>
  <c r="DD62" i="861"/>
  <c r="DE62" i="861"/>
  <c r="DF62" i="861"/>
  <c r="CX63" i="861"/>
  <c r="CE123" i="861" s="1"/>
  <c r="CY63" i="861"/>
  <c r="CZ63" i="861"/>
  <c r="DA63" i="861"/>
  <c r="DB63" i="861"/>
  <c r="DC63" i="861"/>
  <c r="CJ123" i="861" s="1"/>
  <c r="DD63" i="861"/>
  <c r="DE63" i="861"/>
  <c r="CL123" i="861" s="1"/>
  <c r="DF63" i="861"/>
  <c r="CM123" i="861" s="1"/>
  <c r="CX64" i="861"/>
  <c r="CE126" i="861" s="1"/>
  <c r="CY64" i="861"/>
  <c r="CF126" i="861" s="1"/>
  <c r="CZ64" i="861"/>
  <c r="CG126" i="861" s="1"/>
  <c r="DA64" i="861"/>
  <c r="CH126" i="861" s="1"/>
  <c r="DB64" i="861"/>
  <c r="DC64" i="861"/>
  <c r="DD64" i="861"/>
  <c r="DE64" i="861"/>
  <c r="CL126" i="861" s="1"/>
  <c r="DF64" i="861"/>
  <c r="CX65" i="861"/>
  <c r="CY65" i="861"/>
  <c r="CZ65" i="861"/>
  <c r="CG127" i="861" s="1"/>
  <c r="DA65" i="861"/>
  <c r="CH127" i="861" s="1"/>
  <c r="DB65" i="861"/>
  <c r="CI127" i="861" s="1"/>
  <c r="DC65" i="861"/>
  <c r="CJ127" i="861" s="1"/>
  <c r="DD65" i="861"/>
  <c r="CK127" i="861" s="1"/>
  <c r="DE65" i="861"/>
  <c r="CL127" i="861" s="1"/>
  <c r="DF65" i="861"/>
  <c r="CM127" i="861" s="1"/>
  <c r="CX66" i="861"/>
  <c r="CY66" i="861"/>
  <c r="CZ66" i="861"/>
  <c r="DA66" i="861"/>
  <c r="DB66" i="861"/>
  <c r="DC66" i="861"/>
  <c r="DD66" i="861"/>
  <c r="DE66" i="861"/>
  <c r="DF66" i="861"/>
  <c r="CX67" i="861"/>
  <c r="CY67" i="861"/>
  <c r="CF105" i="861" s="1"/>
  <c r="CZ67" i="861"/>
  <c r="CG105" i="861" s="1"/>
  <c r="DA67" i="861"/>
  <c r="CH105" i="861" s="1"/>
  <c r="DB67" i="861"/>
  <c r="CI105" i="861" s="1"/>
  <c r="DC67" i="861"/>
  <c r="CJ105" i="861" s="1"/>
  <c r="DD67" i="861"/>
  <c r="CK105" i="861" s="1"/>
  <c r="DE67" i="861"/>
  <c r="CL105" i="861" s="1"/>
  <c r="DF67" i="861"/>
  <c r="CM105" i="861" s="1"/>
  <c r="CX68" i="861"/>
  <c r="CY68" i="861"/>
  <c r="CZ68" i="861"/>
  <c r="DA68" i="861"/>
  <c r="CH106" i="861" s="1"/>
  <c r="DB68" i="861"/>
  <c r="DC68" i="861"/>
  <c r="DD68" i="861"/>
  <c r="DE68" i="861"/>
  <c r="CL106" i="861" s="1"/>
  <c r="DF68" i="861"/>
  <c r="CM106" i="861" s="1"/>
  <c r="CX69" i="861"/>
  <c r="CE107" i="861" s="1"/>
  <c r="CY69" i="861"/>
  <c r="CF107" i="861" s="1"/>
  <c r="CZ69" i="861"/>
  <c r="CG107" i="861" s="1"/>
  <c r="DA69" i="861"/>
  <c r="CH107" i="861" s="1"/>
  <c r="DB69" i="861"/>
  <c r="CI107" i="861" s="1"/>
  <c r="DC69" i="861"/>
  <c r="CJ107" i="861" s="1"/>
  <c r="DD69" i="861"/>
  <c r="CK107" i="861" s="1"/>
  <c r="DE69" i="861"/>
  <c r="DF69" i="861"/>
  <c r="CX70" i="861"/>
  <c r="CY70" i="861"/>
  <c r="CF108" i="861" s="1"/>
  <c r="CZ70" i="861"/>
  <c r="DA70" i="861"/>
  <c r="DB70" i="861"/>
  <c r="DC70" i="861"/>
  <c r="DD70" i="861"/>
  <c r="CK108" i="861" s="1"/>
  <c r="DE70" i="861"/>
  <c r="CL108" i="861" s="1"/>
  <c r="DF70" i="861"/>
  <c r="CM108" i="861" s="1"/>
  <c r="CX71" i="861"/>
  <c r="CE109" i="861" s="1"/>
  <c r="CY71" i="861"/>
  <c r="CF109" i="861" s="1"/>
  <c r="CZ71" i="861"/>
  <c r="CG109" i="861" s="1"/>
  <c r="DA71" i="861"/>
  <c r="CH109" i="861" s="1"/>
  <c r="DB71" i="861"/>
  <c r="CI109" i="861" s="1"/>
  <c r="DC71" i="861"/>
  <c r="DD71" i="861"/>
  <c r="DE71" i="861"/>
  <c r="DF71" i="861"/>
  <c r="CM109" i="861" s="1"/>
  <c r="CB7" i="861"/>
  <c r="CX72" i="861"/>
  <c r="CE7" i="861" s="1"/>
  <c r="CY72" i="861"/>
  <c r="CZ72" i="861"/>
  <c r="CG7" i="861" s="1"/>
  <c r="DA72" i="861"/>
  <c r="CH7" i="861" s="1"/>
  <c r="DB72" i="861"/>
  <c r="CI7" i="861" s="1"/>
  <c r="DC72" i="861"/>
  <c r="CJ7" i="861" s="1"/>
  <c r="DD72" i="861"/>
  <c r="CK7" i="861" s="1"/>
  <c r="DE72" i="861"/>
  <c r="CL7" i="861" s="1"/>
  <c r="DF72" i="861"/>
  <c r="CM7" i="861" s="1"/>
  <c r="CX73" i="861"/>
  <c r="CY73" i="861"/>
  <c r="CZ73" i="861"/>
  <c r="DA73" i="861"/>
  <c r="DB73" i="861"/>
  <c r="DC73" i="861"/>
  <c r="DD73" i="861"/>
  <c r="DE73" i="861"/>
  <c r="DF73" i="861"/>
  <c r="CX74" i="861"/>
  <c r="CE10" i="861" s="1"/>
  <c r="CY74" i="861"/>
  <c r="CF10" i="861" s="1"/>
  <c r="CZ74" i="861"/>
  <c r="CG10" i="861" s="1"/>
  <c r="DA74" i="861"/>
  <c r="CH10" i="861" s="1"/>
  <c r="DB74" i="861"/>
  <c r="CI10" i="861" s="1"/>
  <c r="DC74" i="861"/>
  <c r="CJ10" i="861" s="1"/>
  <c r="DD74" i="861"/>
  <c r="CK10" i="861" s="1"/>
  <c r="DE74" i="861"/>
  <c r="CL10" i="861" s="1"/>
  <c r="DF74" i="861"/>
  <c r="CM10" i="861" s="1"/>
  <c r="CX75" i="861"/>
  <c r="CY75" i="861"/>
  <c r="CF9" i="861" s="1"/>
  <c r="CZ75" i="861"/>
  <c r="CG9" i="861" s="1"/>
  <c r="DA75" i="861"/>
  <c r="CH9" i="861" s="1"/>
  <c r="DB75" i="861"/>
  <c r="DC75" i="861"/>
  <c r="CJ9" i="861" s="1"/>
  <c r="DD75" i="861"/>
  <c r="DE75" i="861"/>
  <c r="CL9" i="861" s="1"/>
  <c r="DF75" i="861"/>
  <c r="CM9" i="861" s="1"/>
  <c r="CX76" i="861"/>
  <c r="CE16" i="861" s="1"/>
  <c r="CY76" i="861"/>
  <c r="CF16" i="861" s="1"/>
  <c r="CZ76" i="861"/>
  <c r="CG16" i="861" s="1"/>
  <c r="DA76" i="861"/>
  <c r="CH16" i="861" s="1"/>
  <c r="DB76" i="861"/>
  <c r="CI16" i="861" s="1"/>
  <c r="DC76" i="861"/>
  <c r="CJ16" i="861" s="1"/>
  <c r="DD76" i="861"/>
  <c r="CK16" i="861" s="1"/>
  <c r="DE76" i="861"/>
  <c r="DF76" i="861"/>
  <c r="CM16" i="861" s="1"/>
  <c r="CX77" i="861"/>
  <c r="CY77" i="861"/>
  <c r="CF12" i="861" s="1"/>
  <c r="CZ77" i="861"/>
  <c r="CG12" i="861" s="1"/>
  <c r="DA77" i="861"/>
  <c r="CH12" i="861" s="1"/>
  <c r="DB77" i="861"/>
  <c r="DC77" i="861"/>
  <c r="CJ12" i="861" s="1"/>
  <c r="DD77" i="861"/>
  <c r="CK12" i="861" s="1"/>
  <c r="DE77" i="861"/>
  <c r="CL12" i="861" s="1"/>
  <c r="DF77" i="861"/>
  <c r="CM12" i="861" s="1"/>
  <c r="CX78" i="861"/>
  <c r="CE13" i="861" s="1"/>
  <c r="CY78" i="861"/>
  <c r="CF13" i="861" s="1"/>
  <c r="CZ78" i="861"/>
  <c r="CG13" i="861" s="1"/>
  <c r="DA78" i="861"/>
  <c r="CH13" i="861" s="1"/>
  <c r="DB78" i="861"/>
  <c r="CI13" i="861" s="1"/>
  <c r="DC78" i="861"/>
  <c r="DD78" i="861"/>
  <c r="CK13" i="861" s="1"/>
  <c r="DE78" i="861"/>
  <c r="CL13" i="861" s="1"/>
  <c r="DF78" i="861"/>
  <c r="CM13" i="861" s="1"/>
  <c r="CX79" i="861"/>
  <c r="CY79" i="861"/>
  <c r="CZ79" i="861"/>
  <c r="DA79" i="861"/>
  <c r="DB79" i="861"/>
  <c r="DC79" i="861"/>
  <c r="DD79" i="861"/>
  <c r="DE79" i="861"/>
  <c r="DF79" i="861"/>
  <c r="CX80" i="861"/>
  <c r="CE49" i="861" s="1"/>
  <c r="CY80" i="861"/>
  <c r="CF49" i="861" s="1"/>
  <c r="CZ80" i="861"/>
  <c r="CG49" i="861" s="1"/>
  <c r="DA80" i="861"/>
  <c r="DB80" i="861"/>
  <c r="DC80" i="861"/>
  <c r="DD80" i="861"/>
  <c r="CK49" i="861" s="1"/>
  <c r="DE80" i="861"/>
  <c r="DF80" i="861"/>
  <c r="CM49" i="861" s="1"/>
  <c r="CX81" i="861"/>
  <c r="CY81" i="861"/>
  <c r="CF47" i="861" s="1"/>
  <c r="CZ81" i="861"/>
  <c r="CG47" i="861" s="1"/>
  <c r="DA81" i="861"/>
  <c r="CH47" i="861" s="1"/>
  <c r="DB81" i="861"/>
  <c r="CI47" i="861" s="1"/>
  <c r="DC81" i="861"/>
  <c r="CJ47" i="861" s="1"/>
  <c r="DD81" i="861"/>
  <c r="CK47" i="861" s="1"/>
  <c r="DE81" i="861"/>
  <c r="CL47" i="861" s="1"/>
  <c r="DF81" i="861"/>
  <c r="CM47" i="861" s="1"/>
  <c r="CX82" i="861"/>
  <c r="CE48" i="861" s="1"/>
  <c r="CY82" i="861"/>
  <c r="CZ82" i="861"/>
  <c r="CG48" i="861" s="1"/>
  <c r="DA82" i="861"/>
  <c r="DB82" i="861"/>
  <c r="CI48" i="861" s="1"/>
  <c r="DC82" i="861"/>
  <c r="CJ48" i="861" s="1"/>
  <c r="DD82" i="861"/>
  <c r="CK48" i="861" s="1"/>
  <c r="DE82" i="861"/>
  <c r="DF82" i="861"/>
  <c r="CM48" i="861" s="1"/>
  <c r="CX83" i="861"/>
  <c r="CY83" i="861"/>
  <c r="CZ83" i="861"/>
  <c r="DA83" i="861"/>
  <c r="DB83" i="861"/>
  <c r="DC83" i="861"/>
  <c r="DD83" i="861"/>
  <c r="DE83" i="861"/>
  <c r="DF83" i="861"/>
  <c r="CX84" i="861"/>
  <c r="CY84" i="861"/>
  <c r="CZ84" i="861"/>
  <c r="DA84" i="861"/>
  <c r="DB84" i="861"/>
  <c r="DC84" i="861"/>
  <c r="DD84" i="861"/>
  <c r="DE84" i="861"/>
  <c r="DF84" i="861"/>
  <c r="CX85" i="861"/>
  <c r="CE87" i="861" s="1"/>
  <c r="CY85" i="861"/>
  <c r="CF87" i="861" s="1"/>
  <c r="CZ85" i="861"/>
  <c r="CG87" i="861" s="1"/>
  <c r="DA85" i="861"/>
  <c r="CH87" i="861" s="1"/>
  <c r="DB85" i="861"/>
  <c r="DC85" i="861"/>
  <c r="CJ87" i="861" s="1"/>
  <c r="DD85" i="861"/>
  <c r="DE85" i="861"/>
  <c r="CL87" i="861" s="1"/>
  <c r="DF85" i="861"/>
  <c r="CX86" i="861"/>
  <c r="CY86" i="861"/>
  <c r="CZ86" i="861"/>
  <c r="DA86" i="861"/>
  <c r="DB86" i="861"/>
  <c r="DC86" i="861"/>
  <c r="DD86" i="861"/>
  <c r="DE86" i="861"/>
  <c r="DF86" i="861"/>
  <c r="CX87" i="861"/>
  <c r="CY87" i="861"/>
  <c r="CZ87" i="861"/>
  <c r="DA87" i="861"/>
  <c r="DB87" i="861"/>
  <c r="DC87" i="861"/>
  <c r="DD87" i="861"/>
  <c r="DE87" i="861"/>
  <c r="DF87" i="861"/>
  <c r="CX88" i="861"/>
  <c r="CE75" i="861" s="1"/>
  <c r="CY88" i="861"/>
  <c r="CZ88" i="861"/>
  <c r="CG75" i="861" s="1"/>
  <c r="DA88" i="861"/>
  <c r="CH75" i="861" s="1"/>
  <c r="DB88" i="861"/>
  <c r="CI75" i="861" s="1"/>
  <c r="DC88" i="861"/>
  <c r="CJ75" i="861" s="1"/>
  <c r="DD88" i="861"/>
  <c r="CK75" i="861" s="1"/>
  <c r="DE88" i="861"/>
  <c r="CL75" i="861" s="1"/>
  <c r="DF88" i="861"/>
  <c r="CM75" i="861" s="1"/>
  <c r="CX89" i="861"/>
  <c r="CE76" i="861" s="1"/>
  <c r="CY89" i="861"/>
  <c r="CF76" i="861" s="1"/>
  <c r="CZ89" i="861"/>
  <c r="DA89" i="861"/>
  <c r="CH76" i="861" s="1"/>
  <c r="DB89" i="861"/>
  <c r="DC89" i="861"/>
  <c r="CJ76" i="861" s="1"/>
  <c r="DD89" i="861"/>
  <c r="DE89" i="861"/>
  <c r="CL76" i="861" s="1"/>
  <c r="DF89" i="861"/>
  <c r="CX90" i="861"/>
  <c r="CY90" i="861"/>
  <c r="CZ90" i="861"/>
  <c r="DA90" i="861"/>
  <c r="DB90" i="861"/>
  <c r="DC90" i="861"/>
  <c r="DD90" i="861"/>
  <c r="DE90" i="861"/>
  <c r="DF90" i="861"/>
  <c r="CX91" i="861"/>
  <c r="CY91" i="861"/>
  <c r="CZ91" i="861"/>
  <c r="DA91" i="861"/>
  <c r="CH71" i="861" s="1"/>
  <c r="DB91" i="861"/>
  <c r="DC91" i="861"/>
  <c r="CJ71" i="861" s="1"/>
  <c r="DD91" i="861"/>
  <c r="DE91" i="861"/>
  <c r="DF91" i="861"/>
  <c r="CM71" i="861" s="1"/>
  <c r="CX92" i="861"/>
  <c r="CE66" i="861" s="1"/>
  <c r="CY92" i="861"/>
  <c r="CF66" i="861" s="1"/>
  <c r="CZ92" i="861"/>
  <c r="CG66" i="861" s="1"/>
  <c r="DA92" i="861"/>
  <c r="CH66" i="861" s="1"/>
  <c r="DB92" i="861"/>
  <c r="CI66" i="861" s="1"/>
  <c r="DC92" i="861"/>
  <c r="CJ66" i="861" s="1"/>
  <c r="DD92" i="861"/>
  <c r="CK66" i="861" s="1"/>
  <c r="DE92" i="861"/>
  <c r="DF92" i="861"/>
  <c r="CM66" i="861" s="1"/>
  <c r="CX93" i="861"/>
  <c r="CY93" i="861"/>
  <c r="CF110" i="861" s="1"/>
  <c r="CZ93" i="861"/>
  <c r="DA93" i="861"/>
  <c r="CH110" i="861" s="1"/>
  <c r="DB93" i="861"/>
  <c r="DC93" i="861"/>
  <c r="CJ110" i="861" s="1"/>
  <c r="DD93" i="861"/>
  <c r="CK110" i="861" s="1"/>
  <c r="DE93" i="861"/>
  <c r="CL110" i="861" s="1"/>
  <c r="DF93" i="861"/>
  <c r="CM110" i="861" s="1"/>
  <c r="CX94" i="861"/>
  <c r="CY94" i="861"/>
  <c r="CZ94" i="861"/>
  <c r="DA94" i="861"/>
  <c r="DB94" i="861"/>
  <c r="DC94" i="861"/>
  <c r="DD94" i="861"/>
  <c r="DE94" i="861"/>
  <c r="DF94" i="861"/>
  <c r="CX95" i="861"/>
  <c r="CY95" i="861"/>
  <c r="CZ95" i="861"/>
  <c r="DA95" i="861"/>
  <c r="DB95" i="861"/>
  <c r="DC95" i="861"/>
  <c r="DD95" i="861"/>
  <c r="DE95" i="861"/>
  <c r="DF95" i="861"/>
  <c r="CX96" i="861"/>
  <c r="CE129" i="861" s="1"/>
  <c r="CY96" i="861"/>
  <c r="CF129" i="861" s="1"/>
  <c r="CZ96" i="861"/>
  <c r="CG129" i="861" s="1"/>
  <c r="DA96" i="861"/>
  <c r="DB96" i="861"/>
  <c r="DC96" i="861"/>
  <c r="DD96" i="861"/>
  <c r="CK129" i="861" s="1"/>
  <c r="DE96" i="861"/>
  <c r="CL129" i="861" s="1"/>
  <c r="DF96" i="861"/>
  <c r="CM129" i="861" s="1"/>
  <c r="CX97" i="861"/>
  <c r="CY97" i="861"/>
  <c r="CF130" i="861" s="1"/>
  <c r="CZ97" i="861"/>
  <c r="CG130" i="861" s="1"/>
  <c r="DA97" i="861"/>
  <c r="CH130" i="861" s="1"/>
  <c r="DB97" i="861"/>
  <c r="CI130" i="861" s="1"/>
  <c r="DC97" i="861"/>
  <c r="CJ130" i="861" s="1"/>
  <c r="DD97" i="861"/>
  <c r="CK130" i="861" s="1"/>
  <c r="DE97" i="861"/>
  <c r="CL130" i="861" s="1"/>
  <c r="DF97" i="861"/>
  <c r="CM130" i="861" s="1"/>
  <c r="CX98" i="861"/>
  <c r="CY98" i="861"/>
  <c r="CZ98" i="861"/>
  <c r="DA98" i="861"/>
  <c r="DB98" i="861"/>
  <c r="DC98" i="861"/>
  <c r="DD98" i="861"/>
  <c r="DE98" i="861"/>
  <c r="DF98" i="861"/>
  <c r="CX99" i="861"/>
  <c r="CY99" i="861"/>
  <c r="CZ99" i="861"/>
  <c r="DA99" i="861"/>
  <c r="DB99" i="861"/>
  <c r="DC99" i="861"/>
  <c r="DD99" i="861"/>
  <c r="DE99" i="861"/>
  <c r="DF99" i="861"/>
  <c r="CX100" i="861"/>
  <c r="CY100" i="861"/>
  <c r="CZ100" i="861"/>
  <c r="DA100" i="861"/>
  <c r="DB100" i="861"/>
  <c r="DC100" i="861"/>
  <c r="DD100" i="861"/>
  <c r="DE100" i="861"/>
  <c r="DF100" i="861"/>
  <c r="CX101" i="861"/>
  <c r="CY101" i="861"/>
  <c r="CZ101" i="861"/>
  <c r="DA101" i="861"/>
  <c r="DB101" i="861"/>
  <c r="DC101" i="861"/>
  <c r="DD101" i="861"/>
  <c r="DE101" i="861"/>
  <c r="DF101" i="861"/>
  <c r="CX102" i="861"/>
  <c r="CY102" i="861"/>
  <c r="CZ102" i="861"/>
  <c r="DA102" i="861"/>
  <c r="DB102" i="861"/>
  <c r="DC102" i="861"/>
  <c r="DD102" i="861"/>
  <c r="DE102" i="861"/>
  <c r="DF102" i="861"/>
  <c r="CX103" i="861"/>
  <c r="CE46" i="861" s="1"/>
  <c r="CY103" i="861"/>
  <c r="CF46" i="861" s="1"/>
  <c r="CZ103" i="861"/>
  <c r="CG46" i="861" s="1"/>
  <c r="DA103" i="861"/>
  <c r="CH46" i="861" s="1"/>
  <c r="DB103" i="861"/>
  <c r="DC103" i="861"/>
  <c r="DD103" i="861"/>
  <c r="DE103" i="861"/>
  <c r="CL46" i="861" s="1"/>
  <c r="DF103" i="861"/>
  <c r="CX104" i="861"/>
  <c r="CE73" i="861" s="1"/>
  <c r="CY104" i="861"/>
  <c r="CZ104" i="861"/>
  <c r="CG73" i="861" s="1"/>
  <c r="DA104" i="861"/>
  <c r="CH73" i="861" s="1"/>
  <c r="DB104" i="861"/>
  <c r="CI73" i="861" s="1"/>
  <c r="DC104" i="861"/>
  <c r="CJ73" i="861" s="1"/>
  <c r="DD104" i="861"/>
  <c r="CK73" i="861" s="1"/>
  <c r="DE104" i="861"/>
  <c r="CL73" i="861" s="1"/>
  <c r="DF104" i="861"/>
  <c r="CM73" i="861" s="1"/>
  <c r="CX105" i="861"/>
  <c r="CY105" i="861"/>
  <c r="CZ105" i="861"/>
  <c r="DA105" i="861"/>
  <c r="DB105" i="861"/>
  <c r="DC105" i="861"/>
  <c r="DD105" i="861"/>
  <c r="DE105" i="861"/>
  <c r="DF105" i="861"/>
  <c r="CX106" i="861"/>
  <c r="CY106" i="861"/>
  <c r="CZ106" i="861"/>
  <c r="DA106" i="861"/>
  <c r="DB106" i="861"/>
  <c r="DC106" i="861"/>
  <c r="DD106" i="861"/>
  <c r="DE106" i="861"/>
  <c r="DF106" i="861"/>
  <c r="CX107" i="861"/>
  <c r="CY107" i="861"/>
  <c r="CZ107" i="861"/>
  <c r="DA107" i="861"/>
  <c r="CH56" i="861" s="1"/>
  <c r="DB107" i="861"/>
  <c r="DC107" i="861"/>
  <c r="CJ56" i="861" s="1"/>
  <c r="DD107" i="861"/>
  <c r="DE107" i="861"/>
  <c r="DF107" i="861"/>
  <c r="CM56" i="861" s="1"/>
  <c r="CX108" i="861"/>
  <c r="CY108" i="861"/>
  <c r="CZ108" i="861"/>
  <c r="DA108" i="861"/>
  <c r="DB108" i="861"/>
  <c r="DC108" i="861"/>
  <c r="DD108" i="861"/>
  <c r="DE108" i="861"/>
  <c r="DF108" i="861"/>
  <c r="CX109" i="861"/>
  <c r="CY109" i="861"/>
  <c r="CZ109" i="861"/>
  <c r="DA109" i="861"/>
  <c r="DB109" i="861"/>
  <c r="DC109" i="861"/>
  <c r="DD109" i="861"/>
  <c r="DE109" i="861"/>
  <c r="DF109" i="861"/>
  <c r="CX110" i="861"/>
  <c r="CY110" i="861"/>
  <c r="CZ110" i="861"/>
  <c r="DA110" i="861"/>
  <c r="DB110" i="861"/>
  <c r="DC110" i="861"/>
  <c r="DD110" i="861"/>
  <c r="DE110" i="861"/>
  <c r="DF110" i="861"/>
  <c r="CX111" i="861"/>
  <c r="CY111" i="861"/>
  <c r="CZ111" i="861"/>
  <c r="DA111" i="861"/>
  <c r="DB111" i="861"/>
  <c r="DC111" i="861"/>
  <c r="DD111" i="861"/>
  <c r="DE111" i="861"/>
  <c r="DF111" i="861"/>
  <c r="CX112" i="861"/>
  <c r="CY112" i="861"/>
  <c r="CZ112" i="861"/>
  <c r="DA112" i="861"/>
  <c r="DB112" i="861"/>
  <c r="DC112" i="861"/>
  <c r="DD112" i="861"/>
  <c r="DE112" i="861"/>
  <c r="DF112" i="861"/>
  <c r="CX113" i="861"/>
  <c r="CY113" i="861"/>
  <c r="CZ113" i="861"/>
  <c r="DA113" i="861"/>
  <c r="DB113" i="861"/>
  <c r="DC113" i="861"/>
  <c r="DD113" i="861"/>
  <c r="DE113" i="861"/>
  <c r="DF113" i="861"/>
  <c r="CX114" i="861"/>
  <c r="CY114" i="861"/>
  <c r="CZ114" i="861"/>
  <c r="DA114" i="861"/>
  <c r="DB114" i="861"/>
  <c r="DC114" i="861"/>
  <c r="DD114" i="861"/>
  <c r="DE114" i="861"/>
  <c r="DF114" i="861"/>
  <c r="CX115" i="861"/>
  <c r="CY115" i="861"/>
  <c r="CZ115" i="861"/>
  <c r="DA115" i="861"/>
  <c r="DB115" i="861"/>
  <c r="DC115" i="861"/>
  <c r="DD115" i="861"/>
  <c r="DE115" i="861"/>
  <c r="DF115" i="861"/>
  <c r="CX116" i="861"/>
  <c r="CY116" i="861"/>
  <c r="CZ116" i="861"/>
  <c r="DA116" i="861"/>
  <c r="DB116" i="861"/>
  <c r="DC116" i="861"/>
  <c r="DD116" i="861"/>
  <c r="DE116" i="861"/>
  <c r="DF116" i="861"/>
  <c r="CX117" i="861"/>
  <c r="CE58" i="861" s="1"/>
  <c r="CY117" i="861"/>
  <c r="CF58" i="861" s="1"/>
  <c r="CZ117" i="861"/>
  <c r="CG58" i="861" s="1"/>
  <c r="DA117" i="861"/>
  <c r="CH58" i="861" s="1"/>
  <c r="DB117" i="861"/>
  <c r="CI58" i="861" s="1"/>
  <c r="DC117" i="861"/>
  <c r="CJ58" i="861" s="1"/>
  <c r="DD117" i="861"/>
  <c r="DE117" i="861"/>
  <c r="CL58" i="861" s="1"/>
  <c r="DF117" i="861"/>
  <c r="CX118" i="861"/>
  <c r="CE59" i="861" s="1"/>
  <c r="CY118" i="861"/>
  <c r="CF59" i="861" s="1"/>
  <c r="CZ118" i="861"/>
  <c r="CG59" i="861" s="1"/>
  <c r="DA118" i="861"/>
  <c r="DB118" i="861"/>
  <c r="DC118" i="861"/>
  <c r="CJ59" i="861" s="1"/>
  <c r="DD118" i="861"/>
  <c r="CK59" i="861" s="1"/>
  <c r="DE118" i="861"/>
  <c r="CL59" i="861" s="1"/>
  <c r="DF118" i="861"/>
  <c r="CM59" i="861" s="1"/>
  <c r="CX119" i="861"/>
  <c r="CY119" i="861"/>
  <c r="CZ119" i="861"/>
  <c r="DA119" i="861"/>
  <c r="DB119" i="861"/>
  <c r="DC119" i="861"/>
  <c r="DD119" i="861"/>
  <c r="DE119" i="861"/>
  <c r="DF119" i="861"/>
  <c r="CX120" i="861"/>
  <c r="CY120" i="861"/>
  <c r="CZ120" i="861"/>
  <c r="DA120" i="861"/>
  <c r="DB120" i="861"/>
  <c r="DC120" i="861"/>
  <c r="DD120" i="861"/>
  <c r="DE120" i="861"/>
  <c r="DF120" i="861"/>
  <c r="CX121" i="861"/>
  <c r="CY121" i="861"/>
  <c r="CZ121" i="861"/>
  <c r="DA121" i="861"/>
  <c r="DB121" i="861"/>
  <c r="DC121" i="861"/>
  <c r="DD121" i="861"/>
  <c r="DE121" i="861"/>
  <c r="DF121" i="861"/>
  <c r="CX122" i="861"/>
  <c r="CY122" i="861"/>
  <c r="CZ122" i="861"/>
  <c r="DA122" i="861"/>
  <c r="DB122" i="861"/>
  <c r="DC122" i="861"/>
  <c r="DD122" i="861"/>
  <c r="DE122" i="861"/>
  <c r="DF122" i="861"/>
  <c r="CX123" i="861"/>
  <c r="CY123" i="861"/>
  <c r="CF64" i="861" s="1"/>
  <c r="CZ123" i="861"/>
  <c r="DA123" i="861"/>
  <c r="CH64" i="861" s="1"/>
  <c r="DB123" i="861"/>
  <c r="DC123" i="861"/>
  <c r="CJ64" i="861" s="1"/>
  <c r="DD123" i="861"/>
  <c r="DE123" i="861"/>
  <c r="CL64" i="861" s="1"/>
  <c r="DF123" i="861"/>
  <c r="CM64" i="861" s="1"/>
  <c r="CX124" i="861"/>
  <c r="CE65" i="861" s="1"/>
  <c r="CY124" i="861"/>
  <c r="CF65" i="861" s="1"/>
  <c r="CZ124" i="861"/>
  <c r="CG65" i="861" s="1"/>
  <c r="DA124" i="861"/>
  <c r="CH65" i="861" s="1"/>
  <c r="DB124" i="861"/>
  <c r="CI65" i="861" s="1"/>
  <c r="DC124" i="861"/>
  <c r="CJ65" i="861" s="1"/>
  <c r="DD124" i="861"/>
  <c r="CK65" i="861" s="1"/>
  <c r="DE124" i="861"/>
  <c r="DF124" i="861"/>
  <c r="CX125" i="861"/>
  <c r="CY125" i="861"/>
  <c r="CZ125" i="861"/>
  <c r="DA125" i="861"/>
  <c r="DB125" i="861"/>
  <c r="DC125" i="861"/>
  <c r="DD125" i="861"/>
  <c r="DE125" i="861"/>
  <c r="DF125" i="861"/>
  <c r="CX126" i="861"/>
  <c r="CY126" i="861"/>
  <c r="CZ126" i="861"/>
  <c r="DA126" i="861"/>
  <c r="DB126" i="861"/>
  <c r="DC126" i="861"/>
  <c r="DD126" i="861"/>
  <c r="DE126" i="861"/>
  <c r="DF126" i="861"/>
  <c r="CX127" i="861"/>
  <c r="CY127" i="861"/>
  <c r="CZ127" i="861"/>
  <c r="DA127" i="861"/>
  <c r="DB127" i="861"/>
  <c r="DC127" i="861"/>
  <c r="DD127" i="861"/>
  <c r="DE127" i="861"/>
  <c r="DF127" i="861"/>
  <c r="CX128" i="861"/>
  <c r="CY128" i="861"/>
  <c r="CZ128" i="861"/>
  <c r="DA128" i="861"/>
  <c r="DB128" i="861"/>
  <c r="DC128" i="861"/>
  <c r="DD128" i="861"/>
  <c r="DE128" i="861"/>
  <c r="DF128" i="861"/>
  <c r="CX129" i="861"/>
  <c r="CY129" i="861"/>
  <c r="CZ129" i="861"/>
  <c r="DA129" i="861"/>
  <c r="DB129" i="861"/>
  <c r="DC129" i="861"/>
  <c r="DD129" i="861"/>
  <c r="DE129" i="861"/>
  <c r="DF129" i="861"/>
  <c r="CX130" i="861"/>
  <c r="CY130" i="861"/>
  <c r="CZ130" i="861"/>
  <c r="DA130" i="861"/>
  <c r="DB130" i="861"/>
  <c r="DC130" i="861"/>
  <c r="DD130" i="861"/>
  <c r="DE130" i="861"/>
  <c r="DF130" i="861"/>
  <c r="CX131" i="861"/>
  <c r="CY131" i="861"/>
  <c r="CZ131" i="861"/>
  <c r="DA131" i="861"/>
  <c r="DB131" i="861"/>
  <c r="DC131" i="861"/>
  <c r="DD131" i="861"/>
  <c r="DE131" i="861"/>
  <c r="DF131" i="861"/>
  <c r="CX132" i="861"/>
  <c r="CY132" i="861"/>
  <c r="CZ132" i="861"/>
  <c r="DA132" i="861"/>
  <c r="DB132" i="861"/>
  <c r="DC132" i="861"/>
  <c r="DD132" i="861"/>
  <c r="DE132" i="861"/>
  <c r="DF132" i="861"/>
  <c r="CX133" i="861"/>
  <c r="CY133" i="861"/>
  <c r="CZ133" i="861"/>
  <c r="DA133" i="861"/>
  <c r="DB133" i="861"/>
  <c r="DC133" i="861"/>
  <c r="DD133" i="861"/>
  <c r="DE133" i="861"/>
  <c r="DF133" i="861"/>
  <c r="CX134" i="861"/>
  <c r="CE42" i="861" s="1"/>
  <c r="CY134" i="861"/>
  <c r="CF42" i="861" s="1"/>
  <c r="CZ134" i="861"/>
  <c r="CG42" i="861" s="1"/>
  <c r="DA134" i="861"/>
  <c r="DB134" i="861"/>
  <c r="CI42" i="861" s="1"/>
  <c r="DC134" i="861"/>
  <c r="CJ42" i="861" s="1"/>
  <c r="DD134" i="861"/>
  <c r="CK42" i="861" s="1"/>
  <c r="DE134" i="861"/>
  <c r="CL42" i="861" s="1"/>
  <c r="DF134" i="861"/>
  <c r="CM42" i="861" s="1"/>
  <c r="CX135" i="861"/>
  <c r="CY135" i="861"/>
  <c r="CZ135" i="861"/>
  <c r="DA135" i="861"/>
  <c r="DB135" i="861"/>
  <c r="DC135" i="861"/>
  <c r="DD135" i="861"/>
  <c r="DE135" i="861"/>
  <c r="DF135" i="861"/>
  <c r="CX136" i="861"/>
  <c r="CY136" i="861"/>
  <c r="CZ136" i="861"/>
  <c r="DA136" i="861"/>
  <c r="DB136" i="861"/>
  <c r="DC136" i="861"/>
  <c r="DD136" i="861"/>
  <c r="DE136" i="861"/>
  <c r="DF136" i="861"/>
  <c r="CU137" i="861"/>
  <c r="CV137" i="861"/>
  <c r="CW137" i="861"/>
  <c r="CX137" i="861"/>
  <c r="CY137" i="861"/>
  <c r="CZ137" i="861"/>
  <c r="DA137" i="861"/>
  <c r="DB137" i="861"/>
  <c r="DC137" i="861"/>
  <c r="DD137" i="861"/>
  <c r="DE137" i="861"/>
  <c r="DF137" i="861"/>
  <c r="CU138" i="861"/>
  <c r="CV138" i="861"/>
  <c r="CW138" i="861"/>
  <c r="CX138" i="861"/>
  <c r="CY138" i="861"/>
  <c r="CZ138" i="861"/>
  <c r="DA138" i="861"/>
  <c r="DB138" i="861"/>
  <c r="DC138" i="861"/>
  <c r="DD138" i="861"/>
  <c r="DE138" i="861"/>
  <c r="DF138" i="861"/>
  <c r="CU139" i="861"/>
  <c r="CV139" i="861"/>
  <c r="CW139" i="861"/>
  <c r="CX139" i="861"/>
  <c r="CY139" i="861"/>
  <c r="CZ139" i="861"/>
  <c r="DA139" i="861"/>
  <c r="DB139" i="861"/>
  <c r="DC139" i="861"/>
  <c r="DD139" i="861"/>
  <c r="DE139" i="861"/>
  <c r="DF139" i="861"/>
  <c r="CU140" i="861"/>
  <c r="CV140" i="861"/>
  <c r="CW140" i="861"/>
  <c r="CX140" i="861"/>
  <c r="CY140" i="861"/>
  <c r="CZ140" i="861"/>
  <c r="DA140" i="861"/>
  <c r="DB140" i="861"/>
  <c r="DC140" i="861"/>
  <c r="DD140" i="861"/>
  <c r="DE140" i="861"/>
  <c r="DF140" i="861"/>
  <c r="CU141" i="861"/>
  <c r="CV141" i="861"/>
  <c r="CW141" i="861"/>
  <c r="CX141" i="861"/>
  <c r="CY141" i="861"/>
  <c r="CZ141" i="861"/>
  <c r="DA141" i="861"/>
  <c r="DB141" i="861"/>
  <c r="DC141" i="861"/>
  <c r="DD141" i="861"/>
  <c r="DE141" i="861"/>
  <c r="DF141" i="861"/>
  <c r="CU142" i="861"/>
  <c r="CB45" i="861" s="1"/>
  <c r="CV142" i="861"/>
  <c r="CC45" i="861" s="1"/>
  <c r="CW142" i="861"/>
  <c r="CD45" i="861" s="1"/>
  <c r="CX142" i="861"/>
  <c r="CE45" i="861" s="1"/>
  <c r="CY142" i="861"/>
  <c r="CF45" i="861" s="1"/>
  <c r="CZ142" i="861"/>
  <c r="CG45" i="861" s="1"/>
  <c r="DA142" i="861"/>
  <c r="DB142" i="861"/>
  <c r="CI45" i="861" s="1"/>
  <c r="DC142" i="861"/>
  <c r="DD142" i="861"/>
  <c r="CK45" i="861" s="1"/>
  <c r="DE142" i="861"/>
  <c r="DF142" i="861"/>
  <c r="CM45" i="861" s="1"/>
  <c r="CU143" i="861"/>
  <c r="CV143" i="861"/>
  <c r="CW143" i="861"/>
  <c r="CX143" i="861"/>
  <c r="CY143" i="861"/>
  <c r="CZ143" i="861"/>
  <c r="DA143" i="861"/>
  <c r="DB143" i="861"/>
  <c r="DC143" i="861"/>
  <c r="DD143" i="861"/>
  <c r="DE143" i="861"/>
  <c r="DF143" i="861"/>
  <c r="CU144" i="861"/>
  <c r="CV144" i="861"/>
  <c r="CW144" i="861"/>
  <c r="CX144" i="861"/>
  <c r="CY144" i="861"/>
  <c r="CZ144" i="861"/>
  <c r="DA144" i="861"/>
  <c r="DB144" i="861"/>
  <c r="DC144" i="861"/>
  <c r="DD144" i="861"/>
  <c r="DE144" i="861"/>
  <c r="DF144" i="861"/>
  <c r="CU145" i="861"/>
  <c r="CB34" i="861" s="1"/>
  <c r="CV145" i="861"/>
  <c r="CC34" i="861" s="1"/>
  <c r="CW145" i="861"/>
  <c r="CX145" i="861"/>
  <c r="CY145" i="861"/>
  <c r="CF34" i="861" s="1"/>
  <c r="CZ145" i="861"/>
  <c r="CG34" i="861" s="1"/>
  <c r="DA145" i="861"/>
  <c r="CH34" i="861" s="1"/>
  <c r="DB145" i="861"/>
  <c r="CI34" i="861" s="1"/>
  <c r="DC145" i="861"/>
  <c r="DD145" i="861"/>
  <c r="CK34" i="861" s="1"/>
  <c r="DE145" i="861"/>
  <c r="CL34" i="861" s="1"/>
  <c r="DF145" i="861"/>
  <c r="CM34" i="861" s="1"/>
  <c r="CU146" i="861"/>
  <c r="CB36" i="861" s="1"/>
  <c r="CV146" i="861"/>
  <c r="CC36" i="861" s="1"/>
  <c r="CW146" i="861"/>
  <c r="CD36" i="861" s="1"/>
  <c r="CX146" i="861"/>
  <c r="CE36" i="861" s="1"/>
  <c r="CY146" i="861"/>
  <c r="CF36" i="861" s="1"/>
  <c r="CZ146" i="861"/>
  <c r="CG36" i="861" s="1"/>
  <c r="DA146" i="861"/>
  <c r="DB146" i="861"/>
  <c r="CI36" i="861" s="1"/>
  <c r="DC146" i="861"/>
  <c r="CJ36" i="861" s="1"/>
  <c r="DD146" i="861"/>
  <c r="CK36" i="861" s="1"/>
  <c r="DE146" i="861"/>
  <c r="CL36" i="861" s="1"/>
  <c r="DF146" i="861"/>
  <c r="CM36" i="861" s="1"/>
  <c r="CU147" i="861"/>
  <c r="CV147" i="861"/>
  <c r="CW147" i="861"/>
  <c r="CX147" i="861"/>
  <c r="CY147" i="861"/>
  <c r="CZ147" i="861"/>
  <c r="DA147" i="861"/>
  <c r="DB147" i="861"/>
  <c r="DC147" i="861"/>
  <c r="DD147" i="861"/>
  <c r="DE147" i="861"/>
  <c r="DF147" i="861"/>
  <c r="CU148" i="861"/>
  <c r="CB32" i="861" s="1"/>
  <c r="CV148" i="861"/>
  <c r="CC32" i="861" s="1"/>
  <c r="CW148" i="861"/>
  <c r="CD32" i="861" s="1"/>
  <c r="CX148" i="861"/>
  <c r="CE32" i="861" s="1"/>
  <c r="CY148" i="861"/>
  <c r="CZ148" i="861"/>
  <c r="CG32" i="861" s="1"/>
  <c r="DA148" i="861"/>
  <c r="CH32" i="861" s="1"/>
  <c r="DB148" i="861"/>
  <c r="CI32" i="861" s="1"/>
  <c r="DC148" i="861"/>
  <c r="CJ32" i="861" s="1"/>
  <c r="DD148" i="861"/>
  <c r="CK32" i="861" s="1"/>
  <c r="DE148" i="861"/>
  <c r="CL32" i="861" s="1"/>
  <c r="DF148" i="861"/>
  <c r="CM32" i="861" s="1"/>
  <c r="CU149" i="861"/>
  <c r="CB25" i="861" s="1"/>
  <c r="CV149" i="861"/>
  <c r="CC25" i="861" s="1"/>
  <c r="CW149" i="861"/>
  <c r="CX149" i="861"/>
  <c r="CE25" i="861" s="1"/>
  <c r="CY149" i="861"/>
  <c r="CF25" i="861" s="1"/>
  <c r="CZ149" i="861"/>
  <c r="CG25" i="861" s="1"/>
  <c r="DA149" i="861"/>
  <c r="CH25" i="861" s="1"/>
  <c r="DB149" i="861"/>
  <c r="CI25" i="861" s="1"/>
  <c r="DC149" i="861"/>
  <c r="DD149" i="861"/>
  <c r="CK25" i="861" s="1"/>
  <c r="DE149" i="861"/>
  <c r="CL25" i="861" s="1"/>
  <c r="DF149" i="861"/>
  <c r="CM25" i="861" s="1"/>
  <c r="CU150" i="861"/>
  <c r="CB24" i="861" s="1"/>
  <c r="CV150" i="861"/>
  <c r="CC24" i="861" s="1"/>
  <c r="CW150" i="861"/>
  <c r="CD24" i="861" s="1"/>
  <c r="CX150" i="861"/>
  <c r="CE24" i="861" s="1"/>
  <c r="CY150" i="861"/>
  <c r="CF24" i="861" s="1"/>
  <c r="CZ150" i="861"/>
  <c r="CG24" i="861" s="1"/>
  <c r="DA150" i="861"/>
  <c r="DB150" i="861"/>
  <c r="CI24" i="861" s="1"/>
  <c r="DC150" i="861"/>
  <c r="CJ24" i="861" s="1"/>
  <c r="DD150" i="861"/>
  <c r="CK24" i="861" s="1"/>
  <c r="DE150" i="861"/>
  <c r="DF150" i="861"/>
  <c r="CM24" i="861" s="1"/>
  <c r="CU151" i="861"/>
  <c r="CV151" i="861"/>
  <c r="CC30" i="861" s="1"/>
  <c r="CW151" i="861"/>
  <c r="CD30" i="861" s="1"/>
  <c r="CX151" i="861"/>
  <c r="CE30" i="861" s="1"/>
  <c r="CY151" i="861"/>
  <c r="CF30" i="861" s="1"/>
  <c r="CZ151" i="861"/>
  <c r="CG30" i="861" s="1"/>
  <c r="DA151" i="861"/>
  <c r="CH30" i="861" s="1"/>
  <c r="DB151" i="861"/>
  <c r="CI30" i="861" s="1"/>
  <c r="DC151" i="861"/>
  <c r="CJ30" i="861" s="1"/>
  <c r="DD151" i="861"/>
  <c r="CK30" i="861" s="1"/>
  <c r="DE151" i="861"/>
  <c r="DF151" i="861"/>
  <c r="CM30" i="861" s="1"/>
  <c r="CU152" i="861"/>
  <c r="CB28" i="861" s="1"/>
  <c r="CV152" i="861"/>
  <c r="CC28" i="861" s="1"/>
  <c r="CW152" i="861"/>
  <c r="CD28" i="861" s="1"/>
  <c r="CX152" i="861"/>
  <c r="CE28" i="861" s="1"/>
  <c r="CY152" i="861"/>
  <c r="CZ152" i="861"/>
  <c r="DA152" i="861"/>
  <c r="CH28" i="861" s="1"/>
  <c r="DB152" i="861"/>
  <c r="CI28" i="861" s="1"/>
  <c r="DC152" i="861"/>
  <c r="CJ28" i="861" s="1"/>
  <c r="DD152" i="861"/>
  <c r="CK28" i="861" s="1"/>
  <c r="DE152" i="861"/>
  <c r="CL28" i="861" s="1"/>
  <c r="DF152" i="861"/>
  <c r="CM28" i="861" s="1"/>
  <c r="CU153" i="861"/>
  <c r="CB29" i="861" s="1"/>
  <c r="CV153" i="861"/>
  <c r="CC29" i="861" s="1"/>
  <c r="CW153" i="861"/>
  <c r="CX153" i="861"/>
  <c r="CE29" i="861" s="1"/>
  <c r="CY153" i="861"/>
  <c r="CF29" i="861" s="1"/>
  <c r="CZ153" i="861"/>
  <c r="CG29" i="861" s="1"/>
  <c r="DA153" i="861"/>
  <c r="CH29" i="861" s="1"/>
  <c r="DB153" i="861"/>
  <c r="CI29" i="861" s="1"/>
  <c r="DC153" i="861"/>
  <c r="DD153" i="861"/>
  <c r="CK29" i="861" s="1"/>
  <c r="DE153" i="861"/>
  <c r="CL29" i="861" s="1"/>
  <c r="DF153" i="861"/>
  <c r="CM29" i="861" s="1"/>
  <c r="CU154" i="861"/>
  <c r="CB33" i="861" s="1"/>
  <c r="CV154" i="861"/>
  <c r="CC33" i="861" s="1"/>
  <c r="CW154" i="861"/>
  <c r="CD33" i="861" s="1"/>
  <c r="CX154" i="861"/>
  <c r="CE33" i="861" s="1"/>
  <c r="CY154" i="861"/>
  <c r="CF33" i="861" s="1"/>
  <c r="CZ154" i="861"/>
  <c r="CG33" i="861" s="1"/>
  <c r="DA154" i="861"/>
  <c r="DB154" i="861"/>
  <c r="CI33" i="861" s="1"/>
  <c r="DC154" i="861"/>
  <c r="CJ33" i="861" s="1"/>
  <c r="DD154" i="861"/>
  <c r="CK33" i="861" s="1"/>
  <c r="DE154" i="861"/>
  <c r="CL33" i="861" s="1"/>
  <c r="DF154" i="861"/>
  <c r="CM33" i="861" s="1"/>
  <c r="CU155" i="861"/>
  <c r="CV155" i="861"/>
  <c r="CC26" i="861" s="1"/>
  <c r="CW155" i="861"/>
  <c r="CD26" i="861" s="1"/>
  <c r="CX155" i="861"/>
  <c r="CE26" i="861" s="1"/>
  <c r="CY155" i="861"/>
  <c r="CF26" i="861" s="1"/>
  <c r="CZ155" i="861"/>
  <c r="CG26" i="861" s="1"/>
  <c r="DA155" i="861"/>
  <c r="CH26" i="861" s="1"/>
  <c r="DB155" i="861"/>
  <c r="CI26" i="861" s="1"/>
  <c r="DC155" i="861"/>
  <c r="CJ26" i="861" s="1"/>
  <c r="DD155" i="861"/>
  <c r="CK26" i="861" s="1"/>
  <c r="DE155" i="861"/>
  <c r="DF155" i="861"/>
  <c r="CM26" i="861" s="1"/>
  <c r="CU156" i="861"/>
  <c r="CB27" i="861" s="1"/>
  <c r="CV156" i="861"/>
  <c r="CC27" i="861" s="1"/>
  <c r="CW156" i="861"/>
  <c r="CD27" i="861" s="1"/>
  <c r="CX156" i="861"/>
  <c r="CE27" i="861" s="1"/>
  <c r="CY156" i="861"/>
  <c r="CZ156" i="861"/>
  <c r="CG27" i="861" s="1"/>
  <c r="DA156" i="861"/>
  <c r="CH27" i="861" s="1"/>
  <c r="DB156" i="861"/>
  <c r="CI27" i="861" s="1"/>
  <c r="DC156" i="861"/>
  <c r="CJ27" i="861" s="1"/>
  <c r="DD156" i="861"/>
  <c r="CK27" i="861" s="1"/>
  <c r="DE156" i="861"/>
  <c r="CL27" i="861" s="1"/>
  <c r="DF156" i="861"/>
  <c r="CM27" i="861" s="1"/>
  <c r="CU157" i="861"/>
  <c r="CV157" i="861"/>
  <c r="CW157" i="861"/>
  <c r="CX157" i="861"/>
  <c r="CY157" i="861"/>
  <c r="CZ157" i="861"/>
  <c r="DA157" i="861"/>
  <c r="DB157" i="861"/>
  <c r="DC157" i="861"/>
  <c r="DD157" i="861"/>
  <c r="DE157" i="861"/>
  <c r="DF157" i="861"/>
  <c r="CU158" i="861"/>
  <c r="CV158" i="861"/>
  <c r="CW158" i="861"/>
  <c r="CX158" i="861"/>
  <c r="CY158" i="861"/>
  <c r="CZ158" i="861"/>
  <c r="DA158" i="861"/>
  <c r="DB158" i="861"/>
  <c r="DC158" i="861"/>
  <c r="DD158" i="861"/>
  <c r="DE158" i="861"/>
  <c r="DF158" i="861"/>
  <c r="CU159" i="861"/>
  <c r="CV159" i="861"/>
  <c r="CC90" i="861" s="1"/>
  <c r="CW159" i="861"/>
  <c r="CD90" i="861" s="1"/>
  <c r="CX159" i="861"/>
  <c r="CE90" i="861" s="1"/>
  <c r="CY159" i="861"/>
  <c r="CF90" i="861" s="1"/>
  <c r="CZ159" i="861"/>
  <c r="CG90" i="861" s="1"/>
  <c r="DA159" i="861"/>
  <c r="CH90" i="861" s="1"/>
  <c r="DB159" i="861"/>
  <c r="CI90" i="861" s="1"/>
  <c r="DC159" i="861"/>
  <c r="CJ90" i="861" s="1"/>
  <c r="DD159" i="861"/>
  <c r="CK90" i="861" s="1"/>
  <c r="DE159" i="861"/>
  <c r="DF159" i="861"/>
  <c r="CM90" i="861" s="1"/>
  <c r="CU160" i="861"/>
  <c r="CV160" i="861"/>
  <c r="CW160" i="861"/>
  <c r="CX160" i="861"/>
  <c r="CY160" i="861"/>
  <c r="CZ160" i="861"/>
  <c r="DA160" i="861"/>
  <c r="DB160" i="861"/>
  <c r="DC160" i="861"/>
  <c r="DD160" i="861"/>
  <c r="DE160" i="861"/>
  <c r="DF160" i="861"/>
  <c r="CU161" i="861"/>
  <c r="CB92" i="861" s="1"/>
  <c r="CV161" i="861"/>
  <c r="CC92" i="861" s="1"/>
  <c r="CW161" i="861"/>
  <c r="CX161" i="861"/>
  <c r="CY161" i="861"/>
  <c r="CF92" i="861" s="1"/>
  <c r="CZ161" i="861"/>
  <c r="CG92" i="861" s="1"/>
  <c r="DA161" i="861"/>
  <c r="CH92" i="861" s="1"/>
  <c r="DB161" i="861"/>
  <c r="CI92" i="861" s="1"/>
  <c r="DC161" i="861"/>
  <c r="DD161" i="861"/>
  <c r="CK92" i="861" s="1"/>
  <c r="DE161" i="861"/>
  <c r="CL92" i="861" s="1"/>
  <c r="DF161" i="861"/>
  <c r="CM92" i="861" s="1"/>
  <c r="CU162" i="861"/>
  <c r="CV162" i="861"/>
  <c r="CW162" i="861"/>
  <c r="CX162" i="861"/>
  <c r="CY162" i="861"/>
  <c r="CZ162" i="861"/>
  <c r="DA162" i="861"/>
  <c r="DB162" i="861"/>
  <c r="DC162" i="861"/>
  <c r="DD162" i="861"/>
  <c r="DE162" i="861"/>
  <c r="DF162" i="861"/>
  <c r="CU163" i="861"/>
  <c r="CV163" i="861"/>
  <c r="CW163" i="861"/>
  <c r="CX163" i="861"/>
  <c r="CY163" i="861"/>
  <c r="CZ163" i="861"/>
  <c r="DA163" i="861"/>
  <c r="DB163" i="861"/>
  <c r="DC163" i="861"/>
  <c r="DD163" i="861"/>
  <c r="DE163" i="861"/>
  <c r="DF163" i="861"/>
  <c r="CU164" i="861"/>
  <c r="CV164" i="861"/>
  <c r="CW164" i="861"/>
  <c r="CX164" i="861"/>
  <c r="CY164" i="861"/>
  <c r="CZ164" i="861"/>
  <c r="DA164" i="861"/>
  <c r="DB164" i="861"/>
  <c r="DC164" i="861"/>
  <c r="DD164" i="861"/>
  <c r="DE164" i="861"/>
  <c r="DF164" i="861"/>
  <c r="CU165" i="861"/>
  <c r="CV165" i="861"/>
  <c r="CW165" i="861"/>
  <c r="CX165" i="861"/>
  <c r="CY165" i="861"/>
  <c r="CZ165" i="861"/>
  <c r="DA165" i="861"/>
  <c r="DB165" i="861"/>
  <c r="DC165" i="861"/>
  <c r="DD165" i="861"/>
  <c r="DE165" i="861"/>
  <c r="DF165" i="861"/>
  <c r="CU166" i="861"/>
  <c r="CV166" i="861"/>
  <c r="CW166" i="861"/>
  <c r="CX166" i="861"/>
  <c r="CY166" i="861"/>
  <c r="CZ166" i="861"/>
  <c r="DA166" i="861"/>
  <c r="DB166" i="861"/>
  <c r="DC166" i="861"/>
  <c r="DD166" i="861"/>
  <c r="DE166" i="861"/>
  <c r="DF166" i="861"/>
  <c r="CU167" i="861"/>
  <c r="CV167" i="861"/>
  <c r="CC95" i="861" s="1"/>
  <c r="CW167" i="861"/>
  <c r="CD95" i="861" s="1"/>
  <c r="CX167" i="861"/>
  <c r="CE95" i="861" s="1"/>
  <c r="CY167" i="861"/>
  <c r="CF95" i="861" s="1"/>
  <c r="CZ167" i="861"/>
  <c r="CG95" i="861" s="1"/>
  <c r="DA167" i="861"/>
  <c r="CH95" i="861" s="1"/>
  <c r="DB167" i="861"/>
  <c r="CI95" i="861" s="1"/>
  <c r="DC167" i="861"/>
  <c r="CJ95" i="861" s="1"/>
  <c r="DD167" i="861"/>
  <c r="CK95" i="861" s="1"/>
  <c r="DE167" i="861"/>
  <c r="DF167" i="861"/>
  <c r="CU168" i="861"/>
  <c r="CB96" i="861" s="1"/>
  <c r="CV168" i="861"/>
  <c r="CC96" i="861" s="1"/>
  <c r="CW168" i="861"/>
  <c r="CD96" i="861" s="1"/>
  <c r="CX168" i="861"/>
  <c r="CE96" i="861" s="1"/>
  <c r="CY168" i="861"/>
  <c r="CZ168" i="861"/>
  <c r="CG96" i="861" s="1"/>
  <c r="DA168" i="861"/>
  <c r="CH96" i="861" s="1"/>
  <c r="DB168" i="861"/>
  <c r="CI96" i="861" s="1"/>
  <c r="DC168" i="861"/>
  <c r="CJ96" i="861" s="1"/>
  <c r="DD168" i="861"/>
  <c r="CK96" i="861" s="1"/>
  <c r="DE168" i="861"/>
  <c r="CL96" i="861" s="1"/>
  <c r="DF168" i="861"/>
  <c r="CM96" i="861" s="1"/>
  <c r="CU169" i="861"/>
  <c r="CB94" i="861" s="1"/>
  <c r="CV169" i="861"/>
  <c r="CC94" i="861" s="1"/>
  <c r="CW169" i="861"/>
  <c r="CX169" i="861"/>
  <c r="CE94" i="861" s="1"/>
  <c r="CY169" i="861"/>
  <c r="CF94" i="861" s="1"/>
  <c r="CZ169" i="861"/>
  <c r="CG94" i="861" s="1"/>
  <c r="DA169" i="861"/>
  <c r="CH94" i="861" s="1"/>
  <c r="DB169" i="861"/>
  <c r="CI94" i="861" s="1"/>
  <c r="DC169" i="861"/>
  <c r="DD169" i="861"/>
  <c r="CK94" i="861" s="1"/>
  <c r="DE169" i="861"/>
  <c r="CL94" i="861" s="1"/>
  <c r="DF169" i="861"/>
  <c r="CM94" i="861" s="1"/>
  <c r="CU170" i="861"/>
  <c r="CB97" i="861" s="1"/>
  <c r="CV170" i="861"/>
  <c r="CC97" i="861" s="1"/>
  <c r="CW170" i="861"/>
  <c r="CD97" i="861" s="1"/>
  <c r="CX170" i="861"/>
  <c r="CE97" i="861" s="1"/>
  <c r="CY170" i="861"/>
  <c r="CF97" i="861" s="1"/>
  <c r="CZ170" i="861"/>
  <c r="CG97" i="861" s="1"/>
  <c r="DA170" i="861"/>
  <c r="DB170" i="861"/>
  <c r="CI97" i="861" s="1"/>
  <c r="DC170" i="861"/>
  <c r="CJ97" i="861" s="1"/>
  <c r="DD170" i="861"/>
  <c r="CK97" i="861" s="1"/>
  <c r="DE170" i="861"/>
  <c r="DF170" i="861"/>
  <c r="CM97" i="861" s="1"/>
  <c r="CU171" i="861"/>
  <c r="CV171" i="861"/>
  <c r="CW171" i="861"/>
  <c r="CX171" i="861"/>
  <c r="CY171" i="861"/>
  <c r="CZ171" i="861"/>
  <c r="DA171" i="861"/>
  <c r="DB171" i="861"/>
  <c r="DC171" i="861"/>
  <c r="DD171" i="861"/>
  <c r="DE171" i="861"/>
  <c r="DF171" i="861"/>
  <c r="CU172" i="861"/>
  <c r="CV172" i="861"/>
  <c r="CW172" i="861"/>
  <c r="CX172" i="861"/>
  <c r="CY172" i="861"/>
  <c r="CZ172" i="861"/>
  <c r="DA172" i="861"/>
  <c r="DB172" i="861"/>
  <c r="DC172" i="861"/>
  <c r="DD172" i="861"/>
  <c r="DE172" i="861"/>
  <c r="DF172" i="861"/>
  <c r="CU173" i="861"/>
  <c r="CV173" i="861"/>
  <c r="CW173" i="861"/>
  <c r="CX173" i="861"/>
  <c r="CY173" i="861"/>
  <c r="CZ173" i="861"/>
  <c r="DA173" i="861"/>
  <c r="DB173" i="861"/>
  <c r="DC173" i="861"/>
  <c r="DD173" i="861"/>
  <c r="DE173" i="861"/>
  <c r="DF173" i="861"/>
  <c r="CU174" i="861"/>
  <c r="CV174" i="861"/>
  <c r="CW174" i="861"/>
  <c r="CX174" i="861"/>
  <c r="CY174" i="861"/>
  <c r="CZ174" i="861"/>
  <c r="DA174" i="861"/>
  <c r="DB174" i="861"/>
  <c r="DC174" i="861"/>
  <c r="DD174" i="861"/>
  <c r="DE174" i="861"/>
  <c r="DF174" i="861"/>
  <c r="CU175" i="861"/>
  <c r="CV175" i="861"/>
  <c r="CC93" i="861" s="1"/>
  <c r="CW175" i="861"/>
  <c r="CD93" i="861" s="1"/>
  <c r="CX175" i="861"/>
  <c r="CE93" i="861" s="1"/>
  <c r="CY175" i="861"/>
  <c r="CF93" i="861" s="1"/>
  <c r="CZ175" i="861"/>
  <c r="CG93" i="861" s="1"/>
  <c r="DA175" i="861"/>
  <c r="CH93" i="861" s="1"/>
  <c r="DB175" i="861"/>
  <c r="CI93" i="861" s="1"/>
  <c r="DC175" i="861"/>
  <c r="CJ93" i="861" s="1"/>
  <c r="DD175" i="861"/>
  <c r="CK93" i="861" s="1"/>
  <c r="DE175" i="861"/>
  <c r="DF175" i="861"/>
  <c r="CM93" i="861" s="1"/>
  <c r="CU176" i="861"/>
  <c r="CB101" i="861" s="1"/>
  <c r="CV176" i="861"/>
  <c r="CC101" i="861" s="1"/>
  <c r="CW176" i="861"/>
  <c r="CD101" i="861" s="1"/>
  <c r="CX176" i="861"/>
  <c r="CE101" i="861" s="1"/>
  <c r="CY176" i="861"/>
  <c r="CZ176" i="861"/>
  <c r="CG101" i="861" s="1"/>
  <c r="DA176" i="861"/>
  <c r="CH101" i="861" s="1"/>
  <c r="DB176" i="861"/>
  <c r="CI101" i="861" s="1"/>
  <c r="DC176" i="861"/>
  <c r="CJ101" i="861" s="1"/>
  <c r="DD176" i="861"/>
  <c r="CK101" i="861" s="1"/>
  <c r="DE176" i="861"/>
  <c r="CL101" i="861" s="1"/>
  <c r="DF176" i="861"/>
  <c r="CM101" i="861" s="1"/>
  <c r="CU177" i="861"/>
  <c r="CB102" i="861" s="1"/>
  <c r="CV177" i="861"/>
  <c r="CC102" i="861" s="1"/>
  <c r="CW177" i="861"/>
  <c r="CX177" i="861"/>
  <c r="CE102" i="861" s="1"/>
  <c r="CY177" i="861"/>
  <c r="CZ177" i="861"/>
  <c r="CG102" i="861" s="1"/>
  <c r="DA177" i="861"/>
  <c r="DB177" i="861"/>
  <c r="CI102" i="861" s="1"/>
  <c r="DC177" i="861"/>
  <c r="DD177" i="861"/>
  <c r="CK102" i="861" s="1"/>
  <c r="DE177" i="861"/>
  <c r="CL102" i="861" s="1"/>
  <c r="DF177" i="861"/>
  <c r="CM102" i="861" s="1"/>
  <c r="CU178" i="861"/>
  <c r="CB78" i="861" s="1"/>
  <c r="CV178" i="861"/>
  <c r="CC78" i="861" s="1"/>
  <c r="CW178" i="861"/>
  <c r="CD78" i="861" s="1"/>
  <c r="CX178" i="861"/>
  <c r="CE78" i="861" s="1"/>
  <c r="CY178" i="861"/>
  <c r="CF78" i="861" s="1"/>
  <c r="CZ178" i="861"/>
  <c r="CG78" i="861" s="1"/>
  <c r="DA178" i="861"/>
  <c r="DB178" i="861"/>
  <c r="DC178" i="861"/>
  <c r="CJ78" i="861" s="1"/>
  <c r="DD178" i="861"/>
  <c r="CK78" i="861" s="1"/>
  <c r="DE178" i="861"/>
  <c r="DF178" i="861"/>
  <c r="CM78" i="861" s="1"/>
  <c r="CU179" i="861"/>
  <c r="CV179" i="861"/>
  <c r="CW179" i="861"/>
  <c r="CX179" i="861"/>
  <c r="CY179" i="861"/>
  <c r="CZ179" i="861"/>
  <c r="DA179" i="861"/>
  <c r="DB179" i="861"/>
  <c r="DC179" i="861"/>
  <c r="DD179" i="861"/>
  <c r="DE179" i="861"/>
  <c r="DF179" i="861"/>
  <c r="CU180" i="861"/>
  <c r="CV180" i="861"/>
  <c r="CC67" i="861" s="1"/>
  <c r="CW180" i="861"/>
  <c r="CD67" i="861" s="1"/>
  <c r="CX180" i="861"/>
  <c r="CE67" i="861" s="1"/>
  <c r="CY180" i="861"/>
  <c r="CZ180" i="861"/>
  <c r="CG67" i="861" s="1"/>
  <c r="DA180" i="861"/>
  <c r="CH67" i="861" s="1"/>
  <c r="DB180" i="861"/>
  <c r="CI67" i="861" s="1"/>
  <c r="DC180" i="861"/>
  <c r="CJ67" i="861" s="1"/>
  <c r="DD180" i="861"/>
  <c r="CK67" i="861" s="1"/>
  <c r="DE180" i="861"/>
  <c r="CL67" i="861" s="1"/>
  <c r="DF180" i="861"/>
  <c r="CM67" i="861" s="1"/>
  <c r="CU181" i="861"/>
  <c r="CB68" i="861" s="1"/>
  <c r="CV181" i="861"/>
  <c r="CC68" i="861" s="1"/>
  <c r="CW181" i="861"/>
  <c r="CX181" i="861"/>
  <c r="CY181" i="861"/>
  <c r="CF68" i="861" s="1"/>
  <c r="CZ181" i="861"/>
  <c r="CG68" i="861" s="1"/>
  <c r="DA181" i="861"/>
  <c r="CH68" i="861" s="1"/>
  <c r="DB181" i="861"/>
  <c r="CI68" i="861" s="1"/>
  <c r="DC181" i="861"/>
  <c r="DD181" i="861"/>
  <c r="CK68" i="861" s="1"/>
  <c r="DE181" i="861"/>
  <c r="CL68" i="861" s="1"/>
  <c r="DF181" i="861"/>
  <c r="CM68" i="861" s="1"/>
  <c r="CU182" i="861"/>
  <c r="CV182" i="861"/>
  <c r="CW182" i="861"/>
  <c r="CX182" i="861"/>
  <c r="CY182" i="861"/>
  <c r="CZ182" i="861"/>
  <c r="DA182" i="861"/>
  <c r="DB182" i="861"/>
  <c r="DC182" i="861"/>
  <c r="DD182" i="861"/>
  <c r="DE182" i="861"/>
  <c r="DF182" i="861"/>
  <c r="CU183" i="861"/>
  <c r="CV183" i="861"/>
  <c r="CC112" i="861" s="1"/>
  <c r="CW183" i="861"/>
  <c r="CD112" i="861" s="1"/>
  <c r="CX183" i="861"/>
  <c r="CE112" i="861" s="1"/>
  <c r="CY183" i="861"/>
  <c r="CF112" i="861" s="1"/>
  <c r="CZ183" i="861"/>
  <c r="CG112" i="861" s="1"/>
  <c r="DA183" i="861"/>
  <c r="CH112" i="861" s="1"/>
  <c r="DB183" i="861"/>
  <c r="CI112" i="861" s="1"/>
  <c r="DC183" i="861"/>
  <c r="CJ112" i="861" s="1"/>
  <c r="DD183" i="861"/>
  <c r="CK112" i="861" s="1"/>
  <c r="DE183" i="861"/>
  <c r="DF183" i="861"/>
  <c r="CM112" i="861" s="1"/>
  <c r="CU184" i="861"/>
  <c r="CV184" i="861"/>
  <c r="CC113" i="861" s="1"/>
  <c r="CW184" i="861"/>
  <c r="CD113" i="861" s="1"/>
  <c r="CX184" i="861"/>
  <c r="CE113" i="861" s="1"/>
  <c r="CY184" i="861"/>
  <c r="CZ184" i="861"/>
  <c r="CG113" i="861" s="1"/>
  <c r="DA184" i="861"/>
  <c r="CH113" i="861" s="1"/>
  <c r="DB184" i="861"/>
  <c r="CI113" i="861" s="1"/>
  <c r="DC184" i="861"/>
  <c r="CJ113" i="861" s="1"/>
  <c r="DD184" i="861"/>
  <c r="CK113" i="861" s="1"/>
  <c r="DE184" i="861"/>
  <c r="CL113" i="861" s="1"/>
  <c r="DF184" i="861"/>
  <c r="CM113" i="861" s="1"/>
  <c r="CU185" i="861"/>
  <c r="CV185" i="861"/>
  <c r="CW185" i="861"/>
  <c r="CX185" i="861"/>
  <c r="CY185" i="861"/>
  <c r="CZ185" i="861"/>
  <c r="DA185" i="861"/>
  <c r="DB185" i="861"/>
  <c r="DC185" i="861"/>
  <c r="DD185" i="861"/>
  <c r="DE185" i="861"/>
  <c r="DF185" i="861"/>
  <c r="CU186" i="861"/>
  <c r="CV186" i="861"/>
  <c r="CW186" i="861"/>
  <c r="CX186" i="861"/>
  <c r="CY186" i="861"/>
  <c r="CZ186" i="861"/>
  <c r="DA186" i="861"/>
  <c r="DB186" i="861"/>
  <c r="DC186" i="861"/>
  <c r="DD186" i="861"/>
  <c r="DE186" i="861"/>
  <c r="DF186" i="861"/>
  <c r="CU187" i="861"/>
  <c r="CV187" i="861"/>
  <c r="CW187" i="861"/>
  <c r="CX187" i="861"/>
  <c r="CY187" i="861"/>
  <c r="CZ187" i="861"/>
  <c r="DA187" i="861"/>
  <c r="DB187" i="861"/>
  <c r="DC187" i="861"/>
  <c r="DD187" i="861"/>
  <c r="DE187" i="861"/>
  <c r="DF187" i="861"/>
  <c r="CU188" i="861"/>
  <c r="CB120" i="861" s="1"/>
  <c r="CV188" i="861"/>
  <c r="CC120" i="861" s="1"/>
  <c r="CW188" i="861"/>
  <c r="CD120" i="861" s="1"/>
  <c r="CX188" i="861"/>
  <c r="CE120" i="861" s="1"/>
  <c r="CY188" i="861"/>
  <c r="CZ188" i="861"/>
  <c r="CG120" i="861" s="1"/>
  <c r="DA188" i="861"/>
  <c r="CH120" i="861" s="1"/>
  <c r="DB188" i="861"/>
  <c r="CI120" i="861" s="1"/>
  <c r="DC188" i="861"/>
  <c r="CJ120" i="861" s="1"/>
  <c r="DD188" i="861"/>
  <c r="CK120" i="861" s="1"/>
  <c r="DE188" i="861"/>
  <c r="CL120" i="861" s="1"/>
  <c r="DF188" i="861"/>
  <c r="CM120" i="861" s="1"/>
  <c r="CU189" i="861"/>
  <c r="CB117" i="861" s="1"/>
  <c r="CV189" i="861"/>
  <c r="CC117" i="861" s="1"/>
  <c r="CW189" i="861"/>
  <c r="CX189" i="861"/>
  <c r="CY189" i="861"/>
  <c r="CF117" i="861" s="1"/>
  <c r="CZ189" i="861"/>
  <c r="CG117" i="861" s="1"/>
  <c r="DA189" i="861"/>
  <c r="DB189" i="861"/>
  <c r="CI117" i="861" s="1"/>
  <c r="DC189" i="861"/>
  <c r="DD189" i="861"/>
  <c r="CK117" i="861" s="1"/>
  <c r="DE189" i="861"/>
  <c r="CL117" i="861" s="1"/>
  <c r="DF189" i="861"/>
  <c r="CM117" i="861" s="1"/>
  <c r="CU190" i="861"/>
  <c r="CB118" i="861" s="1"/>
  <c r="CV190" i="861"/>
  <c r="CC118" i="861" s="1"/>
  <c r="CW190" i="861"/>
  <c r="CD118" i="861" s="1"/>
  <c r="CX190" i="861"/>
  <c r="CE118" i="861" s="1"/>
  <c r="CY190" i="861"/>
  <c r="CF118" i="861" s="1"/>
  <c r="CZ190" i="861"/>
  <c r="CG118" i="861" s="1"/>
  <c r="DA190" i="861"/>
  <c r="DB190" i="861"/>
  <c r="DC190" i="861"/>
  <c r="CJ118" i="861" s="1"/>
  <c r="DD190" i="861"/>
  <c r="CK118" i="861" s="1"/>
  <c r="DE190" i="861"/>
  <c r="CL118" i="861" s="1"/>
  <c r="DF190" i="861"/>
  <c r="CM118" i="861" s="1"/>
  <c r="CU191" i="861"/>
  <c r="CV191" i="861"/>
  <c r="CW191" i="861"/>
  <c r="CX191" i="861"/>
  <c r="CY191" i="861"/>
  <c r="CZ191" i="861"/>
  <c r="DA191" i="861"/>
  <c r="DB191" i="861"/>
  <c r="DC191" i="861"/>
  <c r="DD191" i="861"/>
  <c r="DE191" i="861"/>
  <c r="DF191" i="861"/>
  <c r="CU192" i="861"/>
  <c r="CB125" i="861" s="1"/>
  <c r="CV192" i="861"/>
  <c r="CC125" i="861" s="1"/>
  <c r="CW192" i="861"/>
  <c r="CD125" i="861" s="1"/>
  <c r="CX192" i="861"/>
  <c r="CE125" i="861" s="1"/>
  <c r="CY192" i="861"/>
  <c r="CZ192" i="861"/>
  <c r="CG125" i="861" s="1"/>
  <c r="DA192" i="861"/>
  <c r="CH125" i="861" s="1"/>
  <c r="DB192" i="861"/>
  <c r="CI125" i="861" s="1"/>
  <c r="DC192" i="861"/>
  <c r="CJ125" i="861" s="1"/>
  <c r="DD192" i="861"/>
  <c r="CK125" i="861" s="1"/>
  <c r="DE192" i="861"/>
  <c r="CL125" i="861" s="1"/>
  <c r="DF192" i="861"/>
  <c r="CM125" i="861" s="1"/>
  <c r="CU193" i="861"/>
  <c r="CV193" i="861"/>
  <c r="CW193" i="861"/>
  <c r="CX193" i="861"/>
  <c r="CY193" i="861"/>
  <c r="CZ193" i="861"/>
  <c r="DA193" i="861"/>
  <c r="DB193" i="861"/>
  <c r="DC193" i="861"/>
  <c r="DD193" i="861"/>
  <c r="DE193" i="861"/>
  <c r="DF193" i="861"/>
  <c r="CU194" i="861"/>
  <c r="CV194" i="861"/>
  <c r="CW194" i="861"/>
  <c r="CX194" i="861"/>
  <c r="CY194" i="861"/>
  <c r="CZ194" i="861"/>
  <c r="DA194" i="861"/>
  <c r="DB194" i="861"/>
  <c r="DC194" i="861"/>
  <c r="DD194" i="861"/>
  <c r="DE194" i="861"/>
  <c r="DF194" i="861"/>
  <c r="CU195" i="861"/>
  <c r="CV195" i="861"/>
  <c r="CW195" i="861"/>
  <c r="CX195" i="861"/>
  <c r="CY195" i="861"/>
  <c r="CZ195" i="861"/>
  <c r="DA195" i="861"/>
  <c r="DB195" i="861"/>
  <c r="DC195" i="861"/>
  <c r="DD195" i="861"/>
  <c r="DE195" i="861"/>
  <c r="DF195" i="861"/>
  <c r="CU196" i="861"/>
  <c r="CV196" i="861"/>
  <c r="CW196" i="861"/>
  <c r="CX196" i="861"/>
  <c r="CY196" i="861"/>
  <c r="CZ196" i="861"/>
  <c r="DA196" i="861"/>
  <c r="DB196" i="861"/>
  <c r="DC196" i="861"/>
  <c r="DD196" i="861"/>
  <c r="DE196" i="861"/>
  <c r="DF196" i="861"/>
  <c r="CU197" i="861"/>
  <c r="CV197" i="861"/>
  <c r="CW197" i="861"/>
  <c r="CX197" i="861"/>
  <c r="CY197" i="861"/>
  <c r="CZ197" i="861"/>
  <c r="DA197" i="861"/>
  <c r="DB197" i="861"/>
  <c r="DC197" i="861"/>
  <c r="DD197" i="861"/>
  <c r="DE197" i="861"/>
  <c r="DF197" i="861"/>
  <c r="CU198" i="861"/>
  <c r="CV198" i="861"/>
  <c r="CW198" i="861"/>
  <c r="CX198" i="861"/>
  <c r="CY198" i="861"/>
  <c r="CZ198" i="861"/>
  <c r="DA198" i="861"/>
  <c r="DB198" i="861"/>
  <c r="DC198" i="861"/>
  <c r="DD198" i="861"/>
  <c r="DE198" i="861"/>
  <c r="DF198" i="861"/>
  <c r="CU199" i="861"/>
  <c r="CV199" i="861"/>
  <c r="CW199" i="861"/>
  <c r="CX199" i="861"/>
  <c r="CY199" i="861"/>
  <c r="CZ199" i="861"/>
  <c r="DA199" i="861"/>
  <c r="DB199" i="861"/>
  <c r="DC199" i="861"/>
  <c r="DD199" i="861"/>
  <c r="DE199" i="861"/>
  <c r="DF199" i="861"/>
  <c r="CU200" i="861"/>
  <c r="CB131" i="861" s="1"/>
  <c r="CV200" i="861"/>
  <c r="CC131" i="861" s="1"/>
  <c r="CW200" i="861"/>
  <c r="CD131" i="861" s="1"/>
  <c r="CX200" i="861"/>
  <c r="CE131" i="861" s="1"/>
  <c r="CY200" i="861"/>
  <c r="CZ200" i="861"/>
  <c r="CG131" i="861" s="1"/>
  <c r="DA200" i="861"/>
  <c r="CH131" i="861" s="1"/>
  <c r="DB200" i="861"/>
  <c r="CI131" i="861" s="1"/>
  <c r="DC200" i="861"/>
  <c r="CJ131" i="861" s="1"/>
  <c r="DD200" i="861"/>
  <c r="CK131" i="861" s="1"/>
  <c r="DE200" i="861"/>
  <c r="CL131" i="861" s="1"/>
  <c r="DF200" i="861"/>
  <c r="CM131" i="861" s="1"/>
  <c r="CU201" i="861"/>
  <c r="CV201" i="861"/>
  <c r="CW201" i="861"/>
  <c r="CX201" i="861"/>
  <c r="CY201" i="861"/>
  <c r="CZ201" i="861"/>
  <c r="DA201" i="861"/>
  <c r="DB201" i="861"/>
  <c r="DC201" i="861"/>
  <c r="DD201" i="861"/>
  <c r="DE201" i="861"/>
  <c r="DF201" i="861"/>
  <c r="CU202" i="861"/>
  <c r="CV202" i="861"/>
  <c r="CW202" i="861"/>
  <c r="CX202" i="861"/>
  <c r="CY202" i="861"/>
  <c r="CZ202" i="861"/>
  <c r="DA202" i="861"/>
  <c r="DB202" i="861"/>
  <c r="DC202" i="861"/>
  <c r="DD202" i="861"/>
  <c r="DE202" i="861"/>
  <c r="DF202" i="861"/>
  <c r="CU203" i="861"/>
  <c r="CV203" i="861"/>
  <c r="CW203" i="861"/>
  <c r="CX203" i="861"/>
  <c r="CY203" i="861"/>
  <c r="CZ203" i="861"/>
  <c r="DA203" i="861"/>
  <c r="DB203" i="861"/>
  <c r="DC203" i="861"/>
  <c r="DD203" i="861"/>
  <c r="DE203" i="861"/>
  <c r="DF203" i="861"/>
  <c r="CU204" i="861"/>
  <c r="CV204" i="861"/>
  <c r="CW204" i="861"/>
  <c r="CX204" i="861"/>
  <c r="CY204" i="861"/>
  <c r="CZ204" i="861"/>
  <c r="DA204" i="861"/>
  <c r="DB204" i="861"/>
  <c r="DC204" i="861"/>
  <c r="DD204" i="861"/>
  <c r="DE204" i="861"/>
  <c r="DF204" i="861"/>
  <c r="CU205" i="861"/>
  <c r="CV205" i="861"/>
  <c r="CW205" i="861"/>
  <c r="CX205" i="861"/>
  <c r="CY205" i="861"/>
  <c r="CZ205" i="861"/>
  <c r="DA205" i="861"/>
  <c r="DB205" i="861"/>
  <c r="DC205" i="861"/>
  <c r="DD205" i="861"/>
  <c r="DE205" i="861"/>
  <c r="DF205" i="861"/>
  <c r="CU206" i="861"/>
  <c r="CV206" i="861"/>
  <c r="CW206" i="861"/>
  <c r="CX206" i="861"/>
  <c r="CY206" i="861"/>
  <c r="CZ206" i="861"/>
  <c r="DA206" i="861"/>
  <c r="DB206" i="861"/>
  <c r="DC206" i="861"/>
  <c r="DD206" i="861"/>
  <c r="DE206" i="861"/>
  <c r="DF206" i="861"/>
  <c r="CU207" i="861"/>
  <c r="CV207" i="861"/>
  <c r="CW207" i="861"/>
  <c r="CX207" i="861"/>
  <c r="CY207" i="861"/>
  <c r="CZ207" i="861"/>
  <c r="DA207" i="861"/>
  <c r="DB207" i="861"/>
  <c r="DC207" i="861"/>
  <c r="DD207" i="861"/>
  <c r="DE207" i="861"/>
  <c r="DF207" i="861"/>
  <c r="CU208" i="861"/>
  <c r="CV208" i="861"/>
  <c r="CW208" i="861"/>
  <c r="CX208" i="861"/>
  <c r="CY208" i="861"/>
  <c r="CZ208" i="861"/>
  <c r="DA208" i="861"/>
  <c r="DB208" i="861"/>
  <c r="DC208" i="861"/>
  <c r="DD208" i="861"/>
  <c r="DE208" i="861"/>
  <c r="DF208" i="861"/>
  <c r="CU209" i="861"/>
  <c r="CV209" i="861"/>
  <c r="CW209" i="861"/>
  <c r="CX209" i="861"/>
  <c r="CY209" i="861"/>
  <c r="CZ209" i="861"/>
  <c r="DA209" i="861"/>
  <c r="DB209" i="861"/>
  <c r="DC209" i="861"/>
  <c r="DD209" i="861"/>
  <c r="DE209" i="861"/>
  <c r="DF209" i="861"/>
  <c r="CU210" i="861"/>
  <c r="CV210" i="861"/>
  <c r="CW210" i="861"/>
  <c r="CX210" i="861"/>
  <c r="CY210" i="861"/>
  <c r="CZ210" i="861"/>
  <c r="DA210" i="861"/>
  <c r="DB210" i="861"/>
  <c r="DC210" i="861"/>
  <c r="DD210" i="861"/>
  <c r="DE210" i="861"/>
  <c r="DF210" i="861"/>
  <c r="CU211" i="861"/>
  <c r="CV211" i="861"/>
  <c r="CC86" i="861" s="1"/>
  <c r="CW211" i="861"/>
  <c r="CD86" i="861" s="1"/>
  <c r="CX211" i="861"/>
  <c r="CE86" i="861" s="1"/>
  <c r="CY211" i="861"/>
  <c r="CF86" i="861" s="1"/>
  <c r="CZ211" i="861"/>
  <c r="CG86" i="861" s="1"/>
  <c r="DA211" i="861"/>
  <c r="CH86" i="861" s="1"/>
  <c r="DB211" i="861"/>
  <c r="CI86" i="861" s="1"/>
  <c r="DC211" i="861"/>
  <c r="CJ86" i="861" s="1"/>
  <c r="DD211" i="861"/>
  <c r="CK86" i="861" s="1"/>
  <c r="DE211" i="861"/>
  <c r="DF211" i="861"/>
  <c r="CU212" i="861"/>
  <c r="CV212" i="861"/>
  <c r="CW212" i="861"/>
  <c r="CX212" i="861"/>
  <c r="CY212" i="861"/>
  <c r="CZ212" i="861"/>
  <c r="DA212" i="861"/>
  <c r="DB212" i="861"/>
  <c r="DC212" i="861"/>
  <c r="DD212" i="861"/>
  <c r="DE212" i="861"/>
  <c r="DF212" i="861"/>
  <c r="CU213" i="861"/>
  <c r="CV213" i="861"/>
  <c r="CW213" i="861"/>
  <c r="CX213" i="861"/>
  <c r="CY213" i="861"/>
  <c r="CZ213" i="861"/>
  <c r="DA213" i="861"/>
  <c r="DB213" i="861"/>
  <c r="DC213" i="861"/>
  <c r="DD213" i="861"/>
  <c r="DE213" i="861"/>
  <c r="DF213" i="861"/>
  <c r="CU214" i="861"/>
  <c r="CV214" i="861"/>
  <c r="CW214" i="861"/>
  <c r="CX214" i="861"/>
  <c r="CY214" i="861"/>
  <c r="CZ214" i="861"/>
  <c r="DA214" i="861"/>
  <c r="DB214" i="861"/>
  <c r="DC214" i="861"/>
  <c r="DD214" i="861"/>
  <c r="DE214" i="861"/>
  <c r="DF214" i="861"/>
  <c r="CU215" i="861"/>
  <c r="CV215" i="861"/>
  <c r="CW215" i="861"/>
  <c r="CX215" i="861"/>
  <c r="CY215" i="861"/>
  <c r="CZ215" i="861"/>
  <c r="DA215" i="861"/>
  <c r="DB215" i="861"/>
  <c r="DC215" i="861"/>
  <c r="DD215" i="861"/>
  <c r="DE215" i="861"/>
  <c r="DF215" i="861"/>
  <c r="CU216" i="861"/>
  <c r="CV216" i="861"/>
  <c r="CW216" i="861"/>
  <c r="CX216" i="861"/>
  <c r="CY216" i="861"/>
  <c r="CZ216" i="861"/>
  <c r="DA216" i="861"/>
  <c r="DB216" i="861"/>
  <c r="DC216" i="861"/>
  <c r="DD216" i="861"/>
  <c r="DE216" i="861"/>
  <c r="DF216" i="861"/>
  <c r="CU217" i="861"/>
  <c r="CV217" i="861"/>
  <c r="CW217" i="861"/>
  <c r="CX217" i="861"/>
  <c r="CY217" i="861"/>
  <c r="CZ217" i="861"/>
  <c r="DA217" i="861"/>
  <c r="DB217" i="861"/>
  <c r="DC217" i="861"/>
  <c r="DD217" i="861"/>
  <c r="DE217" i="861"/>
  <c r="DF217" i="861"/>
  <c r="CU218" i="861"/>
  <c r="CV218" i="861"/>
  <c r="CW218" i="861"/>
  <c r="CX218" i="861"/>
  <c r="CY218" i="861"/>
  <c r="CZ218" i="861"/>
  <c r="DA218" i="861"/>
  <c r="DB218" i="861"/>
  <c r="DC218" i="861"/>
  <c r="DD218" i="861"/>
  <c r="DE218" i="861"/>
  <c r="DF218" i="861"/>
  <c r="CU219" i="861"/>
  <c r="CV219" i="861"/>
  <c r="CW219" i="861"/>
  <c r="CX219" i="861"/>
  <c r="CY219" i="861"/>
  <c r="CZ219" i="861"/>
  <c r="DA219" i="861"/>
  <c r="DB219" i="861"/>
  <c r="DC219" i="861"/>
  <c r="DD219" i="861"/>
  <c r="DE219" i="861"/>
  <c r="DF219" i="861"/>
  <c r="CU220" i="861"/>
  <c r="CV220" i="861"/>
  <c r="CW220" i="861"/>
  <c r="CX220" i="861"/>
  <c r="CY220" i="861"/>
  <c r="CZ220" i="861"/>
  <c r="DA220" i="861"/>
  <c r="DB220" i="861"/>
  <c r="DC220" i="861"/>
  <c r="DD220" i="861"/>
  <c r="DE220" i="861"/>
  <c r="DF220" i="861"/>
  <c r="CU221" i="861"/>
  <c r="CV221" i="861"/>
  <c r="CW221" i="861"/>
  <c r="CX221" i="861"/>
  <c r="CY221" i="861"/>
  <c r="CZ221" i="861"/>
  <c r="DA221" i="861"/>
  <c r="DB221" i="861"/>
  <c r="DC221" i="861"/>
  <c r="DD221" i="861"/>
  <c r="DE221" i="861"/>
  <c r="DF221" i="861"/>
  <c r="CU222" i="861"/>
  <c r="CV222" i="861"/>
  <c r="CW222" i="861"/>
  <c r="CX222" i="861"/>
  <c r="CY222" i="861"/>
  <c r="CZ222" i="861"/>
  <c r="DA222" i="861"/>
  <c r="DB222" i="861"/>
  <c r="DC222" i="861"/>
  <c r="DD222" i="861"/>
  <c r="DE222" i="861"/>
  <c r="DF222" i="861"/>
  <c r="CU223" i="861"/>
  <c r="CV223" i="861"/>
  <c r="CW223" i="861"/>
  <c r="CX223" i="861"/>
  <c r="CY223" i="861"/>
  <c r="CZ223" i="861"/>
  <c r="DA223" i="861"/>
  <c r="DB223" i="861"/>
  <c r="DC223" i="861"/>
  <c r="DD223" i="861"/>
  <c r="DE223" i="861"/>
  <c r="DF223" i="861"/>
  <c r="CU224" i="861"/>
  <c r="CV224" i="861"/>
  <c r="CW224" i="861"/>
  <c r="CX224" i="861"/>
  <c r="CY224" i="861"/>
  <c r="CZ224" i="861"/>
  <c r="DA224" i="861"/>
  <c r="DB224" i="861"/>
  <c r="DC224" i="861"/>
  <c r="DD224" i="861"/>
  <c r="DE224" i="861"/>
  <c r="DF224" i="861"/>
  <c r="CU225" i="861"/>
  <c r="CV225" i="861"/>
  <c r="CW225" i="861"/>
  <c r="CX225" i="861"/>
  <c r="CY225" i="861"/>
  <c r="CZ225" i="861"/>
  <c r="DA225" i="861"/>
  <c r="DB225" i="861"/>
  <c r="DC225" i="861"/>
  <c r="DD225" i="861"/>
  <c r="DE225" i="861"/>
  <c r="DF225" i="861"/>
  <c r="CU226" i="861"/>
  <c r="CV226" i="861"/>
  <c r="CW226" i="861"/>
  <c r="CX226" i="861"/>
  <c r="CY226" i="861"/>
  <c r="CZ226" i="861"/>
  <c r="DA226" i="861"/>
  <c r="DB226" i="861"/>
  <c r="DC226" i="861"/>
  <c r="DD226" i="861"/>
  <c r="DE226" i="861"/>
  <c r="DF226" i="861"/>
  <c r="CU227" i="861"/>
  <c r="CV227" i="861"/>
  <c r="CW227" i="861"/>
  <c r="CX227" i="861"/>
  <c r="CY227" i="861"/>
  <c r="CZ227" i="861"/>
  <c r="DA227" i="861"/>
  <c r="DB227" i="861"/>
  <c r="DC227" i="861"/>
  <c r="DD227" i="861"/>
  <c r="DE227" i="861"/>
  <c r="DF227" i="861"/>
  <c r="CU228" i="861"/>
  <c r="CV228" i="861"/>
  <c r="CW228" i="861"/>
  <c r="CX228" i="861"/>
  <c r="CY228" i="861"/>
  <c r="CZ228" i="861"/>
  <c r="DA228" i="861"/>
  <c r="DB228" i="861"/>
  <c r="DC228" i="861"/>
  <c r="DD228" i="861"/>
  <c r="DE228" i="861"/>
  <c r="DF228" i="861"/>
  <c r="CU229" i="861"/>
  <c r="CV229" i="861"/>
  <c r="CW229" i="861"/>
  <c r="CX229" i="861"/>
  <c r="CY229" i="861"/>
  <c r="CZ229" i="861"/>
  <c r="DA229" i="861"/>
  <c r="DB229" i="861"/>
  <c r="DC229" i="861"/>
  <c r="DD229" i="861"/>
  <c r="DE229" i="861"/>
  <c r="DF229" i="861"/>
  <c r="CU230" i="861"/>
  <c r="CV230" i="861"/>
  <c r="CW230" i="861"/>
  <c r="CX230" i="861"/>
  <c r="CY230" i="861"/>
  <c r="CZ230" i="861"/>
  <c r="DA230" i="861"/>
  <c r="DB230" i="861"/>
  <c r="DC230" i="861"/>
  <c r="DD230" i="861"/>
  <c r="DE230" i="861"/>
  <c r="DF230" i="861"/>
  <c r="CU231" i="861"/>
  <c r="CV231" i="861"/>
  <c r="CW231" i="861"/>
  <c r="CX231" i="861"/>
  <c r="CY231" i="861"/>
  <c r="CZ231" i="861"/>
  <c r="DA231" i="861"/>
  <c r="DB231" i="861"/>
  <c r="DC231" i="861"/>
  <c r="DD231" i="861"/>
  <c r="DE231" i="861"/>
  <c r="DF231" i="861"/>
  <c r="CU232" i="861"/>
  <c r="CV232" i="861"/>
  <c r="CW232" i="861"/>
  <c r="CX232" i="861"/>
  <c r="CY232" i="861"/>
  <c r="CZ232" i="861"/>
  <c r="DA232" i="861"/>
  <c r="DB232" i="861"/>
  <c r="DC232" i="861"/>
  <c r="DD232" i="861"/>
  <c r="DE232" i="861"/>
  <c r="DF232" i="861"/>
  <c r="CU233" i="861"/>
  <c r="CV233" i="861"/>
  <c r="CW233" i="861"/>
  <c r="CX233" i="861"/>
  <c r="CY233" i="861"/>
  <c r="CZ233" i="861"/>
  <c r="DA233" i="861"/>
  <c r="DB233" i="861"/>
  <c r="DC233" i="861"/>
  <c r="DD233" i="861"/>
  <c r="DE233" i="861"/>
  <c r="DF233" i="861"/>
  <c r="CU234" i="861"/>
  <c r="CV234" i="861"/>
  <c r="CW234" i="861"/>
  <c r="CX234" i="861"/>
  <c r="CY234" i="861"/>
  <c r="CZ234" i="861"/>
  <c r="DA234" i="861"/>
  <c r="DB234" i="861"/>
  <c r="DC234" i="861"/>
  <c r="DD234" i="861"/>
  <c r="DE234" i="861"/>
  <c r="DF234" i="861"/>
  <c r="CU235" i="861"/>
  <c r="CV235" i="861"/>
  <c r="CC74" i="861" s="1"/>
  <c r="CW235" i="861"/>
  <c r="CD74" i="861" s="1"/>
  <c r="CX235" i="861"/>
  <c r="CE74" i="861" s="1"/>
  <c r="CY235" i="861"/>
  <c r="CF74" i="861" s="1"/>
  <c r="CZ235" i="861"/>
  <c r="CG74" i="861" s="1"/>
  <c r="DA235" i="861"/>
  <c r="CH74" i="861" s="1"/>
  <c r="DB235" i="861"/>
  <c r="CI74" i="861" s="1"/>
  <c r="DC235" i="861"/>
  <c r="CJ74" i="861" s="1"/>
  <c r="DD235" i="861"/>
  <c r="CK74" i="861" s="1"/>
  <c r="DE235" i="861"/>
  <c r="DF235" i="861"/>
  <c r="CM74" i="861" s="1"/>
  <c r="CU236" i="861"/>
  <c r="CV236" i="861"/>
  <c r="CW236" i="861"/>
  <c r="CX236" i="861"/>
  <c r="CY236" i="861"/>
  <c r="CZ236" i="861"/>
  <c r="DA236" i="861"/>
  <c r="DB236" i="861"/>
  <c r="DC236" i="861"/>
  <c r="DD236" i="861"/>
  <c r="DE236" i="861"/>
  <c r="DF236" i="861"/>
  <c r="CU237" i="861"/>
  <c r="CV237" i="861"/>
  <c r="CW237" i="861"/>
  <c r="CX237" i="861"/>
  <c r="CY237" i="861"/>
  <c r="CZ237" i="861"/>
  <c r="DA237" i="861"/>
  <c r="DB237" i="861"/>
  <c r="DC237" i="861"/>
  <c r="DD237" i="861"/>
  <c r="DE237" i="861"/>
  <c r="DF237" i="861"/>
  <c r="CU238" i="861"/>
  <c r="CV238" i="861"/>
  <c r="CW238" i="861"/>
  <c r="CX238" i="861"/>
  <c r="CY238" i="861"/>
  <c r="CZ238" i="861"/>
  <c r="DA238" i="861"/>
  <c r="DB238" i="861"/>
  <c r="DC238" i="861"/>
  <c r="DD238" i="861"/>
  <c r="DE238" i="861"/>
  <c r="DF238" i="861"/>
  <c r="CU239" i="861"/>
  <c r="CV239" i="861"/>
  <c r="CW239" i="861"/>
  <c r="CX239" i="861"/>
  <c r="CY239" i="861"/>
  <c r="CZ239" i="861"/>
  <c r="DA239" i="861"/>
  <c r="DB239" i="861"/>
  <c r="DC239" i="861"/>
  <c r="DD239" i="861"/>
  <c r="DE239" i="861"/>
  <c r="DF239" i="861"/>
  <c r="CU240" i="861"/>
  <c r="CV240" i="861"/>
  <c r="CW240" i="861"/>
  <c r="CX240" i="861"/>
  <c r="CY240" i="861"/>
  <c r="CZ240" i="861"/>
  <c r="DA240" i="861"/>
  <c r="DB240" i="861"/>
  <c r="DC240" i="861"/>
  <c r="DD240" i="861"/>
  <c r="DE240" i="861"/>
  <c r="DF240" i="861"/>
  <c r="CU241" i="861"/>
  <c r="CV241" i="861"/>
  <c r="CW241" i="861"/>
  <c r="CX241" i="861"/>
  <c r="CY241" i="861"/>
  <c r="CZ241" i="861"/>
  <c r="DA241" i="861"/>
  <c r="DB241" i="861"/>
  <c r="DC241" i="861"/>
  <c r="DD241" i="861"/>
  <c r="DE241" i="861"/>
  <c r="DF241" i="861"/>
  <c r="CU242" i="861"/>
  <c r="CV242" i="861"/>
  <c r="CW242" i="861"/>
  <c r="CX242" i="861"/>
  <c r="CY242" i="861"/>
  <c r="CZ242" i="861"/>
  <c r="DA242" i="861"/>
  <c r="DB242" i="861"/>
  <c r="DC242" i="861"/>
  <c r="DD242" i="861"/>
  <c r="DE242" i="861"/>
  <c r="DF242" i="861"/>
  <c r="CU243" i="861"/>
  <c r="CV243" i="861"/>
  <c r="CW243" i="861"/>
  <c r="CX243" i="861"/>
  <c r="CY243" i="861"/>
  <c r="CZ243" i="861"/>
  <c r="DA243" i="861"/>
  <c r="DB243" i="861"/>
  <c r="DC243" i="861"/>
  <c r="DD243" i="861"/>
  <c r="DE243" i="861"/>
  <c r="DF243" i="861"/>
  <c r="CU244" i="861"/>
  <c r="CV244" i="861"/>
  <c r="CW244" i="861"/>
  <c r="CX244" i="861"/>
  <c r="CY244" i="861"/>
  <c r="CZ244" i="861"/>
  <c r="DA244" i="861"/>
  <c r="DB244" i="861"/>
  <c r="DC244" i="861"/>
  <c r="DD244" i="861"/>
  <c r="DE244" i="861"/>
  <c r="DF244" i="861"/>
  <c r="CU245" i="861"/>
  <c r="CV245" i="861"/>
  <c r="CW245" i="861"/>
  <c r="CX245" i="861"/>
  <c r="CY245" i="861"/>
  <c r="CZ245" i="861"/>
  <c r="DA245" i="861"/>
  <c r="DB245" i="861"/>
  <c r="DC245" i="861"/>
  <c r="DD245" i="861"/>
  <c r="DE245" i="861"/>
  <c r="DF245" i="861"/>
  <c r="CU246" i="861"/>
  <c r="CV246" i="861"/>
  <c r="CW246" i="861"/>
  <c r="CX246" i="861"/>
  <c r="CY246" i="861"/>
  <c r="CZ246" i="861"/>
  <c r="DA246" i="861"/>
  <c r="DB246" i="861"/>
  <c r="DC246" i="861"/>
  <c r="DD246" i="861"/>
  <c r="DE246" i="861"/>
  <c r="DF246" i="861"/>
  <c r="CU247" i="861"/>
  <c r="CV247" i="861"/>
  <c r="CW247" i="861"/>
  <c r="CX247" i="861"/>
  <c r="CY247" i="861"/>
  <c r="CZ247" i="861"/>
  <c r="DA247" i="861"/>
  <c r="DB247" i="861"/>
  <c r="DC247" i="861"/>
  <c r="DD247" i="861"/>
  <c r="DE247" i="861"/>
  <c r="DF247" i="861"/>
  <c r="CU248" i="861"/>
  <c r="CV248" i="861"/>
  <c r="CW248" i="861"/>
  <c r="CX248" i="861"/>
  <c r="CY248" i="861"/>
  <c r="CZ248" i="861"/>
  <c r="DA248" i="861"/>
  <c r="DB248" i="861"/>
  <c r="DC248" i="861"/>
  <c r="DD248" i="861"/>
  <c r="DE248" i="861"/>
  <c r="DF248" i="861"/>
  <c r="CU249" i="861"/>
  <c r="CV249" i="861"/>
  <c r="CW249" i="861"/>
  <c r="CX249" i="861"/>
  <c r="CY249" i="861"/>
  <c r="CZ249" i="861"/>
  <c r="DA249" i="861"/>
  <c r="DB249" i="861"/>
  <c r="DC249" i="861"/>
  <c r="DD249" i="861"/>
  <c r="DE249" i="861"/>
  <c r="DF249" i="861"/>
  <c r="CU250" i="861"/>
  <c r="CV250" i="861"/>
  <c r="CW250" i="861"/>
  <c r="CX250" i="861"/>
  <c r="CY250" i="861"/>
  <c r="CZ250" i="861"/>
  <c r="DA250" i="861"/>
  <c r="DB250" i="861"/>
  <c r="DC250" i="861"/>
  <c r="DD250" i="861"/>
  <c r="DE250" i="861"/>
  <c r="DF250" i="861"/>
  <c r="CU251" i="861"/>
  <c r="CV251" i="861"/>
  <c r="CW251" i="861"/>
  <c r="CX251" i="861"/>
  <c r="CY251" i="861"/>
  <c r="CZ251" i="861"/>
  <c r="DA251" i="861"/>
  <c r="DB251" i="861"/>
  <c r="DC251" i="861"/>
  <c r="DD251" i="861"/>
  <c r="DE251" i="861"/>
  <c r="DF251" i="861"/>
  <c r="CU252" i="861"/>
  <c r="CV252" i="861"/>
  <c r="CW252" i="861"/>
  <c r="CX252" i="861"/>
  <c r="CY252" i="861"/>
  <c r="CZ252" i="861"/>
  <c r="DA252" i="861"/>
  <c r="DB252" i="861"/>
  <c r="DC252" i="861"/>
  <c r="DD252" i="861"/>
  <c r="DE252" i="861"/>
  <c r="DF252" i="861"/>
  <c r="CU253" i="861"/>
  <c r="CV253" i="861"/>
  <c r="CW253" i="861"/>
  <c r="CX253" i="861"/>
  <c r="CY253" i="861"/>
  <c r="CZ253" i="861"/>
  <c r="DA253" i="861"/>
  <c r="DB253" i="861"/>
  <c r="DC253" i="861"/>
  <c r="DD253" i="861"/>
  <c r="DE253" i="861"/>
  <c r="DF253" i="861"/>
  <c r="CU254" i="861"/>
  <c r="CV254" i="861"/>
  <c r="CW254" i="861"/>
  <c r="CX254" i="861"/>
  <c r="CY254" i="861"/>
  <c r="CZ254" i="861"/>
  <c r="DA254" i="861"/>
  <c r="DB254" i="861"/>
  <c r="DC254" i="861"/>
  <c r="DD254" i="861"/>
  <c r="DE254" i="861"/>
  <c r="DF254" i="861"/>
  <c r="CU255" i="861"/>
  <c r="CV255" i="861"/>
  <c r="CW255" i="861"/>
  <c r="CX255" i="861"/>
  <c r="CY255" i="861"/>
  <c r="CZ255" i="861"/>
  <c r="DA255" i="861"/>
  <c r="DB255" i="861"/>
  <c r="DC255" i="861"/>
  <c r="DD255" i="861"/>
  <c r="DE255" i="861"/>
  <c r="DF255" i="861"/>
  <c r="CU256" i="861"/>
  <c r="CV256" i="861"/>
  <c r="CW256" i="861"/>
  <c r="CX256" i="861"/>
  <c r="CY256" i="861"/>
  <c r="CZ256" i="861"/>
  <c r="DA256" i="861"/>
  <c r="DB256" i="861"/>
  <c r="DC256" i="861"/>
  <c r="DD256" i="861"/>
  <c r="DE256" i="861"/>
  <c r="DF256" i="861"/>
  <c r="CU257" i="861"/>
  <c r="CV257" i="861"/>
  <c r="CW257" i="861"/>
  <c r="CX257" i="861"/>
  <c r="CY257" i="861"/>
  <c r="CZ257" i="861"/>
  <c r="DA257" i="861"/>
  <c r="DB257" i="861"/>
  <c r="DC257" i="861"/>
  <c r="DD257" i="861"/>
  <c r="DE257" i="861"/>
  <c r="DF257" i="861"/>
  <c r="CU258" i="861"/>
  <c r="CV258" i="861"/>
  <c r="CW258" i="861"/>
  <c r="CX258" i="861"/>
  <c r="CY258" i="861"/>
  <c r="CZ258" i="861"/>
  <c r="DA258" i="861"/>
  <c r="DB258" i="861"/>
  <c r="DC258" i="861"/>
  <c r="DD258" i="861"/>
  <c r="DE258" i="861"/>
  <c r="DF258" i="861"/>
  <c r="CU259" i="861"/>
  <c r="CV259" i="861"/>
  <c r="CW259" i="861"/>
  <c r="CX259" i="861"/>
  <c r="CY259" i="861"/>
  <c r="CZ259" i="861"/>
  <c r="DA259" i="861"/>
  <c r="DB259" i="861"/>
  <c r="DC259" i="861"/>
  <c r="DD259" i="861"/>
  <c r="DE259" i="861"/>
  <c r="DF259" i="861"/>
  <c r="CU260" i="861"/>
  <c r="CV260" i="861"/>
  <c r="CW260" i="861"/>
  <c r="CX260" i="861"/>
  <c r="CY260" i="861"/>
  <c r="CZ260" i="861"/>
  <c r="DA260" i="861"/>
  <c r="DB260" i="861"/>
  <c r="DC260" i="861"/>
  <c r="DD260" i="861"/>
  <c r="DE260" i="861"/>
  <c r="DF260" i="861"/>
  <c r="CU261" i="861"/>
  <c r="CV261" i="861"/>
  <c r="CW261" i="861"/>
  <c r="CX261" i="861"/>
  <c r="CY261" i="861"/>
  <c r="CZ261" i="861"/>
  <c r="DA261" i="861"/>
  <c r="DB261" i="861"/>
  <c r="DC261" i="861"/>
  <c r="DD261" i="861"/>
  <c r="DE261" i="861"/>
  <c r="DF261" i="861"/>
  <c r="CU262" i="861"/>
  <c r="CV262" i="861"/>
  <c r="CW262" i="861"/>
  <c r="CX262" i="861"/>
  <c r="CY262" i="861"/>
  <c r="CZ262" i="861"/>
  <c r="DA262" i="861"/>
  <c r="DB262" i="861"/>
  <c r="DC262" i="861"/>
  <c r="DD262" i="861"/>
  <c r="DE262" i="861"/>
  <c r="DF262" i="861"/>
  <c r="CU263" i="861"/>
  <c r="CV263" i="861"/>
  <c r="CW263" i="861"/>
  <c r="CX263" i="861"/>
  <c r="CY263" i="861"/>
  <c r="CZ263" i="861"/>
  <c r="DA263" i="861"/>
  <c r="DB263" i="861"/>
  <c r="DC263" i="861"/>
  <c r="DD263" i="861"/>
  <c r="DE263" i="861"/>
  <c r="DF263" i="861"/>
  <c r="CU264" i="861"/>
  <c r="CV264" i="861"/>
  <c r="CW264" i="861"/>
  <c r="CX264" i="861"/>
  <c r="CY264" i="861"/>
  <c r="CZ264" i="861"/>
  <c r="DA264" i="861"/>
  <c r="DB264" i="861"/>
  <c r="DC264" i="861"/>
  <c r="DD264" i="861"/>
  <c r="DE264" i="861"/>
  <c r="DF264" i="861"/>
  <c r="CU265" i="861"/>
  <c r="CV265" i="861"/>
  <c r="CW265" i="861"/>
  <c r="CX265" i="861"/>
  <c r="CY265" i="861"/>
  <c r="CZ265" i="861"/>
  <c r="DA265" i="861"/>
  <c r="DB265" i="861"/>
  <c r="DC265" i="861"/>
  <c r="DD265" i="861"/>
  <c r="DE265" i="861"/>
  <c r="DF265" i="861"/>
  <c r="CU266" i="861"/>
  <c r="CV266" i="861"/>
  <c r="CW266" i="861"/>
  <c r="CX266" i="861"/>
  <c r="CY266" i="861"/>
  <c r="CZ266" i="861"/>
  <c r="DA266" i="861"/>
  <c r="DB266" i="861"/>
  <c r="DC266" i="861"/>
  <c r="DD266" i="861"/>
  <c r="DE266" i="861"/>
  <c r="DF266" i="861"/>
  <c r="CU267" i="861"/>
  <c r="CV267" i="861"/>
  <c r="CW267" i="861"/>
  <c r="CX267" i="861"/>
  <c r="CY267" i="861"/>
  <c r="CZ267" i="861"/>
  <c r="DA267" i="861"/>
  <c r="DB267" i="861"/>
  <c r="DC267" i="861"/>
  <c r="DD267" i="861"/>
  <c r="DE267" i="861"/>
  <c r="DF267" i="861"/>
  <c r="CU268" i="861"/>
  <c r="CV268" i="861"/>
  <c r="CW268" i="861"/>
  <c r="CX268" i="861"/>
  <c r="CY268" i="861"/>
  <c r="CZ268" i="861"/>
  <c r="DA268" i="861"/>
  <c r="DB268" i="861"/>
  <c r="DC268" i="861"/>
  <c r="DD268" i="861"/>
  <c r="DE268" i="861"/>
  <c r="DF268" i="861"/>
  <c r="CU269" i="861"/>
  <c r="CV269" i="861"/>
  <c r="CW269" i="861"/>
  <c r="CX269" i="861"/>
  <c r="CY269" i="861"/>
  <c r="CZ269" i="861"/>
  <c r="DA269" i="861"/>
  <c r="DB269" i="861"/>
  <c r="DC269" i="861"/>
  <c r="DD269" i="861"/>
  <c r="DE269" i="861"/>
  <c r="DF269" i="861"/>
  <c r="CU270" i="861"/>
  <c r="CV270" i="861"/>
  <c r="CW270" i="861"/>
  <c r="CX270" i="861"/>
  <c r="CY270" i="861"/>
  <c r="CZ270" i="861"/>
  <c r="DA270" i="861"/>
  <c r="DB270" i="861"/>
  <c r="DC270" i="861"/>
  <c r="DD270" i="861"/>
  <c r="DE270" i="861"/>
  <c r="DF270" i="861"/>
  <c r="CU271" i="861"/>
  <c r="CV271" i="861"/>
  <c r="CW271" i="861"/>
  <c r="CX271" i="861"/>
  <c r="CY271" i="861"/>
  <c r="CZ271" i="861"/>
  <c r="DA271" i="861"/>
  <c r="DB271" i="861"/>
  <c r="DC271" i="861"/>
  <c r="DD271" i="861"/>
  <c r="DE271" i="861"/>
  <c r="DF271" i="861"/>
  <c r="CU272" i="861"/>
  <c r="CV272" i="861"/>
  <c r="CW272" i="861"/>
  <c r="CX272" i="861"/>
  <c r="CY272" i="861"/>
  <c r="CZ272" i="861"/>
  <c r="DA272" i="861"/>
  <c r="DB272" i="861"/>
  <c r="DC272" i="861"/>
  <c r="DD272" i="861"/>
  <c r="DE272" i="861"/>
  <c r="DF272" i="861"/>
  <c r="CU273" i="861"/>
  <c r="CV273" i="861"/>
  <c r="CW273" i="861"/>
  <c r="CX273" i="861"/>
  <c r="CY273" i="861"/>
  <c r="CZ273" i="861"/>
  <c r="DA273" i="861"/>
  <c r="DB273" i="861"/>
  <c r="DC273" i="861"/>
  <c r="DD273" i="861"/>
  <c r="DE273" i="861"/>
  <c r="DF273" i="861"/>
  <c r="CU274" i="861"/>
  <c r="CV274" i="861"/>
  <c r="CW274" i="861"/>
  <c r="CX274" i="861"/>
  <c r="CY274" i="861"/>
  <c r="CZ274" i="861"/>
  <c r="DA274" i="861"/>
  <c r="DB274" i="861"/>
  <c r="DC274" i="861"/>
  <c r="DD274" i="861"/>
  <c r="DE274" i="861"/>
  <c r="DF274" i="861"/>
  <c r="CU275" i="861"/>
  <c r="CV275" i="861"/>
  <c r="CW275" i="861"/>
  <c r="CX275" i="861"/>
  <c r="CY275" i="861"/>
  <c r="CZ275" i="861"/>
  <c r="DA275" i="861"/>
  <c r="DB275" i="861"/>
  <c r="DC275" i="861"/>
  <c r="DD275" i="861"/>
  <c r="DE275" i="861"/>
  <c r="DF275" i="861"/>
  <c r="CU276" i="861"/>
  <c r="CV276" i="861"/>
  <c r="CW276" i="861"/>
  <c r="CX276" i="861"/>
  <c r="CY276" i="861"/>
  <c r="CZ276" i="861"/>
  <c r="DA276" i="861"/>
  <c r="DB276" i="861"/>
  <c r="DC276" i="861"/>
  <c r="DD276" i="861"/>
  <c r="DE276" i="861"/>
  <c r="DF276" i="861"/>
  <c r="CU277" i="861"/>
  <c r="CV277" i="861"/>
  <c r="CW277" i="861"/>
  <c r="CX277" i="861"/>
  <c r="CY277" i="861"/>
  <c r="CZ277" i="861"/>
  <c r="DA277" i="861"/>
  <c r="DB277" i="861"/>
  <c r="DC277" i="861"/>
  <c r="DD277" i="861"/>
  <c r="DE277" i="861"/>
  <c r="DF277" i="861"/>
  <c r="CU278" i="861"/>
  <c r="CB85" i="861" s="1"/>
  <c r="CV278" i="861"/>
  <c r="CC85" i="861" s="1"/>
  <c r="CW278" i="861"/>
  <c r="CD85" i="861" s="1"/>
  <c r="CX278" i="861"/>
  <c r="CE85" i="861" s="1"/>
  <c r="CY278" i="861"/>
  <c r="CF85" i="861" s="1"/>
  <c r="CZ278" i="861"/>
  <c r="CG85" i="861" s="1"/>
  <c r="DA278" i="861"/>
  <c r="CH85" i="861" s="1"/>
  <c r="DB278" i="861"/>
  <c r="CI85" i="861" s="1"/>
  <c r="DC278" i="861"/>
  <c r="CJ85" i="861" s="1"/>
  <c r="DD278" i="861"/>
  <c r="CK85" i="861" s="1"/>
  <c r="DE278" i="861"/>
  <c r="CL85" i="861" s="1"/>
  <c r="DF278" i="861"/>
  <c r="CM85" i="861" s="1"/>
  <c r="CU279" i="861"/>
  <c r="CV279" i="861"/>
  <c r="CW279" i="861"/>
  <c r="CX279" i="861"/>
  <c r="CY279" i="861"/>
  <c r="CZ279" i="861"/>
  <c r="DA279" i="861"/>
  <c r="DB279" i="861"/>
  <c r="DC279" i="861"/>
  <c r="DD279" i="861"/>
  <c r="DE279" i="861"/>
  <c r="DF279" i="861"/>
  <c r="CU280" i="861"/>
  <c r="CV280" i="861"/>
  <c r="CW280" i="861"/>
  <c r="CX280" i="861"/>
  <c r="CY280" i="861"/>
  <c r="CZ280" i="861"/>
  <c r="DA280" i="861"/>
  <c r="DB280" i="861"/>
  <c r="DC280" i="861"/>
  <c r="DD280" i="861"/>
  <c r="DE280" i="861"/>
  <c r="DF280" i="861"/>
  <c r="CU281" i="861"/>
  <c r="CV281" i="861"/>
  <c r="CW281" i="861"/>
  <c r="CX281" i="861"/>
  <c r="CY281" i="861"/>
  <c r="CZ281" i="861"/>
  <c r="DA281" i="861"/>
  <c r="DB281" i="861"/>
  <c r="DC281" i="861"/>
  <c r="DD281" i="861"/>
  <c r="DE281" i="861"/>
  <c r="DF281" i="861"/>
  <c r="CU282" i="861"/>
  <c r="CV282" i="861"/>
  <c r="CW282" i="861"/>
  <c r="CX282" i="861"/>
  <c r="CY282" i="861"/>
  <c r="CZ282" i="861"/>
  <c r="DA282" i="861"/>
  <c r="DB282" i="861"/>
  <c r="DC282" i="861"/>
  <c r="DD282" i="861"/>
  <c r="DE282" i="861"/>
  <c r="DF282" i="861"/>
  <c r="CU283" i="861"/>
  <c r="CV283" i="861"/>
  <c r="CW283" i="861"/>
  <c r="CX283" i="861"/>
  <c r="CY283" i="861"/>
  <c r="CZ283" i="861"/>
  <c r="DA283" i="861"/>
  <c r="DB283" i="861"/>
  <c r="DC283" i="861"/>
  <c r="DD283" i="861"/>
  <c r="DE283" i="861"/>
  <c r="DF283" i="861"/>
  <c r="CU284" i="861"/>
  <c r="CV284" i="861"/>
  <c r="CW284" i="861"/>
  <c r="CX284" i="861"/>
  <c r="CY284" i="861"/>
  <c r="CZ284" i="861"/>
  <c r="DA284" i="861"/>
  <c r="DB284" i="861"/>
  <c r="DC284" i="861"/>
  <c r="DD284" i="861"/>
  <c r="DE284" i="861"/>
  <c r="DF284" i="861"/>
  <c r="CU285" i="861"/>
  <c r="CV285" i="861"/>
  <c r="CW285" i="861"/>
  <c r="CX285" i="861"/>
  <c r="CY285" i="861"/>
  <c r="CZ285" i="861"/>
  <c r="DA285" i="861"/>
  <c r="DB285" i="861"/>
  <c r="DC285" i="861"/>
  <c r="DD285" i="861"/>
  <c r="DE285" i="861"/>
  <c r="DF285" i="861"/>
  <c r="CU286" i="861"/>
  <c r="CB77" i="861" s="1"/>
  <c r="CV286" i="861"/>
  <c r="CC77" i="861" s="1"/>
  <c r="CW286" i="861"/>
  <c r="CD77" i="861" s="1"/>
  <c r="CX286" i="861"/>
  <c r="CE77" i="861" s="1"/>
  <c r="CY286" i="861"/>
  <c r="CF77" i="861" s="1"/>
  <c r="CZ286" i="861"/>
  <c r="CG77" i="861" s="1"/>
  <c r="DA286" i="861"/>
  <c r="CH77" i="861" s="1"/>
  <c r="DB286" i="861"/>
  <c r="CI77" i="861" s="1"/>
  <c r="DC286" i="861"/>
  <c r="CJ77" i="861" s="1"/>
  <c r="DD286" i="861"/>
  <c r="CK77" i="861" s="1"/>
  <c r="DE286" i="861"/>
  <c r="CL77" i="861" s="1"/>
  <c r="DF286" i="861"/>
  <c r="CM77" i="861" s="1"/>
  <c r="CU287" i="861"/>
  <c r="CV287" i="861"/>
  <c r="CW287" i="861"/>
  <c r="CD72" i="861" s="1"/>
  <c r="CX287" i="861"/>
  <c r="CE72" i="861" s="1"/>
  <c r="CY287" i="861"/>
  <c r="CF72" i="861" s="1"/>
  <c r="CZ287" i="861"/>
  <c r="CG72" i="861" s="1"/>
  <c r="DA287" i="861"/>
  <c r="CH72" i="861" s="1"/>
  <c r="DB287" i="861"/>
  <c r="CI72" i="861" s="1"/>
  <c r="DC287" i="861"/>
  <c r="CJ72" i="861" s="1"/>
  <c r="DD287" i="861"/>
  <c r="CK72" i="861" s="1"/>
  <c r="DE287" i="861"/>
  <c r="CL72" i="861" s="1"/>
  <c r="DF287" i="861"/>
  <c r="CM72" i="861" s="1"/>
  <c r="CU288" i="861"/>
  <c r="CV288" i="861"/>
  <c r="CW288" i="861"/>
  <c r="CX288" i="861"/>
  <c r="CY288" i="861"/>
  <c r="CZ288" i="861"/>
  <c r="DA288" i="861"/>
  <c r="DB288" i="861"/>
  <c r="DC288" i="861"/>
  <c r="DD288" i="861"/>
  <c r="DE288" i="861"/>
  <c r="DF288" i="861"/>
  <c r="CU289" i="861"/>
  <c r="CV289" i="861"/>
  <c r="CW289" i="861"/>
  <c r="CX289" i="861"/>
  <c r="CY289" i="861"/>
  <c r="CZ289" i="861"/>
  <c r="DA289" i="861"/>
  <c r="DB289" i="861"/>
  <c r="DC289" i="861"/>
  <c r="DD289" i="861"/>
  <c r="DE289" i="861"/>
  <c r="DF289" i="861"/>
  <c r="CU290" i="861"/>
  <c r="CV290" i="861"/>
  <c r="CW290" i="861"/>
  <c r="CX290" i="861"/>
  <c r="CY290" i="861"/>
  <c r="CZ290" i="861"/>
  <c r="DA290" i="861"/>
  <c r="DB290" i="861"/>
  <c r="DC290" i="861"/>
  <c r="DD290" i="861"/>
  <c r="DE290" i="861"/>
  <c r="DF290" i="861"/>
  <c r="CU291" i="861"/>
  <c r="CV291" i="861"/>
  <c r="CW291" i="861"/>
  <c r="CX291" i="861"/>
  <c r="CY291" i="861"/>
  <c r="CZ291" i="861"/>
  <c r="DA291" i="861"/>
  <c r="DB291" i="861"/>
  <c r="DC291" i="861"/>
  <c r="DD291" i="861"/>
  <c r="DE291" i="861"/>
  <c r="DF291" i="861"/>
  <c r="CU292" i="861"/>
  <c r="CV292" i="861"/>
  <c r="CW292" i="861"/>
  <c r="CX292" i="861"/>
  <c r="CY292" i="861"/>
  <c r="CZ292" i="861"/>
  <c r="DA292" i="861"/>
  <c r="DB292" i="861"/>
  <c r="DC292" i="861"/>
  <c r="DD292" i="861"/>
  <c r="DE292" i="861"/>
  <c r="DF292" i="861"/>
  <c r="CU293" i="861"/>
  <c r="CV293" i="861"/>
  <c r="CW293" i="861"/>
  <c r="CX293" i="861"/>
  <c r="CY293" i="861"/>
  <c r="CZ293" i="861"/>
  <c r="DA293" i="861"/>
  <c r="DB293" i="861"/>
  <c r="DC293" i="861"/>
  <c r="DD293" i="861"/>
  <c r="DE293" i="861"/>
  <c r="DF293" i="861"/>
  <c r="CU294" i="861"/>
  <c r="CV294" i="861"/>
  <c r="CW294" i="861"/>
  <c r="CX294" i="861"/>
  <c r="CY294" i="861"/>
  <c r="CZ294" i="861"/>
  <c r="DA294" i="861"/>
  <c r="DB294" i="861"/>
  <c r="DC294" i="861"/>
  <c r="DD294" i="861"/>
  <c r="DE294" i="861"/>
  <c r="DF294" i="861"/>
  <c r="CU295" i="861"/>
  <c r="CV295" i="861"/>
  <c r="CW295" i="861"/>
  <c r="CX295" i="861"/>
  <c r="CY295" i="861"/>
  <c r="CZ295" i="861"/>
  <c r="DA295" i="861"/>
  <c r="DB295" i="861"/>
  <c r="DC295" i="861"/>
  <c r="DD295" i="861"/>
  <c r="DE295" i="861"/>
  <c r="DF295" i="861"/>
  <c r="CU296" i="861"/>
  <c r="CV296" i="861"/>
  <c r="CW296" i="861"/>
  <c r="CX296" i="861"/>
  <c r="CY296" i="861"/>
  <c r="CZ296" i="861"/>
  <c r="DA296" i="861"/>
  <c r="DB296" i="861"/>
  <c r="DC296" i="861"/>
  <c r="DD296" i="861"/>
  <c r="DE296" i="861"/>
  <c r="DF296" i="861"/>
  <c r="CU297" i="861"/>
  <c r="CV297" i="861"/>
  <c r="CW297" i="861"/>
  <c r="CX297" i="861"/>
  <c r="CY297" i="861"/>
  <c r="CZ297" i="861"/>
  <c r="DA297" i="861"/>
  <c r="DB297" i="861"/>
  <c r="DC297" i="861"/>
  <c r="DD297" i="861"/>
  <c r="DE297" i="861"/>
  <c r="DF297" i="861"/>
  <c r="CU298" i="861"/>
  <c r="CV298" i="861"/>
  <c r="CW298" i="861"/>
  <c r="CX298" i="861"/>
  <c r="CY298" i="861"/>
  <c r="CZ298" i="861"/>
  <c r="DA298" i="861"/>
  <c r="DB298" i="861"/>
  <c r="DC298" i="861"/>
  <c r="DD298" i="861"/>
  <c r="DE298" i="861"/>
  <c r="DF298" i="861"/>
  <c r="CU299" i="861"/>
  <c r="CV299" i="861"/>
  <c r="CW299" i="861"/>
  <c r="CX299" i="861"/>
  <c r="CY299" i="861"/>
  <c r="CZ299" i="861"/>
  <c r="DA299" i="861"/>
  <c r="DB299" i="861"/>
  <c r="DC299" i="861"/>
  <c r="DD299" i="861"/>
  <c r="DE299" i="861"/>
  <c r="DF299" i="861"/>
  <c r="CU300" i="861"/>
  <c r="CV300" i="861"/>
  <c r="CW300" i="861"/>
  <c r="CX300" i="861"/>
  <c r="CY300" i="861"/>
  <c r="CZ300" i="861"/>
  <c r="DA300" i="861"/>
  <c r="DB300" i="861"/>
  <c r="DC300" i="861"/>
  <c r="DD300" i="861"/>
  <c r="DE300" i="861"/>
  <c r="DF300" i="861"/>
  <c r="CU301" i="861"/>
  <c r="CV301" i="861"/>
  <c r="CW301" i="861"/>
  <c r="CX301" i="861"/>
  <c r="CY301" i="861"/>
  <c r="CZ301" i="861"/>
  <c r="DA301" i="861"/>
  <c r="DB301" i="861"/>
  <c r="DC301" i="861"/>
  <c r="DD301" i="861"/>
  <c r="DE301" i="861"/>
  <c r="DF301" i="861"/>
  <c r="CU302" i="861"/>
  <c r="CV302" i="861"/>
  <c r="CW302" i="861"/>
  <c r="CX302" i="861"/>
  <c r="CY302" i="861"/>
  <c r="CZ302" i="861"/>
  <c r="DA302" i="861"/>
  <c r="DB302" i="861"/>
  <c r="DC302" i="861"/>
  <c r="DD302" i="861"/>
  <c r="DE302" i="861"/>
  <c r="DF302" i="861"/>
  <c r="CU303" i="861"/>
  <c r="CV303" i="861"/>
  <c r="CW303" i="861"/>
  <c r="CX303" i="861"/>
  <c r="CY303" i="861"/>
  <c r="CZ303" i="861"/>
  <c r="DA303" i="861"/>
  <c r="DB303" i="861"/>
  <c r="DC303" i="861"/>
  <c r="DD303" i="861"/>
  <c r="DE303" i="861"/>
  <c r="DF303" i="861"/>
  <c r="CU304" i="861"/>
  <c r="CV304" i="861"/>
  <c r="CW304" i="861"/>
  <c r="CX304" i="861"/>
  <c r="CY304" i="861"/>
  <c r="CZ304" i="861"/>
  <c r="DA304" i="861"/>
  <c r="DB304" i="861"/>
  <c r="DC304" i="861"/>
  <c r="DD304" i="861"/>
  <c r="DE304" i="861"/>
  <c r="DF304" i="861"/>
  <c r="CU305" i="861"/>
  <c r="CV305" i="861"/>
  <c r="CW305" i="861"/>
  <c r="CX305" i="861"/>
  <c r="CY305" i="861"/>
  <c r="CZ305" i="861"/>
  <c r="DA305" i="861"/>
  <c r="DB305" i="861"/>
  <c r="DC305" i="861"/>
  <c r="DD305" i="861"/>
  <c r="DE305" i="861"/>
  <c r="DF305" i="861"/>
  <c r="CU306" i="861"/>
  <c r="CV306" i="861"/>
  <c r="CW306" i="861"/>
  <c r="CX306" i="861"/>
  <c r="CY306" i="861"/>
  <c r="CZ306" i="861"/>
  <c r="DA306" i="861"/>
  <c r="DB306" i="861"/>
  <c r="DC306" i="861"/>
  <c r="DD306" i="861"/>
  <c r="DE306" i="861"/>
  <c r="DF306" i="861"/>
  <c r="CU307" i="861"/>
  <c r="CV307" i="861"/>
  <c r="CW307" i="861"/>
  <c r="CX307" i="861"/>
  <c r="CY307" i="861"/>
  <c r="CZ307" i="861"/>
  <c r="DA307" i="861"/>
  <c r="DB307" i="861"/>
  <c r="DC307" i="861"/>
  <c r="DD307" i="861"/>
  <c r="DE307" i="861"/>
  <c r="DF307" i="861"/>
  <c r="CU308" i="861"/>
  <c r="CV308" i="861"/>
  <c r="CW308" i="861"/>
  <c r="CX308" i="861"/>
  <c r="CY308" i="861"/>
  <c r="CZ308" i="861"/>
  <c r="DA308" i="861"/>
  <c r="DB308" i="861"/>
  <c r="DC308" i="861"/>
  <c r="DD308" i="861"/>
  <c r="DE308" i="861"/>
  <c r="DF308" i="861"/>
  <c r="CU309" i="861"/>
  <c r="CV309" i="861"/>
  <c r="CW309" i="861"/>
  <c r="CX309" i="861"/>
  <c r="CY309" i="861"/>
  <c r="CZ309" i="861"/>
  <c r="DA309" i="861"/>
  <c r="DB309" i="861"/>
  <c r="DC309" i="861"/>
  <c r="DD309" i="861"/>
  <c r="DE309" i="861"/>
  <c r="DF309" i="861"/>
  <c r="CU310" i="861"/>
  <c r="CV310" i="861"/>
  <c r="CW310" i="861"/>
  <c r="CX310" i="861"/>
  <c r="CY310" i="861"/>
  <c r="CZ310" i="861"/>
  <c r="DA310" i="861"/>
  <c r="DB310" i="861"/>
  <c r="DC310" i="861"/>
  <c r="DD310" i="861"/>
  <c r="DE310" i="861"/>
  <c r="DF310" i="861"/>
  <c r="CU311" i="861"/>
  <c r="CV311" i="861"/>
  <c r="CW311" i="861"/>
  <c r="CX311" i="861"/>
  <c r="CY311" i="861"/>
  <c r="CZ311" i="861"/>
  <c r="DA311" i="861"/>
  <c r="DB311" i="861"/>
  <c r="DC311" i="861"/>
  <c r="DD311" i="861"/>
  <c r="DE311" i="861"/>
  <c r="DF311" i="861"/>
  <c r="CU312" i="861"/>
  <c r="CV312" i="861"/>
  <c r="CW312" i="861"/>
  <c r="CX312" i="861"/>
  <c r="CY312" i="861"/>
  <c r="CZ312" i="861"/>
  <c r="DA312" i="861"/>
  <c r="DB312" i="861"/>
  <c r="DC312" i="861"/>
  <c r="DD312" i="861"/>
  <c r="DE312" i="861"/>
  <c r="DF312" i="861"/>
  <c r="CU313" i="861"/>
  <c r="CV313" i="861"/>
  <c r="CW313" i="861"/>
  <c r="CX313" i="861"/>
  <c r="CY313" i="861"/>
  <c r="CZ313" i="861"/>
  <c r="DA313" i="861"/>
  <c r="DB313" i="861"/>
  <c r="DC313" i="861"/>
  <c r="DD313" i="861"/>
  <c r="DE313" i="861"/>
  <c r="DF313" i="861"/>
  <c r="CU314" i="861"/>
  <c r="CB70" i="861" s="1"/>
  <c r="CV314" i="861"/>
  <c r="CC70" i="861" s="1"/>
  <c r="CW314" i="861"/>
  <c r="CD70" i="861" s="1"/>
  <c r="CX314" i="861"/>
  <c r="CE70" i="861" s="1"/>
  <c r="CY314" i="861"/>
  <c r="CF70" i="861" s="1"/>
  <c r="CZ314" i="861"/>
  <c r="CG70" i="861" s="1"/>
  <c r="DA314" i="861"/>
  <c r="CH70" i="861" s="1"/>
  <c r="DB314" i="861"/>
  <c r="CI70" i="861" s="1"/>
  <c r="DC314" i="861"/>
  <c r="CJ70" i="861" s="1"/>
  <c r="DD314" i="861"/>
  <c r="CK70" i="861" s="1"/>
  <c r="DE314" i="861"/>
  <c r="CL70" i="861" s="1"/>
  <c r="DF314" i="861"/>
  <c r="CM70" i="861" s="1"/>
  <c r="CU315" i="861"/>
  <c r="CV315" i="861"/>
  <c r="CW315" i="861"/>
  <c r="CX315" i="861"/>
  <c r="CY315" i="861"/>
  <c r="CZ315" i="861"/>
  <c r="DA315" i="861"/>
  <c r="DB315" i="861"/>
  <c r="DC315" i="861"/>
  <c r="DD315" i="861"/>
  <c r="DE315" i="861"/>
  <c r="DF315" i="861"/>
  <c r="CU316" i="861"/>
  <c r="CV316" i="861"/>
  <c r="CW316" i="861"/>
  <c r="CX316" i="861"/>
  <c r="CY316" i="861"/>
  <c r="CZ316" i="861"/>
  <c r="DA316" i="861"/>
  <c r="DB316" i="861"/>
  <c r="DC316" i="861"/>
  <c r="DD316" i="861"/>
  <c r="DE316" i="861"/>
  <c r="DF316" i="861"/>
  <c r="CU317" i="861"/>
  <c r="CV317" i="861"/>
  <c r="CW317" i="861"/>
  <c r="CX317" i="861"/>
  <c r="CY317" i="861"/>
  <c r="CZ317" i="861"/>
  <c r="DA317" i="861"/>
  <c r="DB317" i="861"/>
  <c r="DC317" i="861"/>
  <c r="DD317" i="861"/>
  <c r="DE317" i="861"/>
  <c r="DF317" i="861"/>
  <c r="CU318" i="861"/>
  <c r="CV318" i="861"/>
  <c r="CW318" i="861"/>
  <c r="CX318" i="861"/>
  <c r="CY318" i="861"/>
  <c r="CZ318" i="861"/>
  <c r="DA318" i="861"/>
  <c r="DB318" i="861"/>
  <c r="DC318" i="861"/>
  <c r="DD318" i="861"/>
  <c r="DE318" i="861"/>
  <c r="DF318" i="861"/>
  <c r="CU319" i="861"/>
  <c r="CV319" i="861"/>
  <c r="CW319" i="861"/>
  <c r="CX319" i="861"/>
  <c r="CY319" i="861"/>
  <c r="CZ319" i="861"/>
  <c r="DA319" i="861"/>
  <c r="DB319" i="861"/>
  <c r="DC319" i="861"/>
  <c r="DD319" i="861"/>
  <c r="DE319" i="861"/>
  <c r="DF319" i="861"/>
  <c r="CU320" i="861"/>
  <c r="CB35" i="861" s="1"/>
  <c r="CV320" i="861"/>
  <c r="CC35" i="861" s="1"/>
  <c r="CW320" i="861"/>
  <c r="CD35" i="861" s="1"/>
  <c r="CX320" i="861"/>
  <c r="CE35" i="861" s="1"/>
  <c r="CY320" i="861"/>
  <c r="CZ320" i="861"/>
  <c r="CG35" i="861" s="1"/>
  <c r="DA320" i="861"/>
  <c r="CH35" i="861" s="1"/>
  <c r="DB320" i="861"/>
  <c r="CI35" i="861" s="1"/>
  <c r="DC320" i="861"/>
  <c r="CJ35" i="861" s="1"/>
  <c r="DD320" i="861"/>
  <c r="CK35" i="861" s="1"/>
  <c r="DE320" i="861"/>
  <c r="CL35" i="861" s="1"/>
  <c r="DF320" i="861"/>
  <c r="CM35" i="861" s="1"/>
  <c r="CU321" i="861"/>
  <c r="CV321" i="861"/>
  <c r="CW321" i="861"/>
  <c r="CX321" i="861"/>
  <c r="CY321" i="861"/>
  <c r="CZ321" i="861"/>
  <c r="DA321" i="861"/>
  <c r="DB321" i="861"/>
  <c r="DC321" i="861"/>
  <c r="DD321" i="861"/>
  <c r="DE321" i="861"/>
  <c r="DF321" i="861"/>
  <c r="CU322" i="861"/>
  <c r="CV322" i="861"/>
  <c r="CW322" i="861"/>
  <c r="CX322" i="861"/>
  <c r="CY322" i="861"/>
  <c r="CZ322" i="861"/>
  <c r="DA322" i="861"/>
  <c r="DB322" i="861"/>
  <c r="DC322" i="861"/>
  <c r="DD322" i="861"/>
  <c r="DE322" i="861"/>
  <c r="DF322" i="861"/>
  <c r="CU323" i="861"/>
  <c r="CV323" i="861"/>
  <c r="CW323" i="861"/>
  <c r="CX323" i="861"/>
  <c r="CY323" i="861"/>
  <c r="CZ323" i="861"/>
  <c r="DA323" i="861"/>
  <c r="DB323" i="861"/>
  <c r="DC323" i="861"/>
  <c r="DD323" i="861"/>
  <c r="DE323" i="861"/>
  <c r="DF323" i="861"/>
  <c r="CU324" i="861"/>
  <c r="CV324" i="861"/>
  <c r="CW324" i="861"/>
  <c r="CX324" i="861"/>
  <c r="CY324" i="861"/>
  <c r="CZ324" i="861"/>
  <c r="DA324" i="861"/>
  <c r="DB324" i="861"/>
  <c r="DC324" i="861"/>
  <c r="DD324" i="861"/>
  <c r="DE324" i="861"/>
  <c r="DF324" i="861"/>
  <c r="CU325" i="861"/>
  <c r="CV325" i="861"/>
  <c r="CW325" i="861"/>
  <c r="CX325" i="861"/>
  <c r="CY325" i="861"/>
  <c r="CZ325" i="861"/>
  <c r="DA325" i="861"/>
  <c r="DB325" i="861"/>
  <c r="DC325" i="861"/>
  <c r="DD325" i="861"/>
  <c r="DE325" i="861"/>
  <c r="DF325" i="861"/>
  <c r="CU326" i="861"/>
  <c r="CV326" i="861"/>
  <c r="CW326" i="861"/>
  <c r="CX326" i="861"/>
  <c r="CY326" i="861"/>
  <c r="CZ326" i="861"/>
  <c r="DA326" i="861"/>
  <c r="DB326" i="861"/>
  <c r="DC326" i="861"/>
  <c r="DD326" i="861"/>
  <c r="DE326" i="861"/>
  <c r="DF326" i="861"/>
  <c r="CU327" i="861"/>
  <c r="CV327" i="861"/>
  <c r="CW327" i="861"/>
  <c r="CX327" i="861"/>
  <c r="CY327" i="861"/>
  <c r="CZ327" i="861"/>
  <c r="DA327" i="861"/>
  <c r="DB327" i="861"/>
  <c r="DC327" i="861"/>
  <c r="DD327" i="861"/>
  <c r="DE327" i="861"/>
  <c r="DF327" i="861"/>
  <c r="CU328" i="861"/>
  <c r="CV328" i="861"/>
  <c r="CW328" i="861"/>
  <c r="CX328" i="861"/>
  <c r="CY328" i="861"/>
  <c r="CZ328" i="861"/>
  <c r="DA328" i="861"/>
  <c r="DB328" i="861"/>
  <c r="DC328" i="861"/>
  <c r="DD328" i="861"/>
  <c r="DE328" i="861"/>
  <c r="DF328" i="861"/>
  <c r="CU329" i="861"/>
  <c r="CV329" i="861"/>
  <c r="CW329" i="861"/>
  <c r="CX329" i="861"/>
  <c r="CY329" i="861"/>
  <c r="CZ329" i="861"/>
  <c r="DA329" i="861"/>
  <c r="DB329" i="861"/>
  <c r="DC329" i="861"/>
  <c r="DD329" i="861"/>
  <c r="DE329" i="861"/>
  <c r="DF329" i="861"/>
  <c r="CU330" i="861"/>
  <c r="CV330" i="861"/>
  <c r="CW330" i="861"/>
  <c r="CX330" i="861"/>
  <c r="CY330" i="861"/>
  <c r="CZ330" i="861"/>
  <c r="DA330" i="861"/>
  <c r="DB330" i="861"/>
  <c r="DC330" i="861"/>
  <c r="DD330" i="861"/>
  <c r="DE330" i="861"/>
  <c r="DF330" i="861"/>
  <c r="CU331" i="861"/>
  <c r="CV331" i="861"/>
  <c r="CW331" i="861"/>
  <c r="CX331" i="861"/>
  <c r="CY331" i="861"/>
  <c r="CZ331" i="861"/>
  <c r="DA331" i="861"/>
  <c r="DB331" i="861"/>
  <c r="DC331" i="861"/>
  <c r="DD331" i="861"/>
  <c r="DE331" i="861"/>
  <c r="DF331" i="861"/>
  <c r="CU332" i="861"/>
  <c r="CV332" i="861"/>
  <c r="CW332" i="861"/>
  <c r="CX332" i="861"/>
  <c r="CY332" i="861"/>
  <c r="CZ332" i="861"/>
  <c r="DA332" i="861"/>
  <c r="DB332" i="861"/>
  <c r="DC332" i="861"/>
  <c r="DD332" i="861"/>
  <c r="DE332" i="861"/>
  <c r="DF332" i="861"/>
  <c r="CU333" i="861"/>
  <c r="CV333" i="861"/>
  <c r="CW333" i="861"/>
  <c r="CX333" i="861"/>
  <c r="CY333" i="861"/>
  <c r="CZ333" i="861"/>
  <c r="DA333" i="861"/>
  <c r="DB333" i="861"/>
  <c r="DC333" i="861"/>
  <c r="DD333" i="861"/>
  <c r="DE333" i="861"/>
  <c r="DF333" i="861"/>
  <c r="CU334" i="861"/>
  <c r="CV334" i="861"/>
  <c r="CW334" i="861"/>
  <c r="CX334" i="861"/>
  <c r="CY334" i="861"/>
  <c r="CZ334" i="861"/>
  <c r="DA334" i="861"/>
  <c r="DB334" i="861"/>
  <c r="DC334" i="861"/>
  <c r="DD334" i="861"/>
  <c r="DE334" i="861"/>
  <c r="DF334" i="861"/>
  <c r="CU335" i="861"/>
  <c r="CV335" i="861"/>
  <c r="CW335" i="861"/>
  <c r="CX335" i="861"/>
  <c r="CY335" i="861"/>
  <c r="CZ335" i="861"/>
  <c r="DA335" i="861"/>
  <c r="DB335" i="861"/>
  <c r="DC335" i="861"/>
  <c r="DD335" i="861"/>
  <c r="DE335" i="861"/>
  <c r="DF335" i="861"/>
  <c r="CU336" i="861"/>
  <c r="CV336" i="861"/>
  <c r="CW336" i="861"/>
  <c r="CX336" i="861"/>
  <c r="CY336" i="861"/>
  <c r="CZ336" i="861"/>
  <c r="DA336" i="861"/>
  <c r="DB336" i="861"/>
  <c r="DC336" i="861"/>
  <c r="DD336" i="861"/>
  <c r="DE336" i="861"/>
  <c r="DF336" i="861"/>
  <c r="CU337" i="861"/>
  <c r="CV337" i="861"/>
  <c r="CW337" i="861"/>
  <c r="CX337" i="861"/>
  <c r="CY337" i="861"/>
  <c r="CZ337" i="861"/>
  <c r="DA337" i="861"/>
  <c r="DB337" i="861"/>
  <c r="DC337" i="861"/>
  <c r="DD337" i="861"/>
  <c r="DE337" i="861"/>
  <c r="DF337" i="861"/>
  <c r="CU338" i="861"/>
  <c r="CV338" i="861"/>
  <c r="CW338" i="861"/>
  <c r="CX338" i="861"/>
  <c r="CY338" i="861"/>
  <c r="CZ338" i="861"/>
  <c r="DA338" i="861"/>
  <c r="DB338" i="861"/>
  <c r="DC338" i="861"/>
  <c r="DD338" i="861"/>
  <c r="DE338" i="861"/>
  <c r="DF338" i="861"/>
  <c r="CU339" i="861"/>
  <c r="CV339" i="861"/>
  <c r="CW339" i="861"/>
  <c r="CX339" i="861"/>
  <c r="CY339" i="861"/>
  <c r="CZ339" i="861"/>
  <c r="DA339" i="861"/>
  <c r="DB339" i="861"/>
  <c r="DC339" i="861"/>
  <c r="DD339" i="861"/>
  <c r="DE339" i="861"/>
  <c r="DF339" i="861"/>
  <c r="CU340" i="861"/>
  <c r="CV340" i="861"/>
  <c r="CW340" i="861"/>
  <c r="CX340" i="861"/>
  <c r="CY340" i="861"/>
  <c r="CZ340" i="861"/>
  <c r="DA340" i="861"/>
  <c r="DB340" i="861"/>
  <c r="DC340" i="861"/>
  <c r="DD340" i="861"/>
  <c r="DE340" i="861"/>
  <c r="DF340" i="861"/>
  <c r="CU341" i="861"/>
  <c r="CV341" i="861"/>
  <c r="CW341" i="861"/>
  <c r="CX341" i="861"/>
  <c r="CY341" i="861"/>
  <c r="CZ341" i="861"/>
  <c r="DA341" i="861"/>
  <c r="DB341" i="861"/>
  <c r="DC341" i="861"/>
  <c r="DD341" i="861"/>
  <c r="DE341" i="861"/>
  <c r="DF341" i="861"/>
  <c r="CU342" i="861"/>
  <c r="CV342" i="861"/>
  <c r="CW342" i="861"/>
  <c r="CX342" i="861"/>
  <c r="CY342" i="861"/>
  <c r="CZ342" i="861"/>
  <c r="DA342" i="861"/>
  <c r="DB342" i="861"/>
  <c r="DC342" i="861"/>
  <c r="DD342" i="861"/>
  <c r="DE342" i="861"/>
  <c r="DF342" i="861"/>
  <c r="CU343" i="861"/>
  <c r="CV343" i="861"/>
  <c r="CW343" i="861"/>
  <c r="CX343" i="861"/>
  <c r="CY343" i="861"/>
  <c r="CZ343" i="861"/>
  <c r="DA343" i="861"/>
  <c r="DB343" i="861"/>
  <c r="DC343" i="861"/>
  <c r="DD343" i="861"/>
  <c r="DE343" i="861"/>
  <c r="DF343" i="861"/>
  <c r="CU344" i="861"/>
  <c r="CV344" i="861"/>
  <c r="CW344" i="861"/>
  <c r="CX344" i="861"/>
  <c r="CY344" i="861"/>
  <c r="CZ344" i="861"/>
  <c r="DA344" i="861"/>
  <c r="DB344" i="861"/>
  <c r="DC344" i="861"/>
  <c r="DD344" i="861"/>
  <c r="DE344" i="861"/>
  <c r="DF344" i="861"/>
  <c r="CU345" i="861"/>
  <c r="CV345" i="861"/>
  <c r="CW345" i="861"/>
  <c r="CX345" i="861"/>
  <c r="CY345" i="861"/>
  <c r="CZ345" i="861"/>
  <c r="DA345" i="861"/>
  <c r="DB345" i="861"/>
  <c r="DC345" i="861"/>
  <c r="DD345" i="861"/>
  <c r="DE345" i="861"/>
  <c r="DF345" i="861"/>
  <c r="CU346" i="861"/>
  <c r="CV346" i="861"/>
  <c r="CW346" i="861"/>
  <c r="CX346" i="861"/>
  <c r="CY346" i="861"/>
  <c r="CZ346" i="861"/>
  <c r="DA346" i="861"/>
  <c r="DB346" i="861"/>
  <c r="DC346" i="861"/>
  <c r="DD346" i="861"/>
  <c r="DE346" i="861"/>
  <c r="DF346" i="861"/>
  <c r="CU347" i="861"/>
  <c r="CV347" i="861"/>
  <c r="CW347" i="861"/>
  <c r="CX347" i="861"/>
  <c r="CY347" i="861"/>
  <c r="CZ347" i="861"/>
  <c r="DA347" i="861"/>
  <c r="DB347" i="861"/>
  <c r="DC347" i="861"/>
  <c r="DD347" i="861"/>
  <c r="DE347" i="861"/>
  <c r="DF347" i="861"/>
  <c r="CU348" i="861"/>
  <c r="CV348" i="861"/>
  <c r="CW348" i="861"/>
  <c r="CX348" i="861"/>
  <c r="CY348" i="861"/>
  <c r="CZ348" i="861"/>
  <c r="DA348" i="861"/>
  <c r="DB348" i="861"/>
  <c r="DC348" i="861"/>
  <c r="DD348" i="861"/>
  <c r="DE348" i="861"/>
  <c r="DF348" i="861"/>
  <c r="CU349" i="861"/>
  <c r="CV349" i="861"/>
  <c r="CW349" i="861"/>
  <c r="CX349" i="861"/>
  <c r="CY349" i="861"/>
  <c r="CZ349" i="861"/>
  <c r="DA349" i="861"/>
  <c r="DB349" i="861"/>
  <c r="DC349" i="861"/>
  <c r="DD349" i="861"/>
  <c r="DE349" i="861"/>
  <c r="DF349" i="861"/>
  <c r="CU350" i="861"/>
  <c r="CV350" i="861"/>
  <c r="CW350" i="861"/>
  <c r="CX350" i="861"/>
  <c r="CY350" i="861"/>
  <c r="CZ350" i="861"/>
  <c r="DA350" i="861"/>
  <c r="DB350" i="861"/>
  <c r="DC350" i="861"/>
  <c r="DD350" i="861"/>
  <c r="DE350" i="861"/>
  <c r="DF350" i="861"/>
  <c r="CU351" i="861"/>
  <c r="CV351" i="861"/>
  <c r="CW351" i="861"/>
  <c r="CX351" i="861"/>
  <c r="CY351" i="861"/>
  <c r="CZ351" i="861"/>
  <c r="DA351" i="861"/>
  <c r="DB351" i="861"/>
  <c r="DC351" i="861"/>
  <c r="DD351" i="861"/>
  <c r="DE351" i="861"/>
  <c r="DF351" i="861"/>
  <c r="CU352" i="861"/>
  <c r="CV352" i="861"/>
  <c r="CW352" i="861"/>
  <c r="CX352" i="861"/>
  <c r="CY352" i="861"/>
  <c r="CZ352" i="861"/>
  <c r="DA352" i="861"/>
  <c r="DB352" i="861"/>
  <c r="DC352" i="861"/>
  <c r="DD352" i="861"/>
  <c r="DE352" i="861"/>
  <c r="DF352" i="861"/>
  <c r="CU353" i="861"/>
  <c r="CV353" i="861"/>
  <c r="CW353" i="861"/>
  <c r="CX353" i="861"/>
  <c r="CY353" i="861"/>
  <c r="CZ353" i="861"/>
  <c r="DA353" i="861"/>
  <c r="DB353" i="861"/>
  <c r="DC353" i="861"/>
  <c r="DD353" i="861"/>
  <c r="DE353" i="861"/>
  <c r="DF353" i="861"/>
  <c r="CU354" i="861"/>
  <c r="CV354" i="861"/>
  <c r="CW354" i="861"/>
  <c r="CX354" i="861"/>
  <c r="CY354" i="861"/>
  <c r="CZ354" i="861"/>
  <c r="DA354" i="861"/>
  <c r="DB354" i="861"/>
  <c r="DC354" i="861"/>
  <c r="DD354" i="861"/>
  <c r="DE354" i="861"/>
  <c r="DF354" i="861"/>
  <c r="CU355" i="861"/>
  <c r="CV355" i="861"/>
  <c r="CW355" i="861"/>
  <c r="CX355" i="861"/>
  <c r="CY355" i="861"/>
  <c r="CZ355" i="861"/>
  <c r="DA355" i="861"/>
  <c r="DB355" i="861"/>
  <c r="DC355" i="861"/>
  <c r="DD355" i="861"/>
  <c r="DE355" i="861"/>
  <c r="DF355" i="861"/>
  <c r="CU356" i="861"/>
  <c r="CV356" i="861"/>
  <c r="CW356" i="861"/>
  <c r="CX356" i="861"/>
  <c r="CY356" i="861"/>
  <c r="CZ356" i="861"/>
  <c r="DA356" i="861"/>
  <c r="DB356" i="861"/>
  <c r="DC356" i="861"/>
  <c r="DD356" i="861"/>
  <c r="DE356" i="861"/>
  <c r="DF356" i="861"/>
  <c r="CU357" i="861"/>
  <c r="CV357" i="861"/>
  <c r="CW357" i="861"/>
  <c r="CX357" i="861"/>
  <c r="CY357" i="861"/>
  <c r="CZ357" i="861"/>
  <c r="DA357" i="861"/>
  <c r="DB357" i="861"/>
  <c r="DC357" i="861"/>
  <c r="DD357" i="861"/>
  <c r="DE357" i="861"/>
  <c r="DF357" i="861"/>
  <c r="CU358" i="861"/>
  <c r="CV358" i="861"/>
  <c r="CW358" i="861"/>
  <c r="CX358" i="861"/>
  <c r="CY358" i="861"/>
  <c r="CZ358" i="861"/>
  <c r="DA358" i="861"/>
  <c r="DB358" i="861"/>
  <c r="DC358" i="861"/>
  <c r="DD358" i="861"/>
  <c r="DE358" i="861"/>
  <c r="DF358" i="861"/>
  <c r="CU359" i="861"/>
  <c r="CV359" i="861"/>
  <c r="CW359" i="861"/>
  <c r="CX359" i="861"/>
  <c r="CY359" i="861"/>
  <c r="CZ359" i="861"/>
  <c r="DA359" i="861"/>
  <c r="DB359" i="861"/>
  <c r="DC359" i="861"/>
  <c r="DD359" i="861"/>
  <c r="DE359" i="861"/>
  <c r="DF359" i="861"/>
  <c r="CU360" i="861"/>
  <c r="CV360" i="861"/>
  <c r="CW360" i="861"/>
  <c r="CX360" i="861"/>
  <c r="CY360" i="861"/>
  <c r="CZ360" i="861"/>
  <c r="DA360" i="861"/>
  <c r="DB360" i="861"/>
  <c r="DC360" i="861"/>
  <c r="DD360" i="861"/>
  <c r="DE360" i="861"/>
  <c r="DF360" i="861"/>
  <c r="CU361" i="861"/>
  <c r="CV361" i="861"/>
  <c r="CW361" i="861"/>
  <c r="CX361" i="861"/>
  <c r="CY361" i="861"/>
  <c r="CZ361" i="861"/>
  <c r="DA361" i="861"/>
  <c r="DB361" i="861"/>
  <c r="DC361" i="861"/>
  <c r="DD361" i="861"/>
  <c r="DE361" i="861"/>
  <c r="DF361" i="861"/>
  <c r="CU362" i="861"/>
  <c r="CV362" i="861"/>
  <c r="CW362" i="861"/>
  <c r="CX362" i="861"/>
  <c r="CY362" i="861"/>
  <c r="CZ362" i="861"/>
  <c r="DA362" i="861"/>
  <c r="DB362" i="861"/>
  <c r="DC362" i="861"/>
  <c r="DD362" i="861"/>
  <c r="DE362" i="861"/>
  <c r="DF362" i="861"/>
  <c r="CU363" i="861"/>
  <c r="CV363" i="861"/>
  <c r="CW363" i="861"/>
  <c r="CX363" i="861"/>
  <c r="CY363" i="861"/>
  <c r="CZ363" i="861"/>
  <c r="DA363" i="861"/>
  <c r="DB363" i="861"/>
  <c r="DC363" i="861"/>
  <c r="DD363" i="861"/>
  <c r="DE363" i="861"/>
  <c r="DF363" i="861"/>
  <c r="CU364" i="861"/>
  <c r="CV364" i="861"/>
  <c r="CW364" i="861"/>
  <c r="CX364" i="861"/>
  <c r="CY364" i="861"/>
  <c r="CZ364" i="861"/>
  <c r="DA364" i="861"/>
  <c r="DB364" i="861"/>
  <c r="DC364" i="861"/>
  <c r="DD364" i="861"/>
  <c r="DE364" i="861"/>
  <c r="DF364" i="861"/>
  <c r="CU365" i="861"/>
  <c r="CV365" i="861"/>
  <c r="CW365" i="861"/>
  <c r="CX365" i="861"/>
  <c r="CY365" i="861"/>
  <c r="CZ365" i="861"/>
  <c r="DA365" i="861"/>
  <c r="DB365" i="861"/>
  <c r="DC365" i="861"/>
  <c r="DD365" i="861"/>
  <c r="DE365" i="861"/>
  <c r="DF365" i="861"/>
  <c r="CU366" i="861"/>
  <c r="CV366" i="861"/>
  <c r="CW366" i="861"/>
  <c r="CX366" i="861"/>
  <c r="CY366" i="861"/>
  <c r="CZ366" i="861"/>
  <c r="DA366" i="861"/>
  <c r="DB366" i="861"/>
  <c r="DC366" i="861"/>
  <c r="DD366" i="861"/>
  <c r="DE366" i="861"/>
  <c r="DF366" i="861"/>
  <c r="CU367" i="861"/>
  <c r="CV367" i="861"/>
  <c r="CW367" i="861"/>
  <c r="CX367" i="861"/>
  <c r="CY367" i="861"/>
  <c r="CZ367" i="861"/>
  <c r="DA367" i="861"/>
  <c r="DB367" i="861"/>
  <c r="DC367" i="861"/>
  <c r="DD367" i="861"/>
  <c r="DE367" i="861"/>
  <c r="DF367" i="861"/>
  <c r="CU368" i="861"/>
  <c r="CV368" i="861"/>
  <c r="CW368" i="861"/>
  <c r="CX368" i="861"/>
  <c r="CY368" i="861"/>
  <c r="CZ368" i="861"/>
  <c r="DA368" i="861"/>
  <c r="DB368" i="861"/>
  <c r="DC368" i="861"/>
  <c r="DD368" i="861"/>
  <c r="DE368" i="861"/>
  <c r="DF368" i="861"/>
  <c r="CU369" i="861"/>
  <c r="CV369" i="861"/>
  <c r="CW369" i="861"/>
  <c r="CX369" i="861"/>
  <c r="CY369" i="861"/>
  <c r="CZ369" i="861"/>
  <c r="DA369" i="861"/>
  <c r="DB369" i="861"/>
  <c r="DC369" i="861"/>
  <c r="DD369" i="861"/>
  <c r="DE369" i="861"/>
  <c r="DF369" i="861"/>
  <c r="CU370" i="861"/>
  <c r="CV370" i="861"/>
  <c r="CW370" i="861"/>
  <c r="CX370" i="861"/>
  <c r="CY370" i="861"/>
  <c r="CZ370" i="861"/>
  <c r="DA370" i="861"/>
  <c r="DB370" i="861"/>
  <c r="DC370" i="861"/>
  <c r="DD370" i="861"/>
  <c r="DE370" i="861"/>
  <c r="DF370" i="861"/>
  <c r="CU371" i="861"/>
  <c r="CV371" i="861"/>
  <c r="CW371" i="861"/>
  <c r="CX371" i="861"/>
  <c r="CY371" i="861"/>
  <c r="CZ371" i="861"/>
  <c r="DA371" i="861"/>
  <c r="DB371" i="861"/>
  <c r="DC371" i="861"/>
  <c r="DD371" i="861"/>
  <c r="DE371" i="861"/>
  <c r="DF371" i="861"/>
  <c r="CU372" i="861"/>
  <c r="CV372" i="861"/>
  <c r="CW372" i="861"/>
  <c r="CX372" i="861"/>
  <c r="CY372" i="861"/>
  <c r="CZ372" i="861"/>
  <c r="DA372" i="861"/>
  <c r="DB372" i="861"/>
  <c r="DC372" i="861"/>
  <c r="DD372" i="861"/>
  <c r="DE372" i="861"/>
  <c r="DF372" i="861"/>
  <c r="CU373" i="861"/>
  <c r="CV373" i="861"/>
  <c r="CW373" i="861"/>
  <c r="CX373" i="861"/>
  <c r="CY373" i="861"/>
  <c r="CZ373" i="861"/>
  <c r="DA373" i="861"/>
  <c r="DB373" i="861"/>
  <c r="DC373" i="861"/>
  <c r="DD373" i="861"/>
  <c r="DE373" i="861"/>
  <c r="DF373" i="861"/>
  <c r="CU374" i="861"/>
  <c r="CV374" i="861"/>
  <c r="CW374" i="861"/>
  <c r="CX374" i="861"/>
  <c r="CY374" i="861"/>
  <c r="CZ374" i="861"/>
  <c r="DA374" i="861"/>
  <c r="DB374" i="861"/>
  <c r="DC374" i="861"/>
  <c r="DD374" i="861"/>
  <c r="DE374" i="861"/>
  <c r="DF374" i="861"/>
  <c r="CU375" i="861"/>
  <c r="CV375" i="861"/>
  <c r="CW375" i="861"/>
  <c r="CX375" i="861"/>
  <c r="CY375" i="861"/>
  <c r="CZ375" i="861"/>
  <c r="DA375" i="861"/>
  <c r="DB375" i="861"/>
  <c r="DC375" i="861"/>
  <c r="DD375" i="861"/>
  <c r="DE375" i="861"/>
  <c r="DF375" i="861"/>
  <c r="CU376" i="861"/>
  <c r="CV376" i="861"/>
  <c r="CW376" i="861"/>
  <c r="CX376" i="861"/>
  <c r="CY376" i="861"/>
  <c r="CZ376" i="861"/>
  <c r="DA376" i="861"/>
  <c r="DB376" i="861"/>
  <c r="DC376" i="861"/>
  <c r="DD376" i="861"/>
  <c r="DE376" i="861"/>
  <c r="DF376" i="861"/>
  <c r="CU377" i="861"/>
  <c r="CV377" i="861"/>
  <c r="CW377" i="861"/>
  <c r="CX377" i="861"/>
  <c r="CY377" i="861"/>
  <c r="CZ377" i="861"/>
  <c r="DA377" i="861"/>
  <c r="DB377" i="861"/>
  <c r="DC377" i="861"/>
  <c r="DD377" i="861"/>
  <c r="DE377" i="861"/>
  <c r="DF377" i="861"/>
  <c r="CU378" i="861"/>
  <c r="CV378" i="861"/>
  <c r="CW378" i="861"/>
  <c r="CX378" i="861"/>
  <c r="CY378" i="861"/>
  <c r="CZ378" i="861"/>
  <c r="DA378" i="861"/>
  <c r="DB378" i="861"/>
  <c r="DC378" i="861"/>
  <c r="DD378" i="861"/>
  <c r="DE378" i="861"/>
  <c r="DF378" i="861"/>
  <c r="CU379" i="861"/>
  <c r="CV379" i="861"/>
  <c r="CW379" i="861"/>
  <c r="CX379" i="861"/>
  <c r="CY379" i="861"/>
  <c r="CZ379" i="861"/>
  <c r="DA379" i="861"/>
  <c r="DB379" i="861"/>
  <c r="DC379" i="861"/>
  <c r="DD379" i="861"/>
  <c r="DE379" i="861"/>
  <c r="DF379" i="861"/>
  <c r="CU380" i="861"/>
  <c r="CV380" i="861"/>
  <c r="CW380" i="861"/>
  <c r="CX380" i="861"/>
  <c r="CY380" i="861"/>
  <c r="CZ380" i="861"/>
  <c r="DA380" i="861"/>
  <c r="DB380" i="861"/>
  <c r="DC380" i="861"/>
  <c r="DD380" i="861"/>
  <c r="DE380" i="861"/>
  <c r="DF380" i="861"/>
  <c r="CU381" i="861"/>
  <c r="CV381" i="861"/>
  <c r="CW381" i="861"/>
  <c r="CX381" i="861"/>
  <c r="CY381" i="861"/>
  <c r="CZ381" i="861"/>
  <c r="DA381" i="861"/>
  <c r="DB381" i="861"/>
  <c r="DC381" i="861"/>
  <c r="DD381" i="861"/>
  <c r="DE381" i="861"/>
  <c r="DF381" i="861"/>
  <c r="CU382" i="861"/>
  <c r="CV382" i="861"/>
  <c r="CW382" i="861"/>
  <c r="CX382" i="861"/>
  <c r="CY382" i="861"/>
  <c r="CZ382" i="861"/>
  <c r="DA382" i="861"/>
  <c r="DB382" i="861"/>
  <c r="DC382" i="861"/>
  <c r="DD382" i="861"/>
  <c r="DE382" i="861"/>
  <c r="DF382" i="861"/>
  <c r="CU383" i="861"/>
  <c r="CV383" i="861"/>
  <c r="CW383" i="861"/>
  <c r="CX383" i="861"/>
  <c r="CY383" i="861"/>
  <c r="CZ383" i="861"/>
  <c r="DA383" i="861"/>
  <c r="DB383" i="861"/>
  <c r="DC383" i="861"/>
  <c r="DD383" i="861"/>
  <c r="DE383" i="861"/>
  <c r="DF383" i="861"/>
  <c r="CU384" i="861"/>
  <c r="CV384" i="861"/>
  <c r="CW384" i="861"/>
  <c r="CX384" i="861"/>
  <c r="CY384" i="861"/>
  <c r="CZ384" i="861"/>
  <c r="DA384" i="861"/>
  <c r="DB384" i="861"/>
  <c r="DC384" i="861"/>
  <c r="DD384" i="861"/>
  <c r="DE384" i="861"/>
  <c r="DF384" i="861"/>
  <c r="CU385" i="861"/>
  <c r="CV385" i="861"/>
  <c r="CW385" i="861"/>
  <c r="CX385" i="861"/>
  <c r="CY385" i="861"/>
  <c r="CZ385" i="861"/>
  <c r="DA385" i="861"/>
  <c r="DB385" i="861"/>
  <c r="DC385" i="861"/>
  <c r="DD385" i="861"/>
  <c r="DE385" i="861"/>
  <c r="DF385" i="861"/>
  <c r="CU386" i="861"/>
  <c r="CV386" i="861"/>
  <c r="CW386" i="861"/>
  <c r="CX386" i="861"/>
  <c r="CY386" i="861"/>
  <c r="CZ386" i="861"/>
  <c r="DA386" i="861"/>
  <c r="DB386" i="861"/>
  <c r="DC386" i="861"/>
  <c r="DD386" i="861"/>
  <c r="DE386" i="861"/>
  <c r="DF386" i="861"/>
  <c r="CU387" i="861"/>
  <c r="CV387" i="861"/>
  <c r="CW387" i="861"/>
  <c r="CX387" i="861"/>
  <c r="CY387" i="861"/>
  <c r="CZ387" i="861"/>
  <c r="DA387" i="861"/>
  <c r="DB387" i="861"/>
  <c r="DC387" i="861"/>
  <c r="DD387" i="861"/>
  <c r="DE387" i="861"/>
  <c r="DF387" i="861"/>
  <c r="CU388" i="861"/>
  <c r="CV388" i="861"/>
  <c r="CW388" i="861"/>
  <c r="CX388" i="861"/>
  <c r="CY388" i="861"/>
  <c r="CZ388" i="861"/>
  <c r="DA388" i="861"/>
  <c r="DB388" i="861"/>
  <c r="DC388" i="861"/>
  <c r="DD388" i="861"/>
  <c r="DE388" i="861"/>
  <c r="DF388" i="861"/>
  <c r="CU389" i="861"/>
  <c r="CV389" i="861"/>
  <c r="CW389" i="861"/>
  <c r="CX389" i="861"/>
  <c r="CY389" i="861"/>
  <c r="CZ389" i="861"/>
  <c r="DA389" i="861"/>
  <c r="DB389" i="861"/>
  <c r="DC389" i="861"/>
  <c r="DD389" i="861"/>
  <c r="DE389" i="861"/>
  <c r="DF389" i="861"/>
  <c r="CU390" i="861"/>
  <c r="CV390" i="861"/>
  <c r="CW390" i="861"/>
  <c r="CX390" i="861"/>
  <c r="CY390" i="861"/>
  <c r="CZ390" i="861"/>
  <c r="DA390" i="861"/>
  <c r="DB390" i="861"/>
  <c r="DC390" i="861"/>
  <c r="DD390" i="861"/>
  <c r="DE390" i="861"/>
  <c r="DF390" i="861"/>
  <c r="CU391" i="861"/>
  <c r="CV391" i="861"/>
  <c r="CW391" i="861"/>
  <c r="CX391" i="861"/>
  <c r="CY391" i="861"/>
  <c r="CZ391" i="861"/>
  <c r="DA391" i="861"/>
  <c r="DB391" i="861"/>
  <c r="DC391" i="861"/>
  <c r="DD391" i="861"/>
  <c r="DE391" i="861"/>
  <c r="DF391" i="861"/>
  <c r="CU392" i="861"/>
  <c r="CV392" i="861"/>
  <c r="CW392" i="861"/>
  <c r="CX392" i="861"/>
  <c r="CY392" i="861"/>
  <c r="CZ392" i="861"/>
  <c r="DA392" i="861"/>
  <c r="DB392" i="861"/>
  <c r="DC392" i="861"/>
  <c r="DD392" i="861"/>
  <c r="DE392" i="861"/>
  <c r="DF392" i="861"/>
  <c r="CU393" i="861"/>
  <c r="CV393" i="861"/>
  <c r="CW393" i="861"/>
  <c r="CX393" i="861"/>
  <c r="CY393" i="861"/>
  <c r="CZ393" i="861"/>
  <c r="DA393" i="861"/>
  <c r="DB393" i="861"/>
  <c r="DC393" i="861"/>
  <c r="DD393" i="861"/>
  <c r="DE393" i="861"/>
  <c r="DF393" i="861"/>
  <c r="CU394" i="861"/>
  <c r="CV394" i="861"/>
  <c r="CW394" i="861"/>
  <c r="CX394" i="861"/>
  <c r="CY394" i="861"/>
  <c r="CZ394" i="861"/>
  <c r="DA394" i="861"/>
  <c r="DB394" i="861"/>
  <c r="DC394" i="861"/>
  <c r="DD394" i="861"/>
  <c r="DE394" i="861"/>
  <c r="DF394" i="861"/>
  <c r="CU395" i="861"/>
  <c r="CV395" i="861"/>
  <c r="CW395" i="861"/>
  <c r="CX395" i="861"/>
  <c r="CY395" i="861"/>
  <c r="CZ395" i="861"/>
  <c r="DA395" i="861"/>
  <c r="DB395" i="861"/>
  <c r="DC395" i="861"/>
  <c r="DD395" i="861"/>
  <c r="DE395" i="861"/>
  <c r="DF395" i="861"/>
  <c r="CU396" i="861"/>
  <c r="CV396" i="861"/>
  <c r="CW396" i="861"/>
  <c r="CX396" i="861"/>
  <c r="CY396" i="861"/>
  <c r="CZ396" i="861"/>
  <c r="DA396" i="861"/>
  <c r="DB396" i="861"/>
  <c r="DC396" i="861"/>
  <c r="DD396" i="861"/>
  <c r="DE396" i="861"/>
  <c r="DF396" i="861"/>
  <c r="CU397" i="861"/>
  <c r="CV397" i="861"/>
  <c r="CW397" i="861"/>
  <c r="CX397" i="861"/>
  <c r="CY397" i="861"/>
  <c r="CZ397" i="861"/>
  <c r="DA397" i="861"/>
  <c r="DB397" i="861"/>
  <c r="DC397" i="861"/>
  <c r="DD397" i="861"/>
  <c r="DE397" i="861"/>
  <c r="DF397" i="861"/>
  <c r="CU398" i="861"/>
  <c r="CV398" i="861"/>
  <c r="CW398" i="861"/>
  <c r="CX398" i="861"/>
  <c r="CY398" i="861"/>
  <c r="CZ398" i="861"/>
  <c r="DA398" i="861"/>
  <c r="DB398" i="861"/>
  <c r="DC398" i="861"/>
  <c r="DD398" i="861"/>
  <c r="DE398" i="861"/>
  <c r="DF398" i="861"/>
  <c r="CU399" i="861"/>
  <c r="CV399" i="861"/>
  <c r="CW399" i="861"/>
  <c r="CX399" i="861"/>
  <c r="CY399" i="861"/>
  <c r="CZ399" i="861"/>
  <c r="DA399" i="861"/>
  <c r="DB399" i="861"/>
  <c r="DC399" i="861"/>
  <c r="DD399" i="861"/>
  <c r="DE399" i="861"/>
  <c r="DF399" i="861"/>
  <c r="CU400" i="861"/>
  <c r="CV400" i="861"/>
  <c r="CW400" i="861"/>
  <c r="CX400" i="861"/>
  <c r="CY400" i="861"/>
  <c r="CZ400" i="861"/>
  <c r="DA400" i="861"/>
  <c r="DB400" i="861"/>
  <c r="DC400" i="861"/>
  <c r="DD400" i="861"/>
  <c r="DE400" i="861"/>
  <c r="DF400" i="861"/>
  <c r="CU401" i="861"/>
  <c r="CV401" i="861"/>
  <c r="CW401" i="861"/>
  <c r="CX401" i="861"/>
  <c r="CY401" i="861"/>
  <c r="CZ401" i="861"/>
  <c r="DA401" i="861"/>
  <c r="DB401" i="861"/>
  <c r="DC401" i="861"/>
  <c r="DD401" i="861"/>
  <c r="DE401" i="861"/>
  <c r="DF401" i="861"/>
  <c r="CU402" i="861"/>
  <c r="CV402" i="861"/>
  <c r="CW402" i="861"/>
  <c r="CX402" i="861"/>
  <c r="CY402" i="861"/>
  <c r="CZ402" i="861"/>
  <c r="DA402" i="861"/>
  <c r="DB402" i="861"/>
  <c r="DC402" i="861"/>
  <c r="DD402" i="861"/>
  <c r="DE402" i="861"/>
  <c r="DF402" i="861"/>
  <c r="CU403" i="861"/>
  <c r="CV403" i="861"/>
  <c r="CW403" i="861"/>
  <c r="CX403" i="861"/>
  <c r="CY403" i="861"/>
  <c r="CZ403" i="861"/>
  <c r="DA403" i="861"/>
  <c r="DB403" i="861"/>
  <c r="DC403" i="861"/>
  <c r="DD403" i="861"/>
  <c r="DE403" i="861"/>
  <c r="DF403" i="861"/>
  <c r="CU404" i="861"/>
  <c r="CV404" i="861"/>
  <c r="CW404" i="861"/>
  <c r="CX404" i="861"/>
  <c r="CY404" i="861"/>
  <c r="CZ404" i="861"/>
  <c r="DA404" i="861"/>
  <c r="DB404" i="861"/>
  <c r="DC404" i="861"/>
  <c r="DD404" i="861"/>
  <c r="DE404" i="861"/>
  <c r="DF404" i="861"/>
  <c r="CU405" i="861"/>
  <c r="CV405" i="861"/>
  <c r="CW405" i="861"/>
  <c r="CX405" i="861"/>
  <c r="CY405" i="861"/>
  <c r="CZ405" i="861"/>
  <c r="DA405" i="861"/>
  <c r="DB405" i="861"/>
  <c r="DC405" i="861"/>
  <c r="DD405" i="861"/>
  <c r="DE405" i="861"/>
  <c r="DF405" i="861"/>
  <c r="CU406" i="861"/>
  <c r="CV406" i="861"/>
  <c r="CW406" i="861"/>
  <c r="CX406" i="861"/>
  <c r="CY406" i="861"/>
  <c r="CZ406" i="861"/>
  <c r="DA406" i="861"/>
  <c r="DB406" i="861"/>
  <c r="DC406" i="861"/>
  <c r="DD406" i="861"/>
  <c r="DE406" i="861"/>
  <c r="DF406" i="861"/>
  <c r="CU407" i="861"/>
  <c r="CV407" i="861"/>
  <c r="CW407" i="861"/>
  <c r="CX407" i="861"/>
  <c r="CY407" i="861"/>
  <c r="CZ407" i="861"/>
  <c r="DA407" i="861"/>
  <c r="DB407" i="861"/>
  <c r="DC407" i="861"/>
  <c r="DD407" i="861"/>
  <c r="DE407" i="861"/>
  <c r="DF407" i="861"/>
  <c r="CU408" i="861"/>
  <c r="CV408" i="861"/>
  <c r="CW408" i="861"/>
  <c r="CX408" i="861"/>
  <c r="CY408" i="861"/>
  <c r="CZ408" i="861"/>
  <c r="DA408" i="861"/>
  <c r="DB408" i="861"/>
  <c r="DC408" i="861"/>
  <c r="DD408" i="861"/>
  <c r="DE408" i="861"/>
  <c r="DF408" i="861"/>
  <c r="CU409" i="861"/>
  <c r="CV409" i="861"/>
  <c r="CW409" i="861"/>
  <c r="CX409" i="861"/>
  <c r="CY409" i="861"/>
  <c r="CZ409" i="861"/>
  <c r="DA409" i="861"/>
  <c r="DB409" i="861"/>
  <c r="DC409" i="861"/>
  <c r="DD409" i="861"/>
  <c r="DE409" i="861"/>
  <c r="DF409" i="861"/>
  <c r="CU410" i="861"/>
  <c r="CV410" i="861"/>
  <c r="CW410" i="861"/>
  <c r="CX410" i="861"/>
  <c r="CY410" i="861"/>
  <c r="CZ410" i="861"/>
  <c r="DA410" i="861"/>
  <c r="DB410" i="861"/>
  <c r="DC410" i="861"/>
  <c r="DD410" i="861"/>
  <c r="DE410" i="861"/>
  <c r="DF410" i="861"/>
  <c r="CU411" i="861"/>
  <c r="CV411" i="861"/>
  <c r="CW411" i="861"/>
  <c r="CX411" i="861"/>
  <c r="CY411" i="861"/>
  <c r="CZ411" i="861"/>
  <c r="DA411" i="861"/>
  <c r="DB411" i="861"/>
  <c r="DC411" i="861"/>
  <c r="DD411" i="861"/>
  <c r="DE411" i="861"/>
  <c r="DF411" i="861"/>
  <c r="CU412" i="861"/>
  <c r="CV412" i="861"/>
  <c r="CW412" i="861"/>
  <c r="CX412" i="861"/>
  <c r="CY412" i="861"/>
  <c r="CZ412" i="861"/>
  <c r="DA412" i="861"/>
  <c r="DB412" i="861"/>
  <c r="DC412" i="861"/>
  <c r="DD412" i="861"/>
  <c r="DE412" i="861"/>
  <c r="DF412" i="861"/>
  <c r="CU413" i="861"/>
  <c r="CV413" i="861"/>
  <c r="CW413" i="861"/>
  <c r="CX413" i="861"/>
  <c r="CY413" i="861"/>
  <c r="CZ413" i="861"/>
  <c r="DA413" i="861"/>
  <c r="DB413" i="861"/>
  <c r="DC413" i="861"/>
  <c r="DD413" i="861"/>
  <c r="DE413" i="861"/>
  <c r="DF413" i="861"/>
  <c r="CU414" i="861"/>
  <c r="CV414" i="861"/>
  <c r="CW414" i="861"/>
  <c r="CX414" i="861"/>
  <c r="CY414" i="861"/>
  <c r="CZ414" i="861"/>
  <c r="DA414" i="861"/>
  <c r="DB414" i="861"/>
  <c r="DC414" i="861"/>
  <c r="DD414" i="861"/>
  <c r="DE414" i="861"/>
  <c r="DF414" i="861"/>
  <c r="CU415" i="861"/>
  <c r="CV415" i="861"/>
  <c r="CW415" i="861"/>
  <c r="CX415" i="861"/>
  <c r="CY415" i="861"/>
  <c r="CZ415" i="861"/>
  <c r="DA415" i="861"/>
  <c r="DB415" i="861"/>
  <c r="DC415" i="861"/>
  <c r="DD415" i="861"/>
  <c r="DE415" i="861"/>
  <c r="DF415" i="861"/>
  <c r="CU416" i="861"/>
  <c r="CV416" i="861"/>
  <c r="CW416" i="861"/>
  <c r="CX416" i="861"/>
  <c r="CY416" i="861"/>
  <c r="CZ416" i="861"/>
  <c r="DA416" i="861"/>
  <c r="DB416" i="861"/>
  <c r="DC416" i="861"/>
  <c r="DD416" i="861"/>
  <c r="DE416" i="861"/>
  <c r="DF416" i="861"/>
  <c r="CU417" i="861"/>
  <c r="CV417" i="861"/>
  <c r="CW417" i="861"/>
  <c r="CX417" i="861"/>
  <c r="CY417" i="861"/>
  <c r="CZ417" i="861"/>
  <c r="DA417" i="861"/>
  <c r="DB417" i="861"/>
  <c r="DC417" i="861"/>
  <c r="DD417" i="861"/>
  <c r="DE417" i="861"/>
  <c r="DF417" i="861"/>
  <c r="CU418" i="861"/>
  <c r="CV418" i="861"/>
  <c r="CW418" i="861"/>
  <c r="CX418" i="861"/>
  <c r="CY418" i="861"/>
  <c r="CZ418" i="861"/>
  <c r="DA418" i="861"/>
  <c r="DB418" i="861"/>
  <c r="DC418" i="861"/>
  <c r="DD418" i="861"/>
  <c r="DE418" i="861"/>
  <c r="DF418" i="861"/>
  <c r="CU419" i="861"/>
  <c r="CV419" i="861"/>
  <c r="CW419" i="861"/>
  <c r="CX419" i="861"/>
  <c r="CY419" i="861"/>
  <c r="CZ419" i="861"/>
  <c r="DA419" i="861"/>
  <c r="DB419" i="861"/>
  <c r="DC419" i="861"/>
  <c r="DD419" i="861"/>
  <c r="DE419" i="861"/>
  <c r="DF419" i="861"/>
  <c r="CU420" i="861"/>
  <c r="CV420" i="861"/>
  <c r="CW420" i="861"/>
  <c r="CX420" i="861"/>
  <c r="CY420" i="861"/>
  <c r="CZ420" i="861"/>
  <c r="DA420" i="861"/>
  <c r="DB420" i="861"/>
  <c r="DC420" i="861"/>
  <c r="DD420" i="861"/>
  <c r="DE420" i="861"/>
  <c r="DF420" i="861"/>
  <c r="CU421" i="861"/>
  <c r="CV421" i="861"/>
  <c r="CW421" i="861"/>
  <c r="CX421" i="861"/>
  <c r="CY421" i="861"/>
  <c r="CZ421" i="861"/>
  <c r="DA421" i="861"/>
  <c r="DB421" i="861"/>
  <c r="DC421" i="861"/>
  <c r="DD421" i="861"/>
  <c r="DE421" i="861"/>
  <c r="DF421" i="861"/>
  <c r="CU422" i="861"/>
  <c r="CV422" i="861"/>
  <c r="CW422" i="861"/>
  <c r="CX422" i="861"/>
  <c r="CY422" i="861"/>
  <c r="CZ422" i="861"/>
  <c r="DA422" i="861"/>
  <c r="DB422" i="861"/>
  <c r="DC422" i="861"/>
  <c r="DD422" i="861"/>
  <c r="DE422" i="861"/>
  <c r="DF422" i="861"/>
  <c r="CU423" i="861"/>
  <c r="CV423" i="861"/>
  <c r="CW423" i="861"/>
  <c r="CX423" i="861"/>
  <c r="CY423" i="861"/>
  <c r="CZ423" i="861"/>
  <c r="DA423" i="861"/>
  <c r="DB423" i="861"/>
  <c r="DC423" i="861"/>
  <c r="DD423" i="861"/>
  <c r="DE423" i="861"/>
  <c r="DF423" i="861"/>
  <c r="CU424" i="861"/>
  <c r="CV424" i="861"/>
  <c r="CW424" i="861"/>
  <c r="CX424" i="861"/>
  <c r="CY424" i="861"/>
  <c r="CZ424" i="861"/>
  <c r="DA424" i="861"/>
  <c r="DB424" i="861"/>
  <c r="DC424" i="861"/>
  <c r="DD424" i="861"/>
  <c r="DE424" i="861"/>
  <c r="DF424" i="861"/>
  <c r="CU425" i="861"/>
  <c r="CV425" i="861"/>
  <c r="CW425" i="861"/>
  <c r="CX425" i="861"/>
  <c r="CY425" i="861"/>
  <c r="CZ425" i="861"/>
  <c r="DA425" i="861"/>
  <c r="DB425" i="861"/>
  <c r="DC425" i="861"/>
  <c r="DD425" i="861"/>
  <c r="DE425" i="861"/>
  <c r="DF425" i="861"/>
  <c r="CU426" i="861"/>
  <c r="CV426" i="861"/>
  <c r="CW426" i="861"/>
  <c r="CX426" i="861"/>
  <c r="CY426" i="861"/>
  <c r="CZ426" i="861"/>
  <c r="DA426" i="861"/>
  <c r="DB426" i="861"/>
  <c r="DC426" i="861"/>
  <c r="DD426" i="861"/>
  <c r="DE426" i="861"/>
  <c r="DF426" i="861"/>
  <c r="CU427" i="861"/>
  <c r="CV427" i="861"/>
  <c r="CW427" i="861"/>
  <c r="CX427" i="861"/>
  <c r="CY427" i="861"/>
  <c r="CZ427" i="861"/>
  <c r="DA427" i="861"/>
  <c r="DB427" i="861"/>
  <c r="DC427" i="861"/>
  <c r="DD427" i="861"/>
  <c r="DE427" i="861"/>
  <c r="DF427" i="861"/>
  <c r="CU428" i="861"/>
  <c r="CV428" i="861"/>
  <c r="CW428" i="861"/>
  <c r="CX428" i="861"/>
  <c r="CY428" i="861"/>
  <c r="CZ428" i="861"/>
  <c r="DA428" i="861"/>
  <c r="DB428" i="861"/>
  <c r="DC428" i="861"/>
  <c r="DD428" i="861"/>
  <c r="DE428" i="861"/>
  <c r="DF428" i="861"/>
  <c r="CU429" i="861"/>
  <c r="CV429" i="861"/>
  <c r="CW429" i="861"/>
  <c r="CX429" i="861"/>
  <c r="CY429" i="861"/>
  <c r="CZ429" i="861"/>
  <c r="DA429" i="861"/>
  <c r="DB429" i="861"/>
  <c r="DC429" i="861"/>
  <c r="DD429" i="861"/>
  <c r="DE429" i="861"/>
  <c r="DF429" i="861"/>
  <c r="CU430" i="861"/>
  <c r="CV430" i="861"/>
  <c r="CW430" i="861"/>
  <c r="CX430" i="861"/>
  <c r="CY430" i="861"/>
  <c r="CZ430" i="861"/>
  <c r="DA430" i="861"/>
  <c r="DB430" i="861"/>
  <c r="DC430" i="861"/>
  <c r="DD430" i="861"/>
  <c r="DE430" i="861"/>
  <c r="DF430" i="861"/>
  <c r="CU431" i="861"/>
  <c r="CV431" i="861"/>
  <c r="CW431" i="861"/>
  <c r="CX431" i="861"/>
  <c r="CY431" i="861"/>
  <c r="CZ431" i="861"/>
  <c r="DA431" i="861"/>
  <c r="DB431" i="861"/>
  <c r="DC431" i="861"/>
  <c r="DD431" i="861"/>
  <c r="DE431" i="861"/>
  <c r="DF431" i="861"/>
  <c r="CU432" i="861"/>
  <c r="CV432" i="861"/>
  <c r="CW432" i="861"/>
  <c r="CX432" i="861"/>
  <c r="CY432" i="861"/>
  <c r="CZ432" i="861"/>
  <c r="DA432" i="861"/>
  <c r="DB432" i="861"/>
  <c r="DC432" i="861"/>
  <c r="DD432" i="861"/>
  <c r="DE432" i="861"/>
  <c r="DF432" i="861"/>
  <c r="CU433" i="861"/>
  <c r="CV433" i="861"/>
  <c r="CW433" i="861"/>
  <c r="CX433" i="861"/>
  <c r="CY433" i="861"/>
  <c r="CZ433" i="861"/>
  <c r="DA433" i="861"/>
  <c r="DB433" i="861"/>
  <c r="DC433" i="861"/>
  <c r="DD433" i="861"/>
  <c r="DE433" i="861"/>
  <c r="DF433" i="861"/>
  <c r="CU434" i="861"/>
  <c r="CV434" i="861"/>
  <c r="CW434" i="861"/>
  <c r="CX434" i="861"/>
  <c r="CY434" i="861"/>
  <c r="CZ434" i="861"/>
  <c r="DA434" i="861"/>
  <c r="DB434" i="861"/>
  <c r="DC434" i="861"/>
  <c r="DD434" i="861"/>
  <c r="DE434" i="861"/>
  <c r="DF434" i="861"/>
  <c r="CU435" i="861"/>
  <c r="CV435" i="861"/>
  <c r="CW435" i="861"/>
  <c r="CX435" i="861"/>
  <c r="CY435" i="861"/>
  <c r="CZ435" i="861"/>
  <c r="DA435" i="861"/>
  <c r="DB435" i="861"/>
  <c r="DC435" i="861"/>
  <c r="DD435" i="861"/>
  <c r="DE435" i="861"/>
  <c r="DF435" i="861"/>
  <c r="CU436" i="861"/>
  <c r="CV436" i="861"/>
  <c r="CW436" i="861"/>
  <c r="CX436" i="861"/>
  <c r="CY436" i="861"/>
  <c r="CZ436" i="861"/>
  <c r="DA436" i="861"/>
  <c r="DB436" i="861"/>
  <c r="DC436" i="861"/>
  <c r="DD436" i="861"/>
  <c r="DE436" i="861"/>
  <c r="DF436" i="861"/>
  <c r="CU437" i="861"/>
  <c r="CV437" i="861"/>
  <c r="CW437" i="861"/>
  <c r="CX437" i="861"/>
  <c r="CY437" i="861"/>
  <c r="CZ437" i="861"/>
  <c r="DA437" i="861"/>
  <c r="DB437" i="861"/>
  <c r="DC437" i="861"/>
  <c r="DD437" i="861"/>
  <c r="DE437" i="861"/>
  <c r="DF437" i="861"/>
  <c r="CU438" i="861"/>
  <c r="CV438" i="861"/>
  <c r="CW438" i="861"/>
  <c r="CX438" i="861"/>
  <c r="CY438" i="861"/>
  <c r="CZ438" i="861"/>
  <c r="DA438" i="861"/>
  <c r="DB438" i="861"/>
  <c r="DC438" i="861"/>
  <c r="DD438" i="861"/>
  <c r="DE438" i="861"/>
  <c r="CM4" i="861"/>
  <c r="CE5" i="861"/>
  <c r="CF5" i="861"/>
  <c r="CG5" i="861"/>
  <c r="CB6" i="861"/>
  <c r="CC6" i="861"/>
  <c r="CE6" i="861"/>
  <c r="CF6" i="861"/>
  <c r="CG6" i="861"/>
  <c r="CC7" i="861"/>
  <c r="CF7" i="861"/>
  <c r="CB8" i="861"/>
  <c r="CD8" i="861"/>
  <c r="CJ8" i="861"/>
  <c r="CB9" i="861"/>
  <c r="CD9" i="861"/>
  <c r="CE9" i="861"/>
  <c r="CI9" i="861"/>
  <c r="CK9" i="861"/>
  <c r="CB11" i="861"/>
  <c r="CC11" i="861"/>
  <c r="CD11" i="861"/>
  <c r="CF11" i="861"/>
  <c r="CJ11" i="861"/>
  <c r="CK11" i="861"/>
  <c r="CL11" i="861"/>
  <c r="CM11" i="861"/>
  <c r="CB12" i="861"/>
  <c r="CC12" i="861"/>
  <c r="CD12" i="861"/>
  <c r="CE12" i="861"/>
  <c r="CI12" i="861"/>
  <c r="CJ13" i="861"/>
  <c r="CB14" i="861"/>
  <c r="CC14" i="861"/>
  <c r="CD14" i="861"/>
  <c r="CF14" i="861"/>
  <c r="CH14" i="861"/>
  <c r="CI14" i="861"/>
  <c r="CJ14" i="861"/>
  <c r="CK15" i="861"/>
  <c r="CL16" i="861"/>
  <c r="CC17" i="861"/>
  <c r="CD17" i="861"/>
  <c r="CG17" i="861"/>
  <c r="CI17" i="861"/>
  <c r="CK17" i="861"/>
  <c r="CL17" i="861"/>
  <c r="CM17" i="861"/>
  <c r="CB18" i="861"/>
  <c r="CD18" i="861"/>
  <c r="CE18" i="861"/>
  <c r="CF18" i="861"/>
  <c r="CG18" i="861"/>
  <c r="CH18" i="861"/>
  <c r="CK19" i="861"/>
  <c r="CM19" i="861"/>
  <c r="CF20" i="861"/>
  <c r="CG20" i="861"/>
  <c r="CH20" i="861"/>
  <c r="CC21" i="861"/>
  <c r="CD21" i="861"/>
  <c r="CI21" i="861"/>
  <c r="CJ21" i="861"/>
  <c r="CM21" i="861"/>
  <c r="CH22" i="861"/>
  <c r="CJ22" i="861"/>
  <c r="CL22" i="861"/>
  <c r="CM22" i="861"/>
  <c r="CE23" i="861"/>
  <c r="CH24" i="861"/>
  <c r="CL24" i="861"/>
  <c r="CD25" i="861"/>
  <c r="CJ25" i="861"/>
  <c r="CB26" i="861"/>
  <c r="CL26" i="861"/>
  <c r="CF27" i="861"/>
  <c r="CF28" i="861"/>
  <c r="CG28" i="861"/>
  <c r="CD29" i="861"/>
  <c r="CJ29" i="861"/>
  <c r="CB30" i="861"/>
  <c r="CL30" i="861"/>
  <c r="CB31" i="861"/>
  <c r="CC31" i="861"/>
  <c r="CD31" i="861"/>
  <c r="CF31" i="861"/>
  <c r="CH31" i="861"/>
  <c r="CJ31" i="861"/>
  <c r="CK31" i="861"/>
  <c r="CL31" i="861"/>
  <c r="CF32" i="861"/>
  <c r="CH33" i="861"/>
  <c r="CD34" i="861"/>
  <c r="CE34" i="861"/>
  <c r="CJ34" i="861"/>
  <c r="CF35" i="861"/>
  <c r="CH36" i="861"/>
  <c r="CB37" i="861"/>
  <c r="CE37" i="861"/>
  <c r="CB38" i="861"/>
  <c r="CC38" i="861"/>
  <c r="CD38" i="861"/>
  <c r="CG38" i="861"/>
  <c r="CI38" i="861"/>
  <c r="CK38" i="861"/>
  <c r="CL38" i="861"/>
  <c r="CM38" i="861"/>
  <c r="CE39" i="861"/>
  <c r="CG39" i="861"/>
  <c r="CI39" i="861"/>
  <c r="CJ39" i="861"/>
  <c r="CK39" i="861"/>
  <c r="CF40" i="861"/>
  <c r="CG40" i="861"/>
  <c r="CH40" i="861"/>
  <c r="CC41" i="861"/>
  <c r="CD41" i="861"/>
  <c r="CI41" i="861"/>
  <c r="CK41" i="861"/>
  <c r="CM41" i="861"/>
  <c r="CC42" i="861"/>
  <c r="CH42" i="861"/>
  <c r="CB43" i="861"/>
  <c r="CC43" i="861"/>
  <c r="CD43" i="861"/>
  <c r="CE43" i="861"/>
  <c r="CF43" i="861"/>
  <c r="CD44" i="861"/>
  <c r="CK44" i="861"/>
  <c r="CL44" i="861"/>
  <c r="CH45" i="861"/>
  <c r="CJ45" i="861"/>
  <c r="CL45" i="861"/>
  <c r="CB46" i="861"/>
  <c r="CD46" i="861"/>
  <c r="CI46" i="861"/>
  <c r="CJ46" i="861"/>
  <c r="CK46" i="861"/>
  <c r="CM46" i="861"/>
  <c r="CB47" i="861"/>
  <c r="CD47" i="861"/>
  <c r="CE47" i="861"/>
  <c r="CB48" i="861"/>
  <c r="CC48" i="861"/>
  <c r="CD48" i="861"/>
  <c r="CF48" i="861"/>
  <c r="CH48" i="861"/>
  <c r="CL48" i="861"/>
  <c r="CC49" i="861"/>
  <c r="CH49" i="861"/>
  <c r="CI49" i="861"/>
  <c r="CJ49" i="861"/>
  <c r="CL49" i="861"/>
  <c r="CB50" i="861"/>
  <c r="CD50" i="861"/>
  <c r="CJ50" i="861"/>
  <c r="CK50" i="861"/>
  <c r="CL50" i="861"/>
  <c r="CB51" i="861"/>
  <c r="CC51" i="861"/>
  <c r="CE51" i="861"/>
  <c r="CF51" i="861"/>
  <c r="CG51" i="861"/>
  <c r="CE52" i="861"/>
  <c r="CF52" i="861"/>
  <c r="CG52" i="861"/>
  <c r="CI52" i="861"/>
  <c r="CJ52" i="861"/>
  <c r="CK52" i="861"/>
  <c r="CB53" i="861"/>
  <c r="CC53" i="861"/>
  <c r="CD53" i="861"/>
  <c r="CF53" i="861"/>
  <c r="CG53" i="861"/>
  <c r="CH53" i="861"/>
  <c r="CJ53" i="861"/>
  <c r="CK53" i="861"/>
  <c r="CL53" i="861"/>
  <c r="CB54" i="861"/>
  <c r="CC54" i="861"/>
  <c r="CD54" i="861"/>
  <c r="CM54" i="861"/>
  <c r="CB55" i="861"/>
  <c r="CC55" i="861"/>
  <c r="CD55" i="861"/>
  <c r="CF55" i="861"/>
  <c r="CH55" i="861"/>
  <c r="CI55" i="861"/>
  <c r="CJ55" i="861"/>
  <c r="CB56" i="861"/>
  <c r="CD56" i="861"/>
  <c r="CE56" i="861"/>
  <c r="CF56" i="861"/>
  <c r="CG56" i="861"/>
  <c r="CI56" i="861"/>
  <c r="CK56" i="861"/>
  <c r="CL56" i="861"/>
  <c r="CE57" i="861"/>
  <c r="CD58" i="861"/>
  <c r="CK58" i="861"/>
  <c r="CM58" i="861"/>
  <c r="CC59" i="861"/>
  <c r="CD59" i="861"/>
  <c r="CH59" i="861"/>
  <c r="CI59" i="861"/>
  <c r="CB60" i="861"/>
  <c r="CE60" i="861"/>
  <c r="CE61" i="861"/>
  <c r="CF61" i="861"/>
  <c r="CG61" i="861"/>
  <c r="CI61" i="861"/>
  <c r="CJ61" i="861"/>
  <c r="CK61" i="861"/>
  <c r="CD62" i="861"/>
  <c r="CE62" i="861"/>
  <c r="CL62" i="861"/>
  <c r="CM62" i="861"/>
  <c r="CB63" i="861"/>
  <c r="CC63" i="861"/>
  <c r="CD63" i="861"/>
  <c r="CE63" i="861"/>
  <c r="CF63" i="861"/>
  <c r="CG63" i="861"/>
  <c r="CH63" i="861"/>
  <c r="CI63" i="861"/>
  <c r="CB64" i="861"/>
  <c r="CD64" i="861"/>
  <c r="CE64" i="861"/>
  <c r="CG64" i="861"/>
  <c r="CI64" i="861"/>
  <c r="CK64" i="861"/>
  <c r="CB65" i="861"/>
  <c r="CC65" i="861"/>
  <c r="CL65" i="861"/>
  <c r="CM65" i="861"/>
  <c r="CB66" i="861"/>
  <c r="CC66" i="861"/>
  <c r="CL66" i="861"/>
  <c r="CB67" i="861"/>
  <c r="CF67" i="861"/>
  <c r="CD68" i="861"/>
  <c r="CE68" i="861"/>
  <c r="CJ68" i="861"/>
  <c r="CB69" i="861"/>
  <c r="CC69" i="861"/>
  <c r="CD69" i="861"/>
  <c r="CH69" i="861"/>
  <c r="CJ69" i="861"/>
  <c r="CK69" i="861"/>
  <c r="CL69" i="861"/>
  <c r="CB71" i="861"/>
  <c r="CD71" i="861"/>
  <c r="CE71" i="861"/>
  <c r="CF71" i="861"/>
  <c r="CG71" i="861"/>
  <c r="CI71" i="861"/>
  <c r="CK71" i="861"/>
  <c r="CL71" i="861"/>
  <c r="CB72" i="861"/>
  <c r="CC72" i="861"/>
  <c r="CB73" i="861"/>
  <c r="CC73" i="861"/>
  <c r="CF73" i="861"/>
  <c r="CB74" i="861"/>
  <c r="CL74" i="861"/>
  <c r="CB75" i="861"/>
  <c r="CC75" i="861"/>
  <c r="CF75" i="861"/>
  <c r="CG76" i="861"/>
  <c r="CI76" i="861"/>
  <c r="CK76" i="861"/>
  <c r="CM76" i="861"/>
  <c r="CH78" i="861"/>
  <c r="CI78" i="861"/>
  <c r="CL78" i="861"/>
  <c r="CB79" i="861"/>
  <c r="CC79" i="861"/>
  <c r="CD79" i="861"/>
  <c r="CJ79" i="861"/>
  <c r="CK79" i="861"/>
  <c r="CL79" i="861"/>
  <c r="CF80" i="861"/>
  <c r="CG80" i="861"/>
  <c r="CH80" i="861"/>
  <c r="CC81" i="861"/>
  <c r="CD81" i="861"/>
  <c r="CI81" i="861"/>
  <c r="CK81" i="861"/>
  <c r="CB82" i="861"/>
  <c r="CC82" i="861"/>
  <c r="CD82" i="861"/>
  <c r="CE82" i="861"/>
  <c r="CF82" i="861"/>
  <c r="CB83" i="861"/>
  <c r="CC83" i="861"/>
  <c r="CM83" i="861"/>
  <c r="CK84" i="861"/>
  <c r="CL84" i="861"/>
  <c r="CM84" i="861"/>
  <c r="CB86" i="861"/>
  <c r="CL86" i="861"/>
  <c r="CM86" i="861"/>
  <c r="CD87" i="861"/>
  <c r="CI87" i="861"/>
  <c r="CK87" i="861"/>
  <c r="CM87" i="861"/>
  <c r="CC88" i="861"/>
  <c r="CD88" i="861"/>
  <c r="CG88" i="861"/>
  <c r="CH88" i="861"/>
  <c r="CI88" i="861"/>
  <c r="CK88" i="861"/>
  <c r="CL88" i="861"/>
  <c r="CM88" i="861"/>
  <c r="CB89" i="861"/>
  <c r="CB90" i="861"/>
  <c r="CL90" i="861"/>
  <c r="CB91" i="861"/>
  <c r="CC91" i="861"/>
  <c r="CD91" i="861"/>
  <c r="CE91" i="861"/>
  <c r="CF91" i="861"/>
  <c r="CH91" i="861"/>
  <c r="CI91" i="861"/>
  <c r="CJ91" i="861"/>
  <c r="CD92" i="861"/>
  <c r="CE92" i="861"/>
  <c r="CJ92" i="861"/>
  <c r="CB93" i="861"/>
  <c r="CL93" i="861"/>
  <c r="CD94" i="861"/>
  <c r="CJ94" i="861"/>
  <c r="CB95" i="861"/>
  <c r="CL95" i="861"/>
  <c r="CM95" i="861"/>
  <c r="CF96" i="861"/>
  <c r="CH97" i="861"/>
  <c r="CL97" i="861"/>
  <c r="CD98" i="861"/>
  <c r="CJ98" i="861"/>
  <c r="CL98" i="861"/>
  <c r="CM98" i="861"/>
  <c r="CB99" i="861"/>
  <c r="CE99" i="861"/>
  <c r="CF99" i="861"/>
  <c r="CG99" i="861"/>
  <c r="CI99" i="861"/>
  <c r="CJ99" i="861"/>
  <c r="CK99" i="861"/>
  <c r="CD100" i="861"/>
  <c r="CL100" i="861"/>
  <c r="CM100" i="861"/>
  <c r="CF101" i="861"/>
  <c r="CD102" i="861"/>
  <c r="CF102" i="861"/>
  <c r="CH102" i="861"/>
  <c r="CJ102" i="861"/>
  <c r="CB103" i="861"/>
  <c r="CC103" i="861"/>
  <c r="CD103" i="861"/>
  <c r="CB104" i="861"/>
  <c r="CC104" i="861"/>
  <c r="CD104" i="861"/>
  <c r="CE104" i="861"/>
  <c r="CG104" i="861"/>
  <c r="CH104" i="861"/>
  <c r="CI104" i="861"/>
  <c r="CB105" i="861"/>
  <c r="CE105" i="861"/>
  <c r="CB106" i="861"/>
  <c r="CE106" i="861"/>
  <c r="CF106" i="861"/>
  <c r="CG106" i="861"/>
  <c r="CI106" i="861"/>
  <c r="CJ106" i="861"/>
  <c r="CK106" i="861"/>
  <c r="CD107" i="861"/>
  <c r="CL107" i="861"/>
  <c r="CM107" i="861"/>
  <c r="CC108" i="861"/>
  <c r="CD108" i="861"/>
  <c r="CE108" i="861"/>
  <c r="CG108" i="861"/>
  <c r="CH108" i="861"/>
  <c r="CI108" i="861"/>
  <c r="CJ108" i="861"/>
  <c r="CB109" i="861"/>
  <c r="CC109" i="861"/>
  <c r="CD109" i="861"/>
  <c r="CJ109" i="861"/>
  <c r="CK109" i="861"/>
  <c r="CL109" i="861"/>
  <c r="CB110" i="861"/>
  <c r="CC110" i="861"/>
  <c r="CD110" i="861"/>
  <c r="CE110" i="861"/>
  <c r="CG110" i="861"/>
  <c r="CI110" i="861"/>
  <c r="CB111" i="861"/>
  <c r="CC111" i="861"/>
  <c r="CD111" i="861"/>
  <c r="CE111" i="861"/>
  <c r="CF111" i="861"/>
  <c r="CG111" i="861"/>
  <c r="CH111" i="861"/>
  <c r="CB112" i="861"/>
  <c r="CL112" i="861"/>
  <c r="CB113" i="861"/>
  <c r="CF113" i="861"/>
  <c r="CK114" i="861"/>
  <c r="CL114" i="861"/>
  <c r="CM114" i="861"/>
  <c r="CB115" i="861"/>
  <c r="CC115" i="861"/>
  <c r="CD115" i="861"/>
  <c r="CE115" i="861"/>
  <c r="CF115" i="861"/>
  <c r="CG115" i="861"/>
  <c r="CH116" i="861"/>
  <c r="CI116" i="861"/>
  <c r="CJ116" i="861"/>
  <c r="CL116" i="861"/>
  <c r="CM116" i="861"/>
  <c r="CD117" i="861"/>
  <c r="CE117" i="861"/>
  <c r="CH117" i="861"/>
  <c r="CJ117" i="861"/>
  <c r="CH118" i="861"/>
  <c r="CI118" i="861"/>
  <c r="CE119" i="861"/>
  <c r="CF120" i="861"/>
  <c r="CB121" i="861"/>
  <c r="CC121" i="861"/>
  <c r="CM121" i="861"/>
  <c r="CB122" i="861"/>
  <c r="CC122" i="861"/>
  <c r="CD122" i="861"/>
  <c r="CE122" i="861"/>
  <c r="CF122" i="861"/>
  <c r="CH122" i="861"/>
  <c r="CI122" i="861"/>
  <c r="CJ122" i="861"/>
  <c r="CF123" i="861"/>
  <c r="CG123" i="861"/>
  <c r="CH123" i="861"/>
  <c r="CI123" i="861"/>
  <c r="CK123" i="861"/>
  <c r="CB124" i="861"/>
  <c r="CC124" i="861"/>
  <c r="CD124" i="861"/>
  <c r="CF124" i="861"/>
  <c r="CH124" i="861"/>
  <c r="CJ124" i="861"/>
  <c r="CK124" i="861"/>
  <c r="CL124" i="861"/>
  <c r="CF125" i="861"/>
  <c r="CC126" i="861"/>
  <c r="CI126" i="861"/>
  <c r="CJ126" i="861"/>
  <c r="CK126" i="861"/>
  <c r="CM126" i="861"/>
  <c r="CB127" i="861"/>
  <c r="CC127" i="861"/>
  <c r="CD127" i="861"/>
  <c r="CE127" i="861"/>
  <c r="CF127" i="861"/>
  <c r="CB128" i="861"/>
  <c r="CC128" i="861"/>
  <c r="CF128" i="861"/>
  <c r="CC129" i="861"/>
  <c r="CH129" i="861"/>
  <c r="CI129" i="861"/>
  <c r="CJ129" i="861"/>
  <c r="CB130" i="861"/>
  <c r="CC130" i="861"/>
  <c r="CD130" i="861"/>
  <c r="CE130" i="861"/>
  <c r="CF131" i="861"/>
  <c r="DF2" i="861"/>
  <c r="CM103" i="861" s="1"/>
  <c r="DE2" i="861"/>
  <c r="CL103" i="861" s="1"/>
  <c r="DD2" i="861"/>
  <c r="CK103" i="861" s="1"/>
  <c r="DC2" i="861"/>
  <c r="CJ103" i="861" s="1"/>
  <c r="DB2" i="861"/>
  <c r="CI103" i="861" s="1"/>
  <c r="DA2" i="861"/>
  <c r="CH103" i="861" s="1"/>
  <c r="CZ2" i="861"/>
  <c r="CG103" i="861" s="1"/>
  <c r="CY2" i="861"/>
  <c r="CF103" i="861" s="1"/>
  <c r="CX2" i="861"/>
  <c r="CE103" i="861" s="1"/>
  <c r="BW4" i="861"/>
  <c r="BL113" i="702" s="1"/>
  <c r="BX4" i="861"/>
  <c r="BM113" i="702" s="1"/>
  <c r="BY4" i="861"/>
  <c r="BN113" i="702" s="1"/>
  <c r="BW5" i="861"/>
  <c r="BL114" i="702" s="1"/>
  <c r="BX5" i="861"/>
  <c r="BM114" i="702" s="1"/>
  <c r="BY5" i="861"/>
  <c r="BN114" i="702" s="1"/>
  <c r="BW6" i="861"/>
  <c r="BL115" i="702" s="1"/>
  <c r="BX6" i="861"/>
  <c r="BM115" i="702" s="1"/>
  <c r="BY6" i="861"/>
  <c r="BN115" i="702" s="1"/>
  <c r="BW7" i="861"/>
  <c r="BL24" i="702" s="1"/>
  <c r="BX7" i="861"/>
  <c r="BM24" i="702" s="1"/>
  <c r="BY7" i="861"/>
  <c r="BN24" i="702" s="1"/>
  <c r="BW8" i="861"/>
  <c r="BL25" i="702" s="1"/>
  <c r="BX8" i="861"/>
  <c r="BM25" i="702" s="1"/>
  <c r="BY8" i="861"/>
  <c r="BN25" i="702" s="1"/>
  <c r="BW9" i="861"/>
  <c r="BL42" i="702" s="1"/>
  <c r="BX9" i="861"/>
  <c r="BM42" i="702" s="1"/>
  <c r="BY9" i="861"/>
  <c r="BN42" i="702" s="1"/>
  <c r="BW10" i="861"/>
  <c r="BL9" i="702" s="1"/>
  <c r="BX10" i="861"/>
  <c r="BM9" i="702" s="1"/>
  <c r="BY10" i="861"/>
  <c r="BN9" i="702" s="1"/>
  <c r="BW11" i="861"/>
  <c r="BL54" i="702" s="1"/>
  <c r="BX11" i="861"/>
  <c r="BM54" i="702" s="1"/>
  <c r="BY11" i="861"/>
  <c r="BN54" i="702" s="1"/>
  <c r="BW12" i="861"/>
  <c r="BL10" i="702" s="1"/>
  <c r="BX12" i="861"/>
  <c r="BM10" i="702" s="1"/>
  <c r="BY12" i="861"/>
  <c r="BN10" i="702" s="1"/>
  <c r="BW13" i="861"/>
  <c r="BL21" i="702" s="1"/>
  <c r="BX13" i="861"/>
  <c r="BM21" i="702" s="1"/>
  <c r="BY13" i="861"/>
  <c r="BN21" i="702" s="1"/>
  <c r="BW14" i="861"/>
  <c r="BL117" i="702" s="1"/>
  <c r="BX14" i="861"/>
  <c r="BM117" i="702" s="1"/>
  <c r="BY14" i="861"/>
  <c r="BN117" i="702" s="1"/>
  <c r="BW15" i="861"/>
  <c r="BL118" i="702" s="1"/>
  <c r="BX15" i="861"/>
  <c r="BM118" i="702" s="1"/>
  <c r="BY15" i="861"/>
  <c r="BN118" i="702" s="1"/>
  <c r="BW16" i="861"/>
  <c r="BL121" i="702" s="1"/>
  <c r="BX16" i="861"/>
  <c r="BM121" i="702" s="1"/>
  <c r="BY16" i="861"/>
  <c r="BN121" i="702" s="1"/>
  <c r="BW17" i="861"/>
  <c r="BL122" i="702" s="1"/>
  <c r="BX17" i="861"/>
  <c r="BM122" i="702" s="1"/>
  <c r="BY17" i="861"/>
  <c r="BN122" i="702" s="1"/>
  <c r="BW18" i="861"/>
  <c r="BL119" i="702" s="1"/>
  <c r="BX18" i="861"/>
  <c r="BM119" i="702" s="1"/>
  <c r="BY18" i="861"/>
  <c r="BN119" i="702" s="1"/>
  <c r="BW19" i="861"/>
  <c r="BL120" i="702" s="1"/>
  <c r="BX19" i="861"/>
  <c r="BM120" i="702" s="1"/>
  <c r="BY19" i="861"/>
  <c r="BN120" i="702" s="1"/>
  <c r="BW20" i="861"/>
  <c r="BL22" i="702" s="1"/>
  <c r="BX20" i="861"/>
  <c r="BM22" i="702" s="1"/>
  <c r="BY20" i="861"/>
  <c r="BN22" i="702" s="1"/>
  <c r="BW21" i="861"/>
  <c r="BL36" i="702" s="1"/>
  <c r="BX21" i="861"/>
  <c r="BM36" i="702" s="1"/>
  <c r="BY21" i="861"/>
  <c r="BN36" i="702" s="1"/>
  <c r="BW22" i="861"/>
  <c r="BL37" i="702" s="1"/>
  <c r="BX22" i="861"/>
  <c r="BM37" i="702" s="1"/>
  <c r="BY22" i="861"/>
  <c r="BN37" i="702" s="1"/>
  <c r="BW23" i="861"/>
  <c r="BL38" i="702" s="1"/>
  <c r="BX23" i="861"/>
  <c r="BM38" i="702" s="1"/>
  <c r="BY23" i="861"/>
  <c r="BN38" i="702" s="1"/>
  <c r="BW24" i="861"/>
  <c r="BL97" i="702" s="1"/>
  <c r="BX24" i="861"/>
  <c r="BM97" i="702" s="1"/>
  <c r="BY24" i="861"/>
  <c r="BN97" i="702" s="1"/>
  <c r="BW25" i="861"/>
  <c r="BL98" i="702" s="1"/>
  <c r="BX25" i="861"/>
  <c r="BM98" i="702" s="1"/>
  <c r="BY25" i="861"/>
  <c r="BN98" i="702" s="1"/>
  <c r="BW26" i="861"/>
  <c r="BL68" i="702" s="1"/>
  <c r="BX26" i="861"/>
  <c r="BM68" i="702" s="1"/>
  <c r="BY26" i="861"/>
  <c r="BN68" i="702" s="1"/>
  <c r="BW27" i="861"/>
  <c r="BL8" i="702" s="1"/>
  <c r="BX27" i="861"/>
  <c r="BM8" i="702" s="1"/>
  <c r="BY27" i="861"/>
  <c r="BN8" i="702" s="1"/>
  <c r="BW28" i="861"/>
  <c r="BL33" i="702" s="1"/>
  <c r="BX28" i="861"/>
  <c r="BM33" i="702" s="1"/>
  <c r="BY28" i="861"/>
  <c r="BN33" i="702" s="1"/>
  <c r="BW29" i="861"/>
  <c r="BL34" i="702" s="1"/>
  <c r="BX29" i="861"/>
  <c r="BM34" i="702" s="1"/>
  <c r="BY29" i="861"/>
  <c r="BN34" i="702" s="1"/>
  <c r="BW30" i="861"/>
  <c r="BL58" i="702" s="1"/>
  <c r="BX30" i="861"/>
  <c r="BM58" i="702" s="1"/>
  <c r="BY30" i="861"/>
  <c r="BN58" i="702" s="1"/>
  <c r="BW31" i="861"/>
  <c r="BL23" i="702" s="1"/>
  <c r="BX31" i="861"/>
  <c r="BM23" i="702" s="1"/>
  <c r="BY31" i="861"/>
  <c r="BN23" i="702" s="1"/>
  <c r="BW32" i="861"/>
  <c r="BL59" i="702" s="1"/>
  <c r="BX32" i="861"/>
  <c r="BM59" i="702" s="1"/>
  <c r="BY32" i="861"/>
  <c r="BN59" i="702" s="1"/>
  <c r="BW33" i="861"/>
  <c r="BL55" i="702" s="1"/>
  <c r="BX33" i="861"/>
  <c r="BM55" i="702" s="1"/>
  <c r="BY33" i="861"/>
  <c r="BN55" i="702" s="1"/>
  <c r="BW34" i="861"/>
  <c r="BL56" i="702" s="1"/>
  <c r="BX34" i="861"/>
  <c r="BM56" i="702" s="1"/>
  <c r="BY34" i="861"/>
  <c r="BN56" i="702" s="1"/>
  <c r="BW35" i="861"/>
  <c r="BL76" i="702" s="1"/>
  <c r="BX35" i="861"/>
  <c r="BM76" i="702" s="1"/>
  <c r="BY35" i="861"/>
  <c r="BN76" i="702" s="1"/>
  <c r="BW36" i="861"/>
  <c r="BL75" i="702" s="1"/>
  <c r="BX36" i="861"/>
  <c r="BM75" i="702" s="1"/>
  <c r="BY36" i="861"/>
  <c r="BN75" i="702" s="1"/>
  <c r="BW37" i="861"/>
  <c r="BL12" i="702" s="1"/>
  <c r="BX37" i="861"/>
  <c r="BM12" i="702" s="1"/>
  <c r="BY37" i="861"/>
  <c r="BN12" i="702" s="1"/>
  <c r="BW38" i="861"/>
  <c r="BL85" i="702" s="1"/>
  <c r="BX38" i="861"/>
  <c r="BM85" i="702" s="1"/>
  <c r="BY38" i="861"/>
  <c r="BN85" i="702" s="1"/>
  <c r="BW39" i="861"/>
  <c r="BL93" i="702" s="1"/>
  <c r="BX39" i="861"/>
  <c r="BM93" i="702" s="1"/>
  <c r="BY39" i="861"/>
  <c r="BN93" i="702" s="1"/>
  <c r="BW40" i="861"/>
  <c r="BL92" i="702" s="1"/>
  <c r="BX40" i="861"/>
  <c r="BM92" i="702" s="1"/>
  <c r="BY40" i="861"/>
  <c r="BN92" i="702" s="1"/>
  <c r="BW41" i="861"/>
  <c r="BL86" i="702" s="1"/>
  <c r="BX41" i="861"/>
  <c r="BM86" i="702" s="1"/>
  <c r="BY41" i="861"/>
  <c r="BN86" i="702" s="1"/>
  <c r="BW42" i="861"/>
  <c r="BL87" i="702" s="1"/>
  <c r="BX42" i="861"/>
  <c r="BM87" i="702" s="1"/>
  <c r="BY42" i="861"/>
  <c r="BN87" i="702" s="1"/>
  <c r="BW43" i="861"/>
  <c r="BL94" i="702" s="1"/>
  <c r="BX43" i="861"/>
  <c r="BM94" i="702" s="1"/>
  <c r="BY43" i="861"/>
  <c r="BN94" i="702" s="1"/>
  <c r="BW44" i="861"/>
  <c r="BL82" i="702" s="1"/>
  <c r="BX44" i="861"/>
  <c r="BM82" i="702" s="1"/>
  <c r="BY44" i="861"/>
  <c r="BN82" i="702" s="1"/>
  <c r="BW45" i="861"/>
  <c r="BL83" i="702" s="1"/>
  <c r="BX45" i="861"/>
  <c r="BM83" i="702" s="1"/>
  <c r="BY45" i="861"/>
  <c r="BN83" i="702" s="1"/>
  <c r="BW46" i="861"/>
  <c r="BL84" i="702" s="1"/>
  <c r="BX46" i="861"/>
  <c r="BM84" i="702" s="1"/>
  <c r="BY46" i="861"/>
  <c r="BN84" i="702" s="1"/>
  <c r="BW47" i="861"/>
  <c r="BL77" i="702" s="1"/>
  <c r="BX47" i="861"/>
  <c r="BM77" i="702" s="1"/>
  <c r="BY47" i="861"/>
  <c r="BN77" i="702" s="1"/>
  <c r="BW48" i="861"/>
  <c r="BL79" i="702" s="1"/>
  <c r="BX48" i="861"/>
  <c r="BM79" i="702" s="1"/>
  <c r="BY48" i="861"/>
  <c r="BN79" i="702" s="1"/>
  <c r="BW49" i="861"/>
  <c r="BL126" i="702" s="1"/>
  <c r="BX49" i="861"/>
  <c r="BM126" i="702" s="1"/>
  <c r="BY49" i="861"/>
  <c r="BN126" i="702" s="1"/>
  <c r="BW50" i="861"/>
  <c r="BL127" i="702" s="1"/>
  <c r="BX50" i="861"/>
  <c r="BM127" i="702" s="1"/>
  <c r="BY50" i="861"/>
  <c r="BN127" i="702" s="1"/>
  <c r="BW51" i="861"/>
  <c r="BL123" i="702" s="1"/>
  <c r="BX51" i="861"/>
  <c r="BM123" i="702" s="1"/>
  <c r="BY51" i="861"/>
  <c r="BN123" i="702" s="1"/>
  <c r="BW52" i="861"/>
  <c r="BL124" i="702" s="1"/>
  <c r="BX52" i="861"/>
  <c r="BM124" i="702" s="1"/>
  <c r="BY52" i="861"/>
  <c r="BN124" i="702" s="1"/>
  <c r="BW53" i="861"/>
  <c r="BL116" i="702" s="1"/>
  <c r="BX53" i="861"/>
  <c r="BM116" i="702" s="1"/>
  <c r="BY53" i="861"/>
  <c r="BN116" i="702" s="1"/>
  <c r="BW54" i="861"/>
  <c r="BL90" i="702" s="1"/>
  <c r="BX54" i="861"/>
  <c r="BM90" i="702" s="1"/>
  <c r="BY54" i="861"/>
  <c r="BN90" i="702" s="1"/>
  <c r="BW55" i="861"/>
  <c r="BL125" i="702" s="1"/>
  <c r="BX55" i="861"/>
  <c r="BM125" i="702" s="1"/>
  <c r="BY55" i="861"/>
  <c r="BN125" i="702" s="1"/>
  <c r="BW56" i="861"/>
  <c r="BL88" i="702" s="1"/>
  <c r="BX56" i="861"/>
  <c r="BM88" i="702" s="1"/>
  <c r="BY56" i="861"/>
  <c r="BN88" i="702" s="1"/>
  <c r="BW57" i="861"/>
  <c r="BL78" i="702" s="1"/>
  <c r="BX57" i="861"/>
  <c r="BM78" i="702" s="1"/>
  <c r="BY57" i="861"/>
  <c r="BN78" i="702" s="1"/>
  <c r="BW58" i="861"/>
  <c r="BL91" i="702" s="1"/>
  <c r="BX58" i="861"/>
  <c r="BM91" i="702" s="1"/>
  <c r="BY58" i="861"/>
  <c r="BN91" i="702" s="1"/>
  <c r="BW59" i="861"/>
  <c r="BL89" i="702" s="1"/>
  <c r="BX59" i="861"/>
  <c r="BM89" i="702" s="1"/>
  <c r="BY59" i="861"/>
  <c r="BN89" i="702" s="1"/>
  <c r="BW60" i="861"/>
  <c r="BL128" i="702" s="1"/>
  <c r="BX60" i="861"/>
  <c r="BM128" i="702" s="1"/>
  <c r="BY60" i="861"/>
  <c r="BN128" i="702" s="1"/>
  <c r="BW61" i="861"/>
  <c r="BL129" i="702" s="1"/>
  <c r="BX61" i="861"/>
  <c r="BM129" i="702" s="1"/>
  <c r="BY61" i="861"/>
  <c r="BN129" i="702" s="1"/>
  <c r="BW62" i="861"/>
  <c r="BL57" i="702" s="1"/>
  <c r="BX62" i="861"/>
  <c r="BM57" i="702" s="1"/>
  <c r="BY62" i="861"/>
  <c r="BN57" i="702" s="1"/>
  <c r="BW63" i="861"/>
  <c r="BL130" i="702" s="1"/>
  <c r="BX63" i="861"/>
  <c r="BM130" i="702" s="1"/>
  <c r="BY63" i="861"/>
  <c r="BN130" i="702" s="1"/>
  <c r="BW64" i="861"/>
  <c r="BL133" i="702" s="1"/>
  <c r="BX64" i="861"/>
  <c r="BM133" i="702" s="1"/>
  <c r="BY64" i="861"/>
  <c r="BN133" i="702" s="1"/>
  <c r="BW65" i="861"/>
  <c r="BL131" i="702" s="1"/>
  <c r="BX65" i="861"/>
  <c r="BM131" i="702" s="1"/>
  <c r="BY65" i="861"/>
  <c r="BN131" i="702" s="1"/>
  <c r="BW66" i="861"/>
  <c r="BL132" i="702" s="1"/>
  <c r="BX66" i="861"/>
  <c r="BM132" i="702" s="1"/>
  <c r="BY66" i="861"/>
  <c r="BN132" i="702" s="1"/>
  <c r="BW67" i="861"/>
  <c r="BL96" i="702" s="1"/>
  <c r="BX67" i="861"/>
  <c r="BM96" i="702" s="1"/>
  <c r="BY67" i="861"/>
  <c r="BN96" i="702" s="1"/>
  <c r="BW68" i="861"/>
  <c r="BL99" i="702" s="1"/>
  <c r="BX68" i="861"/>
  <c r="BM99" i="702" s="1"/>
  <c r="BY68" i="861"/>
  <c r="BN99" i="702" s="1"/>
  <c r="BW69" i="861"/>
  <c r="BL100" i="702" s="1"/>
  <c r="BX69" i="861"/>
  <c r="BM100" i="702" s="1"/>
  <c r="BY69" i="861"/>
  <c r="BN100" i="702" s="1"/>
  <c r="BW70" i="861"/>
  <c r="BL101" i="702" s="1"/>
  <c r="BX70" i="861"/>
  <c r="BM101" i="702" s="1"/>
  <c r="BY70" i="861"/>
  <c r="BN101" i="702" s="1"/>
  <c r="BW71" i="861"/>
  <c r="BL102" i="702" s="1"/>
  <c r="BX71" i="861"/>
  <c r="BM102" i="702" s="1"/>
  <c r="BY71" i="861"/>
  <c r="BN102" i="702" s="1"/>
  <c r="BW72" i="861"/>
  <c r="BL106" i="702" s="1"/>
  <c r="BX72" i="861"/>
  <c r="BM106" i="702" s="1"/>
  <c r="BY72" i="861"/>
  <c r="BN106" i="702" s="1"/>
  <c r="BW73" i="861"/>
  <c r="BL105" i="702" s="1"/>
  <c r="BX73" i="861"/>
  <c r="BM105" i="702" s="1"/>
  <c r="BY73" i="861"/>
  <c r="BN105" i="702" s="1"/>
  <c r="BW74" i="861"/>
  <c r="BL95" i="702" s="1"/>
  <c r="BX74" i="861"/>
  <c r="BM95" i="702" s="1"/>
  <c r="BY74" i="861"/>
  <c r="BN95" i="702" s="1"/>
  <c r="BW75" i="861"/>
  <c r="BL103" i="702" s="1"/>
  <c r="BX75" i="861"/>
  <c r="BM103" i="702" s="1"/>
  <c r="BY75" i="861"/>
  <c r="BN103" i="702" s="1"/>
  <c r="BW76" i="861"/>
  <c r="BL104" i="702" s="1"/>
  <c r="BX76" i="861"/>
  <c r="BM104" i="702" s="1"/>
  <c r="BY76" i="861"/>
  <c r="BN104" i="702" s="1"/>
  <c r="BW77" i="861"/>
  <c r="BL71" i="702" s="1"/>
  <c r="BX77" i="861"/>
  <c r="BM71" i="702" s="1"/>
  <c r="BY77" i="861"/>
  <c r="BN71" i="702" s="1"/>
  <c r="BW78" i="861"/>
  <c r="BL73" i="702" s="1"/>
  <c r="BX78" i="861"/>
  <c r="BM73" i="702" s="1"/>
  <c r="BY78" i="861"/>
  <c r="BN73" i="702" s="1"/>
  <c r="BW79" i="861"/>
  <c r="BL80" i="702" s="1"/>
  <c r="BX79" i="861"/>
  <c r="BM80" i="702" s="1"/>
  <c r="BY79" i="861"/>
  <c r="BN80" i="702" s="1"/>
  <c r="BW80" i="861"/>
  <c r="BL81" i="702" s="1"/>
  <c r="BX80" i="861"/>
  <c r="BM81" i="702" s="1"/>
  <c r="BY80" i="861"/>
  <c r="BN81" i="702" s="1"/>
  <c r="BW81" i="861"/>
  <c r="BL72" i="702" s="1"/>
  <c r="BX81" i="861"/>
  <c r="BM72" i="702" s="1"/>
  <c r="BY81" i="861"/>
  <c r="BN72" i="702" s="1"/>
  <c r="BW82" i="861"/>
  <c r="BL74" i="702" s="1"/>
  <c r="BX82" i="861"/>
  <c r="BM74" i="702" s="1"/>
  <c r="BY82" i="861"/>
  <c r="BN74" i="702" s="1"/>
  <c r="BW83" i="861"/>
  <c r="BL60" i="702" s="1"/>
  <c r="BX83" i="861"/>
  <c r="BM60" i="702" s="1"/>
  <c r="BY83" i="861"/>
  <c r="BN60" i="702" s="1"/>
  <c r="BW84" i="861"/>
  <c r="BL61" i="702" s="1"/>
  <c r="BX84" i="861"/>
  <c r="BM61" i="702" s="1"/>
  <c r="BY84" i="861"/>
  <c r="BN61" i="702" s="1"/>
  <c r="BW85" i="861"/>
  <c r="BL62" i="702" s="1"/>
  <c r="BX85" i="861"/>
  <c r="BM62" i="702" s="1"/>
  <c r="BY85" i="861"/>
  <c r="BN62" i="702" s="1"/>
  <c r="BW86" i="861"/>
  <c r="BL63" i="702" s="1"/>
  <c r="BX86" i="861"/>
  <c r="BM63" i="702" s="1"/>
  <c r="BY86" i="861"/>
  <c r="BN63" i="702" s="1"/>
  <c r="BW87" i="861"/>
  <c r="BL64" i="702" s="1"/>
  <c r="BX87" i="861"/>
  <c r="BM64" i="702" s="1"/>
  <c r="BY87" i="861"/>
  <c r="BN64" i="702" s="1"/>
  <c r="BW88" i="861"/>
  <c r="BL65" i="702" s="1"/>
  <c r="BX88" i="861"/>
  <c r="BM65" i="702" s="1"/>
  <c r="BY88" i="861"/>
  <c r="BN65" i="702" s="1"/>
  <c r="BW89" i="861"/>
  <c r="BL66" i="702" s="1"/>
  <c r="BX89" i="861"/>
  <c r="BM66" i="702" s="1"/>
  <c r="BY89" i="861"/>
  <c r="BN66" i="702" s="1"/>
  <c r="BW90" i="861"/>
  <c r="BL67" i="702" s="1"/>
  <c r="BX90" i="861"/>
  <c r="BM67" i="702" s="1"/>
  <c r="BY90" i="861"/>
  <c r="BN67" i="702" s="1"/>
  <c r="BW91" i="861"/>
  <c r="BL107" i="702" s="1"/>
  <c r="BX91" i="861"/>
  <c r="BM107" i="702" s="1"/>
  <c r="BY91" i="861"/>
  <c r="BN107" i="702" s="1"/>
  <c r="BW92" i="861"/>
  <c r="BL108" i="702" s="1"/>
  <c r="BX92" i="861"/>
  <c r="BM108" i="702" s="1"/>
  <c r="BY92" i="861"/>
  <c r="BN108" i="702" s="1"/>
  <c r="BW93" i="861"/>
  <c r="BL109" i="702" s="1"/>
  <c r="BX93" i="861"/>
  <c r="BM109" i="702" s="1"/>
  <c r="BY93" i="861"/>
  <c r="BN109" i="702" s="1"/>
  <c r="BW94" i="861"/>
  <c r="BL110" i="702" s="1"/>
  <c r="BX94" i="861"/>
  <c r="BM110" i="702" s="1"/>
  <c r="BY94" i="861"/>
  <c r="BN110" i="702" s="1"/>
  <c r="BW95" i="861"/>
  <c r="BL111" i="702" s="1"/>
  <c r="BX95" i="861"/>
  <c r="BM111" i="702" s="1"/>
  <c r="BY95" i="861"/>
  <c r="BN111" i="702" s="1"/>
  <c r="BW96" i="861"/>
  <c r="BL44" i="702" s="1"/>
  <c r="BX96" i="861"/>
  <c r="BM44" i="702" s="1"/>
  <c r="BY96" i="861"/>
  <c r="BN44" i="702" s="1"/>
  <c r="BW97" i="861"/>
  <c r="BL43" i="702" s="1"/>
  <c r="BX97" i="861"/>
  <c r="BM43" i="702" s="1"/>
  <c r="BY97" i="861"/>
  <c r="BN43" i="702" s="1"/>
  <c r="BW98" i="861"/>
  <c r="BL45" i="702" s="1"/>
  <c r="BX98" i="861"/>
  <c r="BM45" i="702" s="1"/>
  <c r="BY98" i="861"/>
  <c r="BN45" i="702" s="1"/>
  <c r="BW99" i="861"/>
  <c r="BX99" i="861"/>
  <c r="BY99" i="861"/>
  <c r="BW100" i="861"/>
  <c r="BL51" i="702" s="1"/>
  <c r="BX100" i="861"/>
  <c r="BM51" i="702" s="1"/>
  <c r="BY100" i="861"/>
  <c r="BN51" i="702" s="1"/>
  <c r="BW101" i="861"/>
  <c r="BL39" i="702" s="1"/>
  <c r="BX101" i="861"/>
  <c r="BM39" i="702" s="1"/>
  <c r="BY101" i="861"/>
  <c r="BN39" i="702" s="1"/>
  <c r="BW102" i="861"/>
  <c r="BL49" i="702" s="1"/>
  <c r="BX102" i="861"/>
  <c r="BM49" i="702" s="1"/>
  <c r="BY102" i="861"/>
  <c r="BN49" i="702" s="1"/>
  <c r="BW103" i="861"/>
  <c r="BL50" i="702" s="1"/>
  <c r="BX103" i="861"/>
  <c r="BM50" i="702" s="1"/>
  <c r="BY103" i="861"/>
  <c r="BN50" i="702" s="1"/>
  <c r="BW104" i="861"/>
  <c r="BL41" i="702" s="1"/>
  <c r="BX104" i="861"/>
  <c r="BM41" i="702" s="1"/>
  <c r="BY104" i="861"/>
  <c r="BN41" i="702" s="1"/>
  <c r="BW105" i="861"/>
  <c r="BL46" i="702" s="1"/>
  <c r="BX105" i="861"/>
  <c r="BM46" i="702" s="1"/>
  <c r="BY105" i="861"/>
  <c r="BN46" i="702" s="1"/>
  <c r="BW106" i="861"/>
  <c r="BL27" i="702" s="1"/>
  <c r="BX106" i="861"/>
  <c r="BM27" i="702" s="1"/>
  <c r="BY106" i="861"/>
  <c r="BN27" i="702" s="1"/>
  <c r="BW107" i="861"/>
  <c r="BL26" i="702" s="1"/>
  <c r="BX107" i="861"/>
  <c r="BM26" i="702" s="1"/>
  <c r="BY107" i="861"/>
  <c r="BN26" i="702" s="1"/>
  <c r="BW108" i="861"/>
  <c r="BL11" i="702" s="1"/>
  <c r="BX108" i="861"/>
  <c r="BM11" i="702" s="1"/>
  <c r="BY108" i="861"/>
  <c r="BN11" i="702" s="1"/>
  <c r="BW109" i="861"/>
  <c r="BL52" i="702" s="1"/>
  <c r="BX109" i="861"/>
  <c r="BM52" i="702" s="1"/>
  <c r="BY109" i="861"/>
  <c r="BN52" i="702" s="1"/>
  <c r="BW110" i="861"/>
  <c r="BL53" i="702" s="1"/>
  <c r="BX110" i="861"/>
  <c r="BM53" i="702" s="1"/>
  <c r="BY110" i="861"/>
  <c r="BN53" i="702" s="1"/>
  <c r="BW111" i="861"/>
  <c r="BL69" i="702" s="1"/>
  <c r="BX111" i="861"/>
  <c r="BM69" i="702" s="1"/>
  <c r="BY111" i="861"/>
  <c r="BN69" i="702" s="1"/>
  <c r="BW112" i="861"/>
  <c r="BL32" i="702" s="1"/>
  <c r="BX112" i="861"/>
  <c r="BM32" i="702" s="1"/>
  <c r="BY112" i="861"/>
  <c r="BN32" i="702" s="1"/>
  <c r="BW113" i="861"/>
  <c r="BL5" i="702" s="1"/>
  <c r="BX113" i="861"/>
  <c r="BM5" i="702" s="1"/>
  <c r="BY113" i="861"/>
  <c r="BW114" i="861"/>
  <c r="BL7" i="702" s="1"/>
  <c r="BX114" i="861"/>
  <c r="BM7" i="702" s="1"/>
  <c r="BY114" i="861"/>
  <c r="BN7" i="702" s="1"/>
  <c r="BW115" i="861"/>
  <c r="BL18" i="702" s="1"/>
  <c r="BX115" i="861"/>
  <c r="BM18" i="702" s="1"/>
  <c r="BY115" i="861"/>
  <c r="BN18" i="702" s="1"/>
  <c r="BW116" i="861"/>
  <c r="BL13" i="702" s="1"/>
  <c r="BX116" i="861"/>
  <c r="BM13" i="702" s="1"/>
  <c r="BY116" i="861"/>
  <c r="BN13" i="702" s="1"/>
  <c r="BW117" i="861"/>
  <c r="BL14" i="702" s="1"/>
  <c r="BX117" i="861"/>
  <c r="BM14" i="702" s="1"/>
  <c r="BY117" i="861"/>
  <c r="BN14" i="702" s="1"/>
  <c r="BW118" i="861"/>
  <c r="BL20" i="702" s="1"/>
  <c r="BX118" i="861"/>
  <c r="BM20" i="702" s="1"/>
  <c r="BY118" i="861"/>
  <c r="BW119" i="861"/>
  <c r="BL30" i="702" s="1"/>
  <c r="BX119" i="861"/>
  <c r="BM30" i="702" s="1"/>
  <c r="BY119" i="861"/>
  <c r="BN30" i="702" s="1"/>
  <c r="BW120" i="861"/>
  <c r="BL31" i="702" s="1"/>
  <c r="BX120" i="861"/>
  <c r="BM31" i="702" s="1"/>
  <c r="BY120" i="861"/>
  <c r="BN31" i="702" s="1"/>
  <c r="BW121" i="861"/>
  <c r="BL48" i="702" s="1"/>
  <c r="BX121" i="861"/>
  <c r="BM48" i="702" s="1"/>
  <c r="BY121" i="861"/>
  <c r="BN48" i="702" s="1"/>
  <c r="BW122" i="861"/>
  <c r="BL47" i="702" s="1"/>
  <c r="BX122" i="861"/>
  <c r="BM47" i="702" s="1"/>
  <c r="BY122" i="861"/>
  <c r="BN47" i="702" s="1"/>
  <c r="BW123" i="861"/>
  <c r="BL70" i="702" s="1"/>
  <c r="BX123" i="861"/>
  <c r="BM70" i="702" s="1"/>
  <c r="BY123" i="861"/>
  <c r="BN70" i="702" s="1"/>
  <c r="BW124" i="861"/>
  <c r="BL6" i="702" s="1"/>
  <c r="BX124" i="861"/>
  <c r="BM6" i="702" s="1"/>
  <c r="BY124" i="861"/>
  <c r="BN6" i="702" s="1"/>
  <c r="BW125" i="861"/>
  <c r="BL15" i="702" s="1"/>
  <c r="BX125" i="861"/>
  <c r="BM15" i="702" s="1"/>
  <c r="BY125" i="861"/>
  <c r="BN15" i="702" s="1"/>
  <c r="BW126" i="861"/>
  <c r="BL16" i="702" s="1"/>
  <c r="BX126" i="861"/>
  <c r="BM16" i="702" s="1"/>
  <c r="BY126" i="861"/>
  <c r="BN16" i="702" s="1"/>
  <c r="BW127" i="861"/>
  <c r="BL17" i="702" s="1"/>
  <c r="BX127" i="861"/>
  <c r="BM17" i="702" s="1"/>
  <c r="BY127" i="861"/>
  <c r="BN17" i="702" s="1"/>
  <c r="BW128" i="861"/>
  <c r="BL35" i="702" s="1"/>
  <c r="BX128" i="861"/>
  <c r="BM35" i="702" s="1"/>
  <c r="BY128" i="861"/>
  <c r="BN35" i="702" s="1"/>
  <c r="BW129" i="861"/>
  <c r="BL28" i="702" s="1"/>
  <c r="BX129" i="861"/>
  <c r="BM28" i="702" s="1"/>
  <c r="BY129" i="861"/>
  <c r="BN28" i="702" s="1"/>
  <c r="BW130" i="861"/>
  <c r="BL19" i="702" s="1"/>
  <c r="BX130" i="861"/>
  <c r="BM19" i="702" s="1"/>
  <c r="BY130" i="861"/>
  <c r="BN19" i="702" s="1"/>
  <c r="BW131" i="861"/>
  <c r="BL29" i="702" s="1"/>
  <c r="BX131" i="861"/>
  <c r="BM29" i="702" s="1"/>
  <c r="BY131" i="861"/>
  <c r="BN29" i="702" s="1"/>
  <c r="BY3" i="861"/>
  <c r="BN112" i="702" s="1"/>
  <c r="BX3" i="861"/>
  <c r="BM112" i="702" s="1"/>
  <c r="BW3" i="861"/>
  <c r="BL112" i="702" s="1"/>
  <c r="BV3" i="861"/>
  <c r="BK112" i="702" s="1"/>
  <c r="BK4" i="861"/>
  <c r="AZ113" i="702" s="1"/>
  <c r="BL4" i="861"/>
  <c r="BA113" i="702" s="1"/>
  <c r="BM4" i="861"/>
  <c r="BB113" i="702" s="1"/>
  <c r="BK5" i="861"/>
  <c r="AZ114" i="702" s="1"/>
  <c r="BL5" i="861"/>
  <c r="BA114" i="702" s="1"/>
  <c r="BM5" i="861"/>
  <c r="BB114" i="702" s="1"/>
  <c r="BK6" i="861"/>
  <c r="AZ115" i="702" s="1"/>
  <c r="BL6" i="861"/>
  <c r="BA115" i="702" s="1"/>
  <c r="BM6" i="861"/>
  <c r="BB115" i="702" s="1"/>
  <c r="BK7" i="861"/>
  <c r="AZ24" i="702" s="1"/>
  <c r="BL7" i="861"/>
  <c r="BA24" i="702" s="1"/>
  <c r="BM7" i="861"/>
  <c r="BK8" i="861"/>
  <c r="AZ25" i="702" s="1"/>
  <c r="BL8" i="861"/>
  <c r="BA25" i="702" s="1"/>
  <c r="BM8" i="861"/>
  <c r="BB25" i="702" s="1"/>
  <c r="BK9" i="861"/>
  <c r="AZ42" i="702" s="1"/>
  <c r="BL9" i="861"/>
  <c r="BA42" i="702" s="1"/>
  <c r="BM9" i="861"/>
  <c r="BB42" i="702" s="1"/>
  <c r="BK10" i="861"/>
  <c r="AZ9" i="702" s="1"/>
  <c r="BL10" i="861"/>
  <c r="BA9" i="702" s="1"/>
  <c r="BM10" i="861"/>
  <c r="BB9" i="702" s="1"/>
  <c r="BK11" i="861"/>
  <c r="AZ54" i="702" s="1"/>
  <c r="BL11" i="861"/>
  <c r="BA54" i="702" s="1"/>
  <c r="BM11" i="861"/>
  <c r="BB54" i="702" s="1"/>
  <c r="BK12" i="861"/>
  <c r="AZ10" i="702" s="1"/>
  <c r="BL12" i="861"/>
  <c r="BA10" i="702" s="1"/>
  <c r="BM12" i="861"/>
  <c r="BB10" i="702" s="1"/>
  <c r="BK13" i="861"/>
  <c r="AZ21" i="702" s="1"/>
  <c r="BL13" i="861"/>
  <c r="BA21" i="702" s="1"/>
  <c r="BM13" i="861"/>
  <c r="BB21" i="702" s="1"/>
  <c r="BK14" i="861"/>
  <c r="AZ117" i="702" s="1"/>
  <c r="BL14" i="861"/>
  <c r="BA117" i="702" s="1"/>
  <c r="BM14" i="861"/>
  <c r="BB117" i="702" s="1"/>
  <c r="BK15" i="861"/>
  <c r="AZ118" i="702" s="1"/>
  <c r="BL15" i="861"/>
  <c r="BA118" i="702" s="1"/>
  <c r="BM15" i="861"/>
  <c r="BB118" i="702" s="1"/>
  <c r="BK16" i="861"/>
  <c r="AZ121" i="702" s="1"/>
  <c r="BL16" i="861"/>
  <c r="BA121" i="702" s="1"/>
  <c r="BM16" i="861"/>
  <c r="BB121" i="702" s="1"/>
  <c r="BK17" i="861"/>
  <c r="AZ122" i="702" s="1"/>
  <c r="BL17" i="861"/>
  <c r="BA122" i="702" s="1"/>
  <c r="BM17" i="861"/>
  <c r="BB122" i="702" s="1"/>
  <c r="BK18" i="861"/>
  <c r="AZ119" i="702" s="1"/>
  <c r="BL18" i="861"/>
  <c r="BA119" i="702" s="1"/>
  <c r="BM18" i="861"/>
  <c r="BB119" i="702" s="1"/>
  <c r="BK19" i="861"/>
  <c r="AZ120" i="702" s="1"/>
  <c r="BL19" i="861"/>
  <c r="BA120" i="702" s="1"/>
  <c r="BM19" i="861"/>
  <c r="BB120" i="702" s="1"/>
  <c r="BK20" i="861"/>
  <c r="AZ22" i="702" s="1"/>
  <c r="BL20" i="861"/>
  <c r="BA22" i="702" s="1"/>
  <c r="BM20" i="861"/>
  <c r="BB22" i="702" s="1"/>
  <c r="BK21" i="861"/>
  <c r="AZ36" i="702" s="1"/>
  <c r="BL21" i="861"/>
  <c r="BA36" i="702" s="1"/>
  <c r="BM21" i="861"/>
  <c r="BB36" i="702" s="1"/>
  <c r="BK22" i="861"/>
  <c r="AZ37" i="702" s="1"/>
  <c r="BL22" i="861"/>
  <c r="BA37" i="702" s="1"/>
  <c r="BM22" i="861"/>
  <c r="BB37" i="702" s="1"/>
  <c r="BK23" i="861"/>
  <c r="AZ38" i="702" s="1"/>
  <c r="BL23" i="861"/>
  <c r="BA38" i="702" s="1"/>
  <c r="BM23" i="861"/>
  <c r="BB38" i="702" s="1"/>
  <c r="BK24" i="861"/>
  <c r="AZ97" i="702" s="1"/>
  <c r="BL24" i="861"/>
  <c r="BA97" i="702" s="1"/>
  <c r="BM24" i="861"/>
  <c r="BB97" i="702" s="1"/>
  <c r="BK25" i="861"/>
  <c r="AZ98" i="702" s="1"/>
  <c r="BL25" i="861"/>
  <c r="BA98" i="702" s="1"/>
  <c r="BM25" i="861"/>
  <c r="BB98" i="702" s="1"/>
  <c r="BK26" i="861"/>
  <c r="AZ68" i="702" s="1"/>
  <c r="BL26" i="861"/>
  <c r="BA68" i="702" s="1"/>
  <c r="BM26" i="861"/>
  <c r="BB68" i="702" s="1"/>
  <c r="BK27" i="861"/>
  <c r="AZ8" i="702" s="1"/>
  <c r="BL27" i="861"/>
  <c r="BA8" i="702" s="1"/>
  <c r="BM27" i="861"/>
  <c r="BB8" i="702" s="1"/>
  <c r="BK28" i="861"/>
  <c r="AZ33" i="702" s="1"/>
  <c r="BL28" i="861"/>
  <c r="BA33" i="702" s="1"/>
  <c r="BM28" i="861"/>
  <c r="BB33" i="702" s="1"/>
  <c r="BK29" i="861"/>
  <c r="AZ34" i="702" s="1"/>
  <c r="BL29" i="861"/>
  <c r="BA34" i="702" s="1"/>
  <c r="BM29" i="861"/>
  <c r="BB34" i="702" s="1"/>
  <c r="BK30" i="861"/>
  <c r="AZ58" i="702" s="1"/>
  <c r="BL30" i="861"/>
  <c r="BA58" i="702" s="1"/>
  <c r="BM30" i="861"/>
  <c r="BB58" i="702" s="1"/>
  <c r="BK31" i="861"/>
  <c r="AZ23" i="702" s="1"/>
  <c r="BL31" i="861"/>
  <c r="BA23" i="702" s="1"/>
  <c r="BM31" i="861"/>
  <c r="BB23" i="702" s="1"/>
  <c r="BK32" i="861"/>
  <c r="AZ59" i="702" s="1"/>
  <c r="BL32" i="861"/>
  <c r="BA59" i="702" s="1"/>
  <c r="BM32" i="861"/>
  <c r="BB59" i="702" s="1"/>
  <c r="BK33" i="861"/>
  <c r="AZ55" i="702" s="1"/>
  <c r="BL33" i="861"/>
  <c r="BA55" i="702" s="1"/>
  <c r="BM33" i="861"/>
  <c r="BB55" i="702" s="1"/>
  <c r="BK34" i="861"/>
  <c r="AZ56" i="702" s="1"/>
  <c r="BL34" i="861"/>
  <c r="BA56" i="702" s="1"/>
  <c r="BM34" i="861"/>
  <c r="BB56" i="702" s="1"/>
  <c r="BK35" i="861"/>
  <c r="AZ76" i="702" s="1"/>
  <c r="BL35" i="861"/>
  <c r="BA76" i="702" s="1"/>
  <c r="BM35" i="861"/>
  <c r="BB76" i="702" s="1"/>
  <c r="BK36" i="861"/>
  <c r="AZ75" i="702" s="1"/>
  <c r="BL36" i="861"/>
  <c r="BA75" i="702" s="1"/>
  <c r="BM36" i="861"/>
  <c r="BB75" i="702" s="1"/>
  <c r="BK37" i="861"/>
  <c r="AZ12" i="702" s="1"/>
  <c r="BL37" i="861"/>
  <c r="BA12" i="702" s="1"/>
  <c r="BM37" i="861"/>
  <c r="BB12" i="702" s="1"/>
  <c r="BK38" i="861"/>
  <c r="AZ85" i="702" s="1"/>
  <c r="BL38" i="861"/>
  <c r="BA85" i="702" s="1"/>
  <c r="BM38" i="861"/>
  <c r="BB85" i="702" s="1"/>
  <c r="BK39" i="861"/>
  <c r="AZ93" i="702" s="1"/>
  <c r="BL39" i="861"/>
  <c r="BA93" i="702" s="1"/>
  <c r="BM39" i="861"/>
  <c r="BB93" i="702" s="1"/>
  <c r="BK40" i="861"/>
  <c r="AZ92" i="702" s="1"/>
  <c r="BL40" i="861"/>
  <c r="BA92" i="702" s="1"/>
  <c r="BM40" i="861"/>
  <c r="BB92" i="702" s="1"/>
  <c r="BK41" i="861"/>
  <c r="AZ86" i="702" s="1"/>
  <c r="BL41" i="861"/>
  <c r="BA86" i="702" s="1"/>
  <c r="BM41" i="861"/>
  <c r="BB86" i="702" s="1"/>
  <c r="BK42" i="861"/>
  <c r="AZ87" i="702" s="1"/>
  <c r="BL42" i="861"/>
  <c r="BA87" i="702" s="1"/>
  <c r="BM42" i="861"/>
  <c r="BB87" i="702" s="1"/>
  <c r="BK43" i="861"/>
  <c r="AZ94" i="702" s="1"/>
  <c r="BL43" i="861"/>
  <c r="BA94" i="702" s="1"/>
  <c r="BM43" i="861"/>
  <c r="BB94" i="702" s="1"/>
  <c r="BK44" i="861"/>
  <c r="AZ82" i="702" s="1"/>
  <c r="BL44" i="861"/>
  <c r="BA82" i="702" s="1"/>
  <c r="BM44" i="861"/>
  <c r="BB82" i="702" s="1"/>
  <c r="BK45" i="861"/>
  <c r="AZ83" i="702" s="1"/>
  <c r="BL45" i="861"/>
  <c r="BA83" i="702" s="1"/>
  <c r="BM45" i="861"/>
  <c r="BB83" i="702" s="1"/>
  <c r="BK46" i="861"/>
  <c r="AZ84" i="702" s="1"/>
  <c r="BL46" i="861"/>
  <c r="BA84" i="702" s="1"/>
  <c r="BM46" i="861"/>
  <c r="BB84" i="702" s="1"/>
  <c r="BK47" i="861"/>
  <c r="AZ77" i="702" s="1"/>
  <c r="BL47" i="861"/>
  <c r="BA77" i="702" s="1"/>
  <c r="BM47" i="861"/>
  <c r="BB77" i="702" s="1"/>
  <c r="BK48" i="861"/>
  <c r="AZ79" i="702" s="1"/>
  <c r="BL48" i="861"/>
  <c r="BA79" i="702" s="1"/>
  <c r="BM48" i="861"/>
  <c r="BB79" i="702" s="1"/>
  <c r="BK49" i="861"/>
  <c r="AZ126" i="702" s="1"/>
  <c r="BL49" i="861"/>
  <c r="BA126" i="702" s="1"/>
  <c r="BM49" i="861"/>
  <c r="BB126" i="702" s="1"/>
  <c r="BK50" i="861"/>
  <c r="AZ127" i="702" s="1"/>
  <c r="BL50" i="861"/>
  <c r="BA127" i="702" s="1"/>
  <c r="BM50" i="861"/>
  <c r="BB127" i="702" s="1"/>
  <c r="BK51" i="861"/>
  <c r="AZ123" i="702" s="1"/>
  <c r="BL51" i="861"/>
  <c r="BA123" i="702" s="1"/>
  <c r="BM51" i="861"/>
  <c r="BB123" i="702" s="1"/>
  <c r="BK52" i="861"/>
  <c r="AZ124" i="702" s="1"/>
  <c r="BL52" i="861"/>
  <c r="BA124" i="702" s="1"/>
  <c r="BM52" i="861"/>
  <c r="BB124" i="702" s="1"/>
  <c r="BK53" i="861"/>
  <c r="AZ116" i="702" s="1"/>
  <c r="BL53" i="861"/>
  <c r="BA116" i="702" s="1"/>
  <c r="BM53" i="861"/>
  <c r="BB116" i="702" s="1"/>
  <c r="BK54" i="861"/>
  <c r="AZ90" i="702" s="1"/>
  <c r="BL54" i="861"/>
  <c r="BA90" i="702" s="1"/>
  <c r="BM54" i="861"/>
  <c r="BB90" i="702" s="1"/>
  <c r="BK55" i="861"/>
  <c r="AZ125" i="702" s="1"/>
  <c r="BL55" i="861"/>
  <c r="BA125" i="702" s="1"/>
  <c r="BM55" i="861"/>
  <c r="BB125" i="702" s="1"/>
  <c r="BK56" i="861"/>
  <c r="AZ88" i="702" s="1"/>
  <c r="BL56" i="861"/>
  <c r="BA88" i="702" s="1"/>
  <c r="BM56" i="861"/>
  <c r="BB88" i="702" s="1"/>
  <c r="BK57" i="861"/>
  <c r="AZ78" i="702" s="1"/>
  <c r="BL57" i="861"/>
  <c r="BA78" i="702" s="1"/>
  <c r="BM57" i="861"/>
  <c r="BB78" i="702" s="1"/>
  <c r="BK58" i="861"/>
  <c r="AZ91" i="702" s="1"/>
  <c r="BL58" i="861"/>
  <c r="BA91" i="702" s="1"/>
  <c r="BM58" i="861"/>
  <c r="BB91" i="702" s="1"/>
  <c r="BK59" i="861"/>
  <c r="AZ89" i="702" s="1"/>
  <c r="BL59" i="861"/>
  <c r="BA89" i="702" s="1"/>
  <c r="BM59" i="861"/>
  <c r="BB89" i="702" s="1"/>
  <c r="BK60" i="861"/>
  <c r="AZ128" i="702" s="1"/>
  <c r="BL60" i="861"/>
  <c r="BA128" i="702" s="1"/>
  <c r="BM60" i="861"/>
  <c r="BB128" i="702" s="1"/>
  <c r="BK61" i="861"/>
  <c r="AZ129" i="702" s="1"/>
  <c r="BL61" i="861"/>
  <c r="BA129" i="702" s="1"/>
  <c r="BM61" i="861"/>
  <c r="BB129" i="702" s="1"/>
  <c r="BK62" i="861"/>
  <c r="AZ57" i="702" s="1"/>
  <c r="BL62" i="861"/>
  <c r="BA57" i="702" s="1"/>
  <c r="BM62" i="861"/>
  <c r="BB57" i="702" s="1"/>
  <c r="BK63" i="861"/>
  <c r="AZ130" i="702" s="1"/>
  <c r="BL63" i="861"/>
  <c r="BA130" i="702" s="1"/>
  <c r="BM63" i="861"/>
  <c r="BB130" i="702" s="1"/>
  <c r="BK64" i="861"/>
  <c r="AZ133" i="702" s="1"/>
  <c r="BL64" i="861"/>
  <c r="BA133" i="702" s="1"/>
  <c r="BM64" i="861"/>
  <c r="BB133" i="702" s="1"/>
  <c r="BK65" i="861"/>
  <c r="AZ131" i="702" s="1"/>
  <c r="BL65" i="861"/>
  <c r="BA131" i="702" s="1"/>
  <c r="BM65" i="861"/>
  <c r="BB131" i="702" s="1"/>
  <c r="BK66" i="861"/>
  <c r="AZ132" i="702" s="1"/>
  <c r="BL66" i="861"/>
  <c r="BA132" i="702" s="1"/>
  <c r="BM66" i="861"/>
  <c r="BB132" i="702" s="1"/>
  <c r="BK67" i="861"/>
  <c r="AZ96" i="702" s="1"/>
  <c r="BL67" i="861"/>
  <c r="BA96" i="702" s="1"/>
  <c r="BM67" i="861"/>
  <c r="BB96" i="702" s="1"/>
  <c r="BK68" i="861"/>
  <c r="AZ99" i="702" s="1"/>
  <c r="BL68" i="861"/>
  <c r="BA99" i="702" s="1"/>
  <c r="BM68" i="861"/>
  <c r="BB99" i="702" s="1"/>
  <c r="BK69" i="861"/>
  <c r="AZ100" i="702" s="1"/>
  <c r="BL69" i="861"/>
  <c r="BA100" i="702" s="1"/>
  <c r="BM69" i="861"/>
  <c r="BB100" i="702" s="1"/>
  <c r="BK70" i="861"/>
  <c r="AZ101" i="702" s="1"/>
  <c r="BL70" i="861"/>
  <c r="BA101" i="702" s="1"/>
  <c r="BM70" i="861"/>
  <c r="BB101" i="702" s="1"/>
  <c r="BK71" i="861"/>
  <c r="AZ102" i="702" s="1"/>
  <c r="BL71" i="861"/>
  <c r="BA102" i="702" s="1"/>
  <c r="BM71" i="861"/>
  <c r="BB102" i="702" s="1"/>
  <c r="BK72" i="861"/>
  <c r="AZ106" i="702" s="1"/>
  <c r="BL72" i="861"/>
  <c r="BA106" i="702" s="1"/>
  <c r="BM72" i="861"/>
  <c r="BB106" i="702" s="1"/>
  <c r="BK73" i="861"/>
  <c r="AZ105" i="702" s="1"/>
  <c r="BL73" i="861"/>
  <c r="BA105" i="702" s="1"/>
  <c r="BM73" i="861"/>
  <c r="BB105" i="702" s="1"/>
  <c r="BK74" i="861"/>
  <c r="AZ95" i="702" s="1"/>
  <c r="BL74" i="861"/>
  <c r="BA95" i="702" s="1"/>
  <c r="BM74" i="861"/>
  <c r="BB95" i="702" s="1"/>
  <c r="BK75" i="861"/>
  <c r="AZ103" i="702" s="1"/>
  <c r="BL75" i="861"/>
  <c r="BA103" i="702" s="1"/>
  <c r="BM75" i="861"/>
  <c r="BB103" i="702" s="1"/>
  <c r="BK76" i="861"/>
  <c r="AZ104" i="702" s="1"/>
  <c r="BL76" i="861"/>
  <c r="BA104" i="702" s="1"/>
  <c r="BM76" i="861"/>
  <c r="BB104" i="702" s="1"/>
  <c r="BK77" i="861"/>
  <c r="AZ71" i="702" s="1"/>
  <c r="BL77" i="861"/>
  <c r="BA71" i="702" s="1"/>
  <c r="BM77" i="861"/>
  <c r="BB71" i="702" s="1"/>
  <c r="BK78" i="861"/>
  <c r="AZ73" i="702" s="1"/>
  <c r="BL78" i="861"/>
  <c r="BA73" i="702" s="1"/>
  <c r="BM78" i="861"/>
  <c r="BB73" i="702" s="1"/>
  <c r="BK79" i="861"/>
  <c r="AZ80" i="702" s="1"/>
  <c r="BL79" i="861"/>
  <c r="BA80" i="702" s="1"/>
  <c r="BM79" i="861"/>
  <c r="BB80" i="702" s="1"/>
  <c r="BK80" i="861"/>
  <c r="AZ81" i="702" s="1"/>
  <c r="BL80" i="861"/>
  <c r="BA81" i="702" s="1"/>
  <c r="BM80" i="861"/>
  <c r="BB81" i="702" s="1"/>
  <c r="BK81" i="861"/>
  <c r="AZ72" i="702" s="1"/>
  <c r="BL81" i="861"/>
  <c r="BA72" i="702" s="1"/>
  <c r="BM81" i="861"/>
  <c r="BB72" i="702" s="1"/>
  <c r="BK82" i="861"/>
  <c r="AZ74" i="702" s="1"/>
  <c r="BL82" i="861"/>
  <c r="BA74" i="702" s="1"/>
  <c r="BM82" i="861"/>
  <c r="BB74" i="702" s="1"/>
  <c r="BK83" i="861"/>
  <c r="AZ60" i="702" s="1"/>
  <c r="BL83" i="861"/>
  <c r="BA60" i="702" s="1"/>
  <c r="BM83" i="861"/>
  <c r="BB60" i="702" s="1"/>
  <c r="BK84" i="861"/>
  <c r="AZ61" i="702" s="1"/>
  <c r="BL84" i="861"/>
  <c r="BA61" i="702" s="1"/>
  <c r="BM84" i="861"/>
  <c r="BB61" i="702" s="1"/>
  <c r="BK85" i="861"/>
  <c r="AZ62" i="702" s="1"/>
  <c r="BL85" i="861"/>
  <c r="BA62" i="702" s="1"/>
  <c r="BM85" i="861"/>
  <c r="BB62" i="702" s="1"/>
  <c r="BK86" i="861"/>
  <c r="AZ63" i="702" s="1"/>
  <c r="BL86" i="861"/>
  <c r="BA63" i="702" s="1"/>
  <c r="BM86" i="861"/>
  <c r="BB63" i="702" s="1"/>
  <c r="BK87" i="861"/>
  <c r="AZ64" i="702" s="1"/>
  <c r="BL87" i="861"/>
  <c r="BA64" i="702" s="1"/>
  <c r="BM87" i="861"/>
  <c r="BB64" i="702" s="1"/>
  <c r="BK88" i="861"/>
  <c r="AZ65" i="702" s="1"/>
  <c r="BL88" i="861"/>
  <c r="BA65" i="702" s="1"/>
  <c r="BM88" i="861"/>
  <c r="BB65" i="702" s="1"/>
  <c r="BK89" i="861"/>
  <c r="AZ66" i="702" s="1"/>
  <c r="BL89" i="861"/>
  <c r="BA66" i="702" s="1"/>
  <c r="BM89" i="861"/>
  <c r="BB66" i="702" s="1"/>
  <c r="BK90" i="861"/>
  <c r="AZ67" i="702" s="1"/>
  <c r="BL90" i="861"/>
  <c r="BA67" i="702" s="1"/>
  <c r="BM90" i="861"/>
  <c r="BB67" i="702" s="1"/>
  <c r="BK91" i="861"/>
  <c r="AZ107" i="702" s="1"/>
  <c r="BL91" i="861"/>
  <c r="BA107" i="702" s="1"/>
  <c r="BM91" i="861"/>
  <c r="BB107" i="702" s="1"/>
  <c r="BK92" i="861"/>
  <c r="AZ108" i="702" s="1"/>
  <c r="BL92" i="861"/>
  <c r="BA108" i="702" s="1"/>
  <c r="BM92" i="861"/>
  <c r="BB108" i="702" s="1"/>
  <c r="BK93" i="861"/>
  <c r="AZ109" i="702" s="1"/>
  <c r="BL93" i="861"/>
  <c r="BA109" i="702" s="1"/>
  <c r="BM93" i="861"/>
  <c r="BB109" i="702" s="1"/>
  <c r="BK94" i="861"/>
  <c r="AZ110" i="702" s="1"/>
  <c r="BL94" i="861"/>
  <c r="BA110" i="702" s="1"/>
  <c r="BM94" i="861"/>
  <c r="BB110" i="702" s="1"/>
  <c r="BK95" i="861"/>
  <c r="AZ111" i="702" s="1"/>
  <c r="BL95" i="861"/>
  <c r="BA111" i="702" s="1"/>
  <c r="BM95" i="861"/>
  <c r="BB111" i="702" s="1"/>
  <c r="BK96" i="861"/>
  <c r="AZ44" i="702" s="1"/>
  <c r="BL96" i="861"/>
  <c r="BA44" i="702" s="1"/>
  <c r="BM96" i="861"/>
  <c r="BB44" i="702" s="1"/>
  <c r="BK97" i="861"/>
  <c r="AZ43" i="702" s="1"/>
  <c r="BL97" i="861"/>
  <c r="BA43" i="702" s="1"/>
  <c r="BM97" i="861"/>
  <c r="BB43" i="702" s="1"/>
  <c r="BK98" i="861"/>
  <c r="AZ45" i="702" s="1"/>
  <c r="BL98" i="861"/>
  <c r="BA45" i="702" s="1"/>
  <c r="BM98" i="861"/>
  <c r="BB45" i="702" s="1"/>
  <c r="BK99" i="861"/>
  <c r="AZ40" i="702" s="1"/>
  <c r="L22" i="862" s="1"/>
  <c r="B35" i="862" s="1"/>
  <c r="BL99" i="861"/>
  <c r="BA40" i="702" s="1"/>
  <c r="M22" i="862" s="1"/>
  <c r="B36" i="862" s="1"/>
  <c r="BM99" i="861"/>
  <c r="BB40" i="702" s="1"/>
  <c r="N22" i="862" s="1"/>
  <c r="B37" i="862" s="1"/>
  <c r="BK100" i="861"/>
  <c r="AZ51" i="702" s="1"/>
  <c r="BL100" i="861"/>
  <c r="BA51" i="702" s="1"/>
  <c r="BM100" i="861"/>
  <c r="BB51" i="702" s="1"/>
  <c r="BK101" i="861"/>
  <c r="AZ39" i="702" s="1"/>
  <c r="BL101" i="861"/>
  <c r="BA39" i="702" s="1"/>
  <c r="BM101" i="861"/>
  <c r="BB39" i="702" s="1"/>
  <c r="BK102" i="861"/>
  <c r="AZ49" i="702" s="1"/>
  <c r="BL102" i="861"/>
  <c r="BA49" i="702" s="1"/>
  <c r="BM102" i="861"/>
  <c r="BB49" i="702" s="1"/>
  <c r="BK103" i="861"/>
  <c r="AZ50" i="702" s="1"/>
  <c r="BL103" i="861"/>
  <c r="BA50" i="702" s="1"/>
  <c r="BM103" i="861"/>
  <c r="BB50" i="702" s="1"/>
  <c r="BK104" i="861"/>
  <c r="AZ41" i="702" s="1"/>
  <c r="BL104" i="861"/>
  <c r="BA41" i="702" s="1"/>
  <c r="BM104" i="861"/>
  <c r="BB41" i="702" s="1"/>
  <c r="BK105" i="861"/>
  <c r="AZ46" i="702" s="1"/>
  <c r="BL105" i="861"/>
  <c r="BA46" i="702" s="1"/>
  <c r="BM105" i="861"/>
  <c r="BB46" i="702" s="1"/>
  <c r="BK106" i="861"/>
  <c r="AZ27" i="702" s="1"/>
  <c r="BL106" i="861"/>
  <c r="BA27" i="702" s="1"/>
  <c r="BM106" i="861"/>
  <c r="BB27" i="702" s="1"/>
  <c r="BK107" i="861"/>
  <c r="AZ26" i="702" s="1"/>
  <c r="BL107" i="861"/>
  <c r="BA26" i="702" s="1"/>
  <c r="BM107" i="861"/>
  <c r="BB26" i="702" s="1"/>
  <c r="BK108" i="861"/>
  <c r="AZ11" i="702" s="1"/>
  <c r="BL108" i="861"/>
  <c r="BA11" i="702" s="1"/>
  <c r="BM108" i="861"/>
  <c r="BB11" i="702" s="1"/>
  <c r="BK109" i="861"/>
  <c r="AZ52" i="702" s="1"/>
  <c r="BL109" i="861"/>
  <c r="BA52" i="702" s="1"/>
  <c r="BM109" i="861"/>
  <c r="BB52" i="702" s="1"/>
  <c r="BK110" i="861"/>
  <c r="AZ53" i="702" s="1"/>
  <c r="BL110" i="861"/>
  <c r="BA53" i="702" s="1"/>
  <c r="BM110" i="861"/>
  <c r="BB53" i="702" s="1"/>
  <c r="BK111" i="861"/>
  <c r="AZ69" i="702" s="1"/>
  <c r="BL111" i="861"/>
  <c r="BA69" i="702" s="1"/>
  <c r="BM111" i="861"/>
  <c r="BB69" i="702" s="1"/>
  <c r="BK112" i="861"/>
  <c r="AZ32" i="702" s="1"/>
  <c r="BL112" i="861"/>
  <c r="BA32" i="702" s="1"/>
  <c r="BM112" i="861"/>
  <c r="BB32" i="702" s="1"/>
  <c r="BK113" i="861"/>
  <c r="AZ5" i="702" s="1"/>
  <c r="BL113" i="861"/>
  <c r="BA5" i="702" s="1"/>
  <c r="BM113" i="861"/>
  <c r="BK114" i="861"/>
  <c r="AZ7" i="702" s="1"/>
  <c r="BL114" i="861"/>
  <c r="BA7" i="702" s="1"/>
  <c r="BM114" i="861"/>
  <c r="BB7" i="702" s="1"/>
  <c r="BK115" i="861"/>
  <c r="AZ18" i="702" s="1"/>
  <c r="BL115" i="861"/>
  <c r="BA18" i="702" s="1"/>
  <c r="BM115" i="861"/>
  <c r="BB18" i="702" s="1"/>
  <c r="BK116" i="861"/>
  <c r="AZ13" i="702" s="1"/>
  <c r="BL116" i="861"/>
  <c r="BA13" i="702" s="1"/>
  <c r="BM116" i="861"/>
  <c r="BB13" i="702" s="1"/>
  <c r="BK117" i="861"/>
  <c r="AZ14" i="702" s="1"/>
  <c r="BL117" i="861"/>
  <c r="BA14" i="702" s="1"/>
  <c r="BM117" i="861"/>
  <c r="BB14" i="702" s="1"/>
  <c r="BK118" i="861"/>
  <c r="AZ20" i="702" s="1"/>
  <c r="BL118" i="861"/>
  <c r="BA20" i="702" s="1"/>
  <c r="BM118" i="861"/>
  <c r="BK119" i="861"/>
  <c r="AZ30" i="702" s="1"/>
  <c r="BL119" i="861"/>
  <c r="BA30" i="702" s="1"/>
  <c r="BM119" i="861"/>
  <c r="BB30" i="702" s="1"/>
  <c r="BK120" i="861"/>
  <c r="AZ31" i="702" s="1"/>
  <c r="BL120" i="861"/>
  <c r="BA31" i="702" s="1"/>
  <c r="BM120" i="861"/>
  <c r="BB31" i="702" s="1"/>
  <c r="BK121" i="861"/>
  <c r="AZ48" i="702" s="1"/>
  <c r="BL121" i="861"/>
  <c r="BA48" i="702" s="1"/>
  <c r="BM121" i="861"/>
  <c r="BB48" i="702" s="1"/>
  <c r="BK122" i="861"/>
  <c r="AZ47" i="702" s="1"/>
  <c r="BL122" i="861"/>
  <c r="BA47" i="702" s="1"/>
  <c r="BM122" i="861"/>
  <c r="BB47" i="702" s="1"/>
  <c r="BK123" i="861"/>
  <c r="AZ70" i="702" s="1"/>
  <c r="BL123" i="861"/>
  <c r="BA70" i="702" s="1"/>
  <c r="BM123" i="861"/>
  <c r="BB70" i="702" s="1"/>
  <c r="BK124" i="861"/>
  <c r="AZ6" i="702" s="1"/>
  <c r="BL124" i="861"/>
  <c r="BA6" i="702" s="1"/>
  <c r="BM124" i="861"/>
  <c r="BB6" i="702" s="1"/>
  <c r="BK125" i="861"/>
  <c r="AZ15" i="702" s="1"/>
  <c r="BL125" i="861"/>
  <c r="BA15" i="702" s="1"/>
  <c r="BM125" i="861"/>
  <c r="BB15" i="702" s="1"/>
  <c r="BK126" i="861"/>
  <c r="AZ16" i="702" s="1"/>
  <c r="BL126" i="861"/>
  <c r="BA16" i="702" s="1"/>
  <c r="BM126" i="861"/>
  <c r="BB16" i="702" s="1"/>
  <c r="BK127" i="861"/>
  <c r="AZ17" i="702" s="1"/>
  <c r="BL127" i="861"/>
  <c r="BA17" i="702" s="1"/>
  <c r="BM127" i="861"/>
  <c r="BB17" i="702" s="1"/>
  <c r="BK128" i="861"/>
  <c r="AZ35" i="702" s="1"/>
  <c r="BL128" i="861"/>
  <c r="BA35" i="702" s="1"/>
  <c r="BM128" i="861"/>
  <c r="BB35" i="702" s="1"/>
  <c r="BK129" i="861"/>
  <c r="AZ28" i="702" s="1"/>
  <c r="BL129" i="861"/>
  <c r="BA28" i="702" s="1"/>
  <c r="BM129" i="861"/>
  <c r="BB28" i="702" s="1"/>
  <c r="BK130" i="861"/>
  <c r="AZ19" i="702" s="1"/>
  <c r="BL130" i="861"/>
  <c r="BA19" i="702" s="1"/>
  <c r="BM130" i="861"/>
  <c r="BB19" i="702" s="1"/>
  <c r="BK131" i="861"/>
  <c r="AZ29" i="702" s="1"/>
  <c r="BL131" i="861"/>
  <c r="BA29" i="702" s="1"/>
  <c r="BM131" i="861"/>
  <c r="BB29" i="702" s="1"/>
  <c r="BM3" i="861"/>
  <c r="BB112" i="702" s="1"/>
  <c r="BL3" i="861"/>
  <c r="BA112" i="702" s="1"/>
  <c r="BK3" i="861"/>
  <c r="AZ112" i="702" s="1"/>
  <c r="BJ3" i="861"/>
  <c r="AY112" i="702" s="1"/>
  <c r="BN40" i="702" l="1"/>
  <c r="N23" i="862" s="1"/>
  <c r="BM40" i="702"/>
  <c r="M23" i="862" s="1"/>
  <c r="BL40" i="702"/>
  <c r="L23" i="862" s="1"/>
  <c r="CG3" i="861"/>
  <c r="CJ3" i="861"/>
  <c r="CK3" i="861"/>
  <c r="CL3" i="861"/>
  <c r="CM3" i="861"/>
  <c r="CI3" i="861"/>
  <c r="CE3" i="861"/>
  <c r="CF3" i="861"/>
  <c r="CH3" i="861"/>
  <c r="K236" i="861"/>
  <c r="C12" i="769"/>
  <c r="A51" i="705"/>
  <c r="A55" i="792"/>
  <c r="BD3" i="861" l="1"/>
  <c r="AS112" i="702" s="1"/>
  <c r="BB5" i="861" l="1"/>
  <c r="AQ114" i="702" s="1"/>
  <c r="BC5" i="861"/>
  <c r="AR114" i="702" s="1"/>
  <c r="BD5" i="861"/>
  <c r="AS114" i="702" s="1"/>
  <c r="BE5" i="861"/>
  <c r="AT114" i="702" s="1"/>
  <c r="BF5" i="861"/>
  <c r="AU114" i="702" s="1"/>
  <c r="BG5" i="861"/>
  <c r="AV114" i="702" s="1"/>
  <c r="BH5" i="861"/>
  <c r="AW114" i="702" s="1"/>
  <c r="BI5" i="861"/>
  <c r="AX114" i="702" s="1"/>
  <c r="BJ5" i="861"/>
  <c r="AY114" i="702" s="1"/>
  <c r="BN5" i="861"/>
  <c r="BC114" i="702" s="1"/>
  <c r="BO5" i="861"/>
  <c r="BD114" i="702" s="1"/>
  <c r="BP5" i="861"/>
  <c r="BE114" i="702" s="1"/>
  <c r="BQ5" i="861"/>
  <c r="BF114" i="702" s="1"/>
  <c r="BR5" i="861"/>
  <c r="BG114" i="702" s="1"/>
  <c r="BS5" i="861"/>
  <c r="BH114" i="702" s="1"/>
  <c r="BT5" i="861"/>
  <c r="BI114" i="702" s="1"/>
  <c r="BU5" i="861"/>
  <c r="BJ114" i="702" s="1"/>
  <c r="BV5" i="861"/>
  <c r="BK114" i="702" s="1"/>
  <c r="BB6" i="861"/>
  <c r="AQ115" i="702" s="1"/>
  <c r="BC6" i="861"/>
  <c r="AR115" i="702" s="1"/>
  <c r="BD6" i="861"/>
  <c r="AS115" i="702" s="1"/>
  <c r="BE6" i="861"/>
  <c r="AT115" i="702" s="1"/>
  <c r="BF6" i="861"/>
  <c r="AU115" i="702" s="1"/>
  <c r="BG6" i="861"/>
  <c r="AV115" i="702" s="1"/>
  <c r="BH6" i="861"/>
  <c r="AW115" i="702" s="1"/>
  <c r="BI6" i="861"/>
  <c r="AX115" i="702" s="1"/>
  <c r="BJ6" i="861"/>
  <c r="AY115" i="702" s="1"/>
  <c r="BN6" i="861"/>
  <c r="BC115" i="702" s="1"/>
  <c r="BO6" i="861"/>
  <c r="BD115" i="702" s="1"/>
  <c r="BP6" i="861"/>
  <c r="BE115" i="702" s="1"/>
  <c r="BQ6" i="861"/>
  <c r="BF115" i="702" s="1"/>
  <c r="BR6" i="861"/>
  <c r="BG115" i="702" s="1"/>
  <c r="BS6" i="861"/>
  <c r="BH115" i="702" s="1"/>
  <c r="BT6" i="861"/>
  <c r="BI115" i="702" s="1"/>
  <c r="BU6" i="861"/>
  <c r="BJ115" i="702" s="1"/>
  <c r="BV6" i="861"/>
  <c r="BK115" i="702" s="1"/>
  <c r="BB7" i="861"/>
  <c r="AQ24" i="702" s="1"/>
  <c r="BC7" i="861"/>
  <c r="AR24" i="702" s="1"/>
  <c r="BD7" i="861"/>
  <c r="AS24" i="702" s="1"/>
  <c r="BE7" i="861"/>
  <c r="AT24" i="702" s="1"/>
  <c r="BF7" i="861"/>
  <c r="AU24" i="702" s="1"/>
  <c r="BG7" i="861"/>
  <c r="BH7" i="861"/>
  <c r="AW24" i="702" s="1"/>
  <c r="BI7" i="861"/>
  <c r="AX24" i="702" s="1"/>
  <c r="BJ7" i="861"/>
  <c r="AY24" i="702" s="1"/>
  <c r="BN7" i="861"/>
  <c r="BC24" i="702" s="1"/>
  <c r="BO7" i="861"/>
  <c r="BD24" i="702" s="1"/>
  <c r="BP7" i="861"/>
  <c r="BE24" i="702" s="1"/>
  <c r="BQ7" i="861"/>
  <c r="BF24" i="702" s="1"/>
  <c r="BR7" i="861"/>
  <c r="BG24" i="702" s="1"/>
  <c r="BS7" i="861"/>
  <c r="BH24" i="702" s="1"/>
  <c r="BT7" i="861"/>
  <c r="BI24" i="702" s="1"/>
  <c r="BU7" i="861"/>
  <c r="BJ24" i="702" s="1"/>
  <c r="BV7" i="861"/>
  <c r="BK24" i="702" s="1"/>
  <c r="BB8" i="861"/>
  <c r="AQ25" i="702" s="1"/>
  <c r="BC8" i="861"/>
  <c r="AR25" i="702" s="1"/>
  <c r="BD8" i="861"/>
  <c r="AS25" i="702" s="1"/>
  <c r="BE8" i="861"/>
  <c r="AT25" i="702" s="1"/>
  <c r="BF8" i="861"/>
  <c r="AU25" i="702" s="1"/>
  <c r="BG8" i="861"/>
  <c r="AV25" i="702" s="1"/>
  <c r="BH8" i="861"/>
  <c r="AW25" i="702" s="1"/>
  <c r="BI8" i="861"/>
  <c r="AX25" i="702" s="1"/>
  <c r="BJ8" i="861"/>
  <c r="AY25" i="702" s="1"/>
  <c r="BN8" i="861"/>
  <c r="BC25" i="702" s="1"/>
  <c r="BO8" i="861"/>
  <c r="BD25" i="702" s="1"/>
  <c r="BP8" i="861"/>
  <c r="BE25" i="702" s="1"/>
  <c r="BQ8" i="861"/>
  <c r="BF25" i="702" s="1"/>
  <c r="BR8" i="861"/>
  <c r="BG25" i="702" s="1"/>
  <c r="BS8" i="861"/>
  <c r="BH25" i="702" s="1"/>
  <c r="BT8" i="861"/>
  <c r="BI25" i="702" s="1"/>
  <c r="BU8" i="861"/>
  <c r="BJ25" i="702" s="1"/>
  <c r="BV8" i="861"/>
  <c r="BK25" i="702" s="1"/>
  <c r="BB9" i="861"/>
  <c r="AQ42" i="702" s="1"/>
  <c r="BC9" i="861"/>
  <c r="AR42" i="702" s="1"/>
  <c r="BD9" i="861"/>
  <c r="AS42" i="702" s="1"/>
  <c r="BE9" i="861"/>
  <c r="AT42" i="702" s="1"/>
  <c r="BF9" i="861"/>
  <c r="AU42" i="702" s="1"/>
  <c r="BG9" i="861"/>
  <c r="AV42" i="702" s="1"/>
  <c r="BH9" i="861"/>
  <c r="AW42" i="702" s="1"/>
  <c r="BI9" i="861"/>
  <c r="AX42" i="702" s="1"/>
  <c r="BJ9" i="861"/>
  <c r="AY42" i="702" s="1"/>
  <c r="BN9" i="861"/>
  <c r="BC42" i="702" s="1"/>
  <c r="BO9" i="861"/>
  <c r="BD42" i="702" s="1"/>
  <c r="BP9" i="861"/>
  <c r="BE42" i="702" s="1"/>
  <c r="BQ9" i="861"/>
  <c r="BF42" i="702" s="1"/>
  <c r="BR9" i="861"/>
  <c r="BG42" i="702" s="1"/>
  <c r="BS9" i="861"/>
  <c r="BH42" i="702" s="1"/>
  <c r="BT9" i="861"/>
  <c r="BI42" i="702" s="1"/>
  <c r="BU9" i="861"/>
  <c r="BJ42" i="702" s="1"/>
  <c r="BV9" i="861"/>
  <c r="BK42" i="702" s="1"/>
  <c r="BB10" i="861"/>
  <c r="AQ9" i="702" s="1"/>
  <c r="BC10" i="861"/>
  <c r="AR9" i="702" s="1"/>
  <c r="BD10" i="861"/>
  <c r="AS9" i="702" s="1"/>
  <c r="BE10" i="861"/>
  <c r="AT9" i="702" s="1"/>
  <c r="BF10" i="861"/>
  <c r="AU9" i="702" s="1"/>
  <c r="BG10" i="861"/>
  <c r="AV9" i="702" s="1"/>
  <c r="BH10" i="861"/>
  <c r="AW9" i="702" s="1"/>
  <c r="BI10" i="861"/>
  <c r="AX9" i="702" s="1"/>
  <c r="BJ10" i="861"/>
  <c r="AY9" i="702" s="1"/>
  <c r="BN10" i="861"/>
  <c r="BC9" i="702" s="1"/>
  <c r="BO10" i="861"/>
  <c r="BD9" i="702" s="1"/>
  <c r="BP10" i="861"/>
  <c r="BE9" i="702" s="1"/>
  <c r="BQ10" i="861"/>
  <c r="BF9" i="702" s="1"/>
  <c r="BR10" i="861"/>
  <c r="BG9" i="702" s="1"/>
  <c r="BS10" i="861"/>
  <c r="BH9" i="702" s="1"/>
  <c r="BT10" i="861"/>
  <c r="BI9" i="702" s="1"/>
  <c r="BU10" i="861"/>
  <c r="BJ9" i="702" s="1"/>
  <c r="BV10" i="861"/>
  <c r="BK9" i="702" s="1"/>
  <c r="BB11" i="861"/>
  <c r="AQ54" i="702" s="1"/>
  <c r="BC11" i="861"/>
  <c r="AR54" i="702" s="1"/>
  <c r="BD11" i="861"/>
  <c r="AS54" i="702" s="1"/>
  <c r="BE11" i="861"/>
  <c r="AT54" i="702" s="1"/>
  <c r="BF11" i="861"/>
  <c r="AU54" i="702" s="1"/>
  <c r="BG11" i="861"/>
  <c r="AV54" i="702" s="1"/>
  <c r="BH11" i="861"/>
  <c r="AW54" i="702" s="1"/>
  <c r="BI11" i="861"/>
  <c r="AX54" i="702" s="1"/>
  <c r="BJ11" i="861"/>
  <c r="AY54" i="702" s="1"/>
  <c r="BN11" i="861"/>
  <c r="BC54" i="702" s="1"/>
  <c r="BO11" i="861"/>
  <c r="BD54" i="702" s="1"/>
  <c r="BP11" i="861"/>
  <c r="BE54" i="702" s="1"/>
  <c r="BQ11" i="861"/>
  <c r="BF54" i="702" s="1"/>
  <c r="BR11" i="861"/>
  <c r="BG54" i="702" s="1"/>
  <c r="BS11" i="861"/>
  <c r="BH54" i="702" s="1"/>
  <c r="BT11" i="861"/>
  <c r="BI54" i="702" s="1"/>
  <c r="BU11" i="861"/>
  <c r="BJ54" i="702" s="1"/>
  <c r="BV11" i="861"/>
  <c r="BK54" i="702" s="1"/>
  <c r="BB12" i="861"/>
  <c r="AQ10" i="702" s="1"/>
  <c r="BC12" i="861"/>
  <c r="AR10" i="702" s="1"/>
  <c r="BD12" i="861"/>
  <c r="AS10" i="702" s="1"/>
  <c r="BE12" i="861"/>
  <c r="AT10" i="702" s="1"/>
  <c r="BF12" i="861"/>
  <c r="AU10" i="702" s="1"/>
  <c r="BG12" i="861"/>
  <c r="AV10" i="702" s="1"/>
  <c r="BH12" i="861"/>
  <c r="AW10" i="702" s="1"/>
  <c r="BI12" i="861"/>
  <c r="AX10" i="702" s="1"/>
  <c r="BJ12" i="861"/>
  <c r="AY10" i="702" s="1"/>
  <c r="BN12" i="861"/>
  <c r="BC10" i="702" s="1"/>
  <c r="BO12" i="861"/>
  <c r="BD10" i="702" s="1"/>
  <c r="BP12" i="861"/>
  <c r="BE10" i="702" s="1"/>
  <c r="BQ12" i="861"/>
  <c r="BF10" i="702" s="1"/>
  <c r="BR12" i="861"/>
  <c r="BG10" i="702" s="1"/>
  <c r="BS12" i="861"/>
  <c r="BH10" i="702" s="1"/>
  <c r="BT12" i="861"/>
  <c r="BI10" i="702" s="1"/>
  <c r="BU12" i="861"/>
  <c r="BJ10" i="702" s="1"/>
  <c r="BV12" i="861"/>
  <c r="BK10" i="702" s="1"/>
  <c r="BB13" i="861"/>
  <c r="AQ21" i="702" s="1"/>
  <c r="BC13" i="861"/>
  <c r="AR21" i="702" s="1"/>
  <c r="BD13" i="861"/>
  <c r="AS21" i="702" s="1"/>
  <c r="BE13" i="861"/>
  <c r="AT21" i="702" s="1"/>
  <c r="BF13" i="861"/>
  <c r="AU21" i="702" s="1"/>
  <c r="BG13" i="861"/>
  <c r="AV21" i="702" s="1"/>
  <c r="BH13" i="861"/>
  <c r="AW21" i="702" s="1"/>
  <c r="BI13" i="861"/>
  <c r="AX21" i="702" s="1"/>
  <c r="BJ13" i="861"/>
  <c r="AY21" i="702" s="1"/>
  <c r="BN13" i="861"/>
  <c r="BC21" i="702" s="1"/>
  <c r="BO13" i="861"/>
  <c r="BD21" i="702" s="1"/>
  <c r="BP13" i="861"/>
  <c r="BE21" i="702" s="1"/>
  <c r="BQ13" i="861"/>
  <c r="BF21" i="702" s="1"/>
  <c r="BR13" i="861"/>
  <c r="BG21" i="702" s="1"/>
  <c r="BS13" i="861"/>
  <c r="BH21" i="702" s="1"/>
  <c r="BT13" i="861"/>
  <c r="BI21" i="702" s="1"/>
  <c r="BU13" i="861"/>
  <c r="BJ21" i="702" s="1"/>
  <c r="BV13" i="861"/>
  <c r="BK21" i="702" s="1"/>
  <c r="BB14" i="861"/>
  <c r="AQ117" i="702" s="1"/>
  <c r="BC14" i="861"/>
  <c r="AR117" i="702" s="1"/>
  <c r="BD14" i="861"/>
  <c r="AS117" i="702" s="1"/>
  <c r="BE14" i="861"/>
  <c r="AT117" i="702" s="1"/>
  <c r="BF14" i="861"/>
  <c r="AU117" i="702" s="1"/>
  <c r="BG14" i="861"/>
  <c r="AV117" i="702" s="1"/>
  <c r="BH14" i="861"/>
  <c r="AW117" i="702" s="1"/>
  <c r="BI14" i="861"/>
  <c r="AX117" i="702" s="1"/>
  <c r="BJ14" i="861"/>
  <c r="AY117" i="702" s="1"/>
  <c r="BN14" i="861"/>
  <c r="BC117" i="702" s="1"/>
  <c r="BO14" i="861"/>
  <c r="BD117" i="702" s="1"/>
  <c r="BP14" i="861"/>
  <c r="BE117" i="702" s="1"/>
  <c r="BQ14" i="861"/>
  <c r="BF117" i="702" s="1"/>
  <c r="BR14" i="861"/>
  <c r="BG117" i="702" s="1"/>
  <c r="BS14" i="861"/>
  <c r="BH117" i="702" s="1"/>
  <c r="BT14" i="861"/>
  <c r="BI117" i="702" s="1"/>
  <c r="BU14" i="861"/>
  <c r="BJ117" i="702" s="1"/>
  <c r="BV14" i="861"/>
  <c r="BK117" i="702" s="1"/>
  <c r="BB15" i="861"/>
  <c r="AQ118" i="702" s="1"/>
  <c r="BC15" i="861"/>
  <c r="AR118" i="702" s="1"/>
  <c r="BD15" i="861"/>
  <c r="AS118" i="702" s="1"/>
  <c r="BE15" i="861"/>
  <c r="AT118" i="702" s="1"/>
  <c r="BF15" i="861"/>
  <c r="AU118" i="702" s="1"/>
  <c r="BG15" i="861"/>
  <c r="AV118" i="702" s="1"/>
  <c r="BH15" i="861"/>
  <c r="AW118" i="702" s="1"/>
  <c r="BI15" i="861"/>
  <c r="AX118" i="702" s="1"/>
  <c r="BJ15" i="861"/>
  <c r="AY118" i="702" s="1"/>
  <c r="BN15" i="861"/>
  <c r="BC118" i="702" s="1"/>
  <c r="BO15" i="861"/>
  <c r="BD118" i="702" s="1"/>
  <c r="BP15" i="861"/>
  <c r="BE118" i="702" s="1"/>
  <c r="BQ15" i="861"/>
  <c r="BF118" i="702" s="1"/>
  <c r="BR15" i="861"/>
  <c r="BG118" i="702" s="1"/>
  <c r="BS15" i="861"/>
  <c r="BH118" i="702" s="1"/>
  <c r="BT15" i="861"/>
  <c r="BI118" i="702" s="1"/>
  <c r="BU15" i="861"/>
  <c r="BJ118" i="702" s="1"/>
  <c r="BV15" i="861"/>
  <c r="BK118" i="702" s="1"/>
  <c r="BB16" i="861"/>
  <c r="AQ121" i="702" s="1"/>
  <c r="BC16" i="861"/>
  <c r="AR121" i="702" s="1"/>
  <c r="BD16" i="861"/>
  <c r="AS121" i="702" s="1"/>
  <c r="BE16" i="861"/>
  <c r="AT121" i="702" s="1"/>
  <c r="BF16" i="861"/>
  <c r="AU121" i="702" s="1"/>
  <c r="BG16" i="861"/>
  <c r="AV121" i="702" s="1"/>
  <c r="BH16" i="861"/>
  <c r="AW121" i="702" s="1"/>
  <c r="BI16" i="861"/>
  <c r="AX121" i="702" s="1"/>
  <c r="BJ16" i="861"/>
  <c r="AY121" i="702" s="1"/>
  <c r="BN16" i="861"/>
  <c r="BC121" i="702" s="1"/>
  <c r="BO16" i="861"/>
  <c r="BD121" i="702" s="1"/>
  <c r="BP16" i="861"/>
  <c r="BE121" i="702" s="1"/>
  <c r="BQ16" i="861"/>
  <c r="BF121" i="702" s="1"/>
  <c r="BR16" i="861"/>
  <c r="BG121" i="702" s="1"/>
  <c r="BS16" i="861"/>
  <c r="BH121" i="702" s="1"/>
  <c r="BT16" i="861"/>
  <c r="BI121" i="702" s="1"/>
  <c r="BU16" i="861"/>
  <c r="BJ121" i="702" s="1"/>
  <c r="BV16" i="861"/>
  <c r="BK121" i="702" s="1"/>
  <c r="BB17" i="861"/>
  <c r="AQ122" i="702" s="1"/>
  <c r="BC17" i="861"/>
  <c r="AR122" i="702" s="1"/>
  <c r="BD17" i="861"/>
  <c r="AS122" i="702" s="1"/>
  <c r="BE17" i="861"/>
  <c r="AT122" i="702" s="1"/>
  <c r="BF17" i="861"/>
  <c r="AU122" i="702" s="1"/>
  <c r="BG17" i="861"/>
  <c r="AV122" i="702" s="1"/>
  <c r="BH17" i="861"/>
  <c r="AW122" i="702" s="1"/>
  <c r="BI17" i="861"/>
  <c r="AX122" i="702" s="1"/>
  <c r="BJ17" i="861"/>
  <c r="AY122" i="702" s="1"/>
  <c r="BN17" i="861"/>
  <c r="BC122" i="702" s="1"/>
  <c r="BO17" i="861"/>
  <c r="BD122" i="702" s="1"/>
  <c r="BP17" i="861"/>
  <c r="BE122" i="702" s="1"/>
  <c r="BQ17" i="861"/>
  <c r="BF122" i="702" s="1"/>
  <c r="BR17" i="861"/>
  <c r="BG122" i="702" s="1"/>
  <c r="BS17" i="861"/>
  <c r="BH122" i="702" s="1"/>
  <c r="BT17" i="861"/>
  <c r="BI122" i="702" s="1"/>
  <c r="BU17" i="861"/>
  <c r="BJ122" i="702" s="1"/>
  <c r="BV17" i="861"/>
  <c r="BK122" i="702" s="1"/>
  <c r="BB18" i="861"/>
  <c r="AQ119" i="702" s="1"/>
  <c r="BC18" i="861"/>
  <c r="AR119" i="702" s="1"/>
  <c r="BD18" i="861"/>
  <c r="AS119" i="702" s="1"/>
  <c r="BE18" i="861"/>
  <c r="AT119" i="702" s="1"/>
  <c r="BF18" i="861"/>
  <c r="AU119" i="702" s="1"/>
  <c r="BG18" i="861"/>
  <c r="AV119" i="702" s="1"/>
  <c r="BH18" i="861"/>
  <c r="AW119" i="702" s="1"/>
  <c r="BI18" i="861"/>
  <c r="AX119" i="702" s="1"/>
  <c r="BJ18" i="861"/>
  <c r="AY119" i="702" s="1"/>
  <c r="BN18" i="861"/>
  <c r="BC119" i="702" s="1"/>
  <c r="BO18" i="861"/>
  <c r="BD119" i="702" s="1"/>
  <c r="BP18" i="861"/>
  <c r="BE119" i="702" s="1"/>
  <c r="BQ18" i="861"/>
  <c r="BF119" i="702" s="1"/>
  <c r="BR18" i="861"/>
  <c r="BG119" i="702" s="1"/>
  <c r="BS18" i="861"/>
  <c r="BH119" i="702" s="1"/>
  <c r="BT18" i="861"/>
  <c r="BI119" i="702" s="1"/>
  <c r="BU18" i="861"/>
  <c r="BJ119" i="702" s="1"/>
  <c r="BV18" i="861"/>
  <c r="BK119" i="702" s="1"/>
  <c r="BB19" i="861"/>
  <c r="AQ120" i="702" s="1"/>
  <c r="BC19" i="861"/>
  <c r="AR120" i="702" s="1"/>
  <c r="BD19" i="861"/>
  <c r="AS120" i="702" s="1"/>
  <c r="BE19" i="861"/>
  <c r="AT120" i="702" s="1"/>
  <c r="BF19" i="861"/>
  <c r="AU120" i="702" s="1"/>
  <c r="BG19" i="861"/>
  <c r="AV120" i="702" s="1"/>
  <c r="BH19" i="861"/>
  <c r="AW120" i="702" s="1"/>
  <c r="BI19" i="861"/>
  <c r="AX120" i="702" s="1"/>
  <c r="BJ19" i="861"/>
  <c r="AY120" i="702" s="1"/>
  <c r="BN19" i="861"/>
  <c r="BC120" i="702" s="1"/>
  <c r="BO19" i="861"/>
  <c r="BD120" i="702" s="1"/>
  <c r="BP19" i="861"/>
  <c r="BE120" i="702" s="1"/>
  <c r="BQ19" i="861"/>
  <c r="BF120" i="702" s="1"/>
  <c r="BR19" i="861"/>
  <c r="BG120" i="702" s="1"/>
  <c r="BS19" i="861"/>
  <c r="BH120" i="702" s="1"/>
  <c r="BT19" i="861"/>
  <c r="BI120" i="702" s="1"/>
  <c r="BU19" i="861"/>
  <c r="BJ120" i="702" s="1"/>
  <c r="BV19" i="861"/>
  <c r="BK120" i="702" s="1"/>
  <c r="BB20" i="861"/>
  <c r="AQ22" i="702" s="1"/>
  <c r="BC20" i="861"/>
  <c r="AR22" i="702" s="1"/>
  <c r="BD20" i="861"/>
  <c r="AS22" i="702" s="1"/>
  <c r="BE20" i="861"/>
  <c r="AT22" i="702" s="1"/>
  <c r="BF20" i="861"/>
  <c r="AU22" i="702" s="1"/>
  <c r="BG20" i="861"/>
  <c r="AV22" i="702" s="1"/>
  <c r="BH20" i="861"/>
  <c r="AW22" i="702" s="1"/>
  <c r="BI20" i="861"/>
  <c r="AX22" i="702" s="1"/>
  <c r="BJ20" i="861"/>
  <c r="AY22" i="702" s="1"/>
  <c r="BN20" i="861"/>
  <c r="BC22" i="702" s="1"/>
  <c r="BO20" i="861"/>
  <c r="BD22" i="702" s="1"/>
  <c r="BP20" i="861"/>
  <c r="BE22" i="702" s="1"/>
  <c r="BQ20" i="861"/>
  <c r="BF22" i="702" s="1"/>
  <c r="BR20" i="861"/>
  <c r="BG22" i="702" s="1"/>
  <c r="BS20" i="861"/>
  <c r="BH22" i="702" s="1"/>
  <c r="BT20" i="861"/>
  <c r="BI22" i="702" s="1"/>
  <c r="BU20" i="861"/>
  <c r="BJ22" i="702" s="1"/>
  <c r="BV20" i="861"/>
  <c r="BK22" i="702" s="1"/>
  <c r="BB21" i="861"/>
  <c r="AQ36" i="702" s="1"/>
  <c r="BC21" i="861"/>
  <c r="AR36" i="702" s="1"/>
  <c r="BD21" i="861"/>
  <c r="AS36" i="702" s="1"/>
  <c r="BE21" i="861"/>
  <c r="AT36" i="702" s="1"/>
  <c r="BF21" i="861"/>
  <c r="AU36" i="702" s="1"/>
  <c r="BG21" i="861"/>
  <c r="AV36" i="702" s="1"/>
  <c r="BH21" i="861"/>
  <c r="AW36" i="702" s="1"/>
  <c r="BI21" i="861"/>
  <c r="AX36" i="702" s="1"/>
  <c r="BJ21" i="861"/>
  <c r="AY36" i="702" s="1"/>
  <c r="BN21" i="861"/>
  <c r="BC36" i="702" s="1"/>
  <c r="BO21" i="861"/>
  <c r="BD36" i="702" s="1"/>
  <c r="BP21" i="861"/>
  <c r="BE36" i="702" s="1"/>
  <c r="BQ21" i="861"/>
  <c r="BF36" i="702" s="1"/>
  <c r="BR21" i="861"/>
  <c r="BG36" i="702" s="1"/>
  <c r="BS21" i="861"/>
  <c r="BH36" i="702" s="1"/>
  <c r="BT21" i="861"/>
  <c r="BI36" i="702" s="1"/>
  <c r="BU21" i="861"/>
  <c r="BJ36" i="702" s="1"/>
  <c r="BV21" i="861"/>
  <c r="BK36" i="702" s="1"/>
  <c r="BB22" i="861"/>
  <c r="AQ37" i="702" s="1"/>
  <c r="BC22" i="861"/>
  <c r="AR37" i="702" s="1"/>
  <c r="BD22" i="861"/>
  <c r="AS37" i="702" s="1"/>
  <c r="BE22" i="861"/>
  <c r="AT37" i="702" s="1"/>
  <c r="BF22" i="861"/>
  <c r="AU37" i="702" s="1"/>
  <c r="BG22" i="861"/>
  <c r="AV37" i="702" s="1"/>
  <c r="BH22" i="861"/>
  <c r="AW37" i="702" s="1"/>
  <c r="BI22" i="861"/>
  <c r="AX37" i="702" s="1"/>
  <c r="BJ22" i="861"/>
  <c r="AY37" i="702" s="1"/>
  <c r="BN22" i="861"/>
  <c r="BC37" i="702" s="1"/>
  <c r="BO22" i="861"/>
  <c r="BD37" i="702" s="1"/>
  <c r="BP22" i="861"/>
  <c r="BE37" i="702" s="1"/>
  <c r="BQ22" i="861"/>
  <c r="BF37" i="702" s="1"/>
  <c r="BR22" i="861"/>
  <c r="BG37" i="702" s="1"/>
  <c r="BS22" i="861"/>
  <c r="BH37" i="702" s="1"/>
  <c r="BT22" i="861"/>
  <c r="BI37" i="702" s="1"/>
  <c r="BU22" i="861"/>
  <c r="BJ37" i="702" s="1"/>
  <c r="BV22" i="861"/>
  <c r="BK37" i="702" s="1"/>
  <c r="BB23" i="861"/>
  <c r="AQ38" i="702" s="1"/>
  <c r="BC23" i="861"/>
  <c r="AR38" i="702" s="1"/>
  <c r="BD23" i="861"/>
  <c r="AS38" i="702" s="1"/>
  <c r="BE23" i="861"/>
  <c r="AT38" i="702" s="1"/>
  <c r="BF23" i="861"/>
  <c r="AU38" i="702" s="1"/>
  <c r="BG23" i="861"/>
  <c r="AV38" i="702" s="1"/>
  <c r="BH23" i="861"/>
  <c r="AW38" i="702" s="1"/>
  <c r="BI23" i="861"/>
  <c r="AX38" i="702" s="1"/>
  <c r="BJ23" i="861"/>
  <c r="AY38" i="702" s="1"/>
  <c r="BN23" i="861"/>
  <c r="BC38" i="702" s="1"/>
  <c r="BO23" i="861"/>
  <c r="BD38" i="702" s="1"/>
  <c r="BP23" i="861"/>
  <c r="BE38" i="702" s="1"/>
  <c r="BQ23" i="861"/>
  <c r="BF38" i="702" s="1"/>
  <c r="BR23" i="861"/>
  <c r="BG38" i="702" s="1"/>
  <c r="BS23" i="861"/>
  <c r="BH38" i="702" s="1"/>
  <c r="BT23" i="861"/>
  <c r="BI38" i="702" s="1"/>
  <c r="BU23" i="861"/>
  <c r="BJ38" i="702" s="1"/>
  <c r="BV23" i="861"/>
  <c r="BK38" i="702" s="1"/>
  <c r="BB24" i="861"/>
  <c r="AQ97" i="702" s="1"/>
  <c r="BC24" i="861"/>
  <c r="AR97" i="702" s="1"/>
  <c r="BD24" i="861"/>
  <c r="AS97" i="702" s="1"/>
  <c r="BE24" i="861"/>
  <c r="AT97" i="702" s="1"/>
  <c r="BF24" i="861"/>
  <c r="AU97" i="702" s="1"/>
  <c r="BG24" i="861"/>
  <c r="AV97" i="702" s="1"/>
  <c r="BH24" i="861"/>
  <c r="AW97" i="702" s="1"/>
  <c r="BI24" i="861"/>
  <c r="AX97" i="702" s="1"/>
  <c r="BJ24" i="861"/>
  <c r="AY97" i="702" s="1"/>
  <c r="BN24" i="861"/>
  <c r="BC97" i="702" s="1"/>
  <c r="BO24" i="861"/>
  <c r="BD97" i="702" s="1"/>
  <c r="BP24" i="861"/>
  <c r="BE97" i="702" s="1"/>
  <c r="BQ24" i="861"/>
  <c r="BF97" i="702" s="1"/>
  <c r="BR24" i="861"/>
  <c r="BG97" i="702" s="1"/>
  <c r="BS24" i="861"/>
  <c r="BH97" i="702" s="1"/>
  <c r="BT24" i="861"/>
  <c r="BI97" i="702" s="1"/>
  <c r="BU24" i="861"/>
  <c r="BJ97" i="702" s="1"/>
  <c r="BV24" i="861"/>
  <c r="BK97" i="702" s="1"/>
  <c r="BB25" i="861"/>
  <c r="AQ98" i="702" s="1"/>
  <c r="BC25" i="861"/>
  <c r="AR98" i="702" s="1"/>
  <c r="BD25" i="861"/>
  <c r="AS98" i="702" s="1"/>
  <c r="BE25" i="861"/>
  <c r="AT98" i="702" s="1"/>
  <c r="BF25" i="861"/>
  <c r="AU98" i="702" s="1"/>
  <c r="BG25" i="861"/>
  <c r="AV98" i="702" s="1"/>
  <c r="BH25" i="861"/>
  <c r="AW98" i="702" s="1"/>
  <c r="BI25" i="861"/>
  <c r="AX98" i="702" s="1"/>
  <c r="BJ25" i="861"/>
  <c r="AY98" i="702" s="1"/>
  <c r="BN25" i="861"/>
  <c r="BC98" i="702" s="1"/>
  <c r="BO25" i="861"/>
  <c r="BD98" i="702" s="1"/>
  <c r="BP25" i="861"/>
  <c r="BE98" i="702" s="1"/>
  <c r="BQ25" i="861"/>
  <c r="BF98" i="702" s="1"/>
  <c r="BR25" i="861"/>
  <c r="BG98" i="702" s="1"/>
  <c r="BS25" i="861"/>
  <c r="BH98" i="702" s="1"/>
  <c r="BT25" i="861"/>
  <c r="BI98" i="702" s="1"/>
  <c r="BU25" i="861"/>
  <c r="BJ98" i="702" s="1"/>
  <c r="BV25" i="861"/>
  <c r="BK98" i="702" s="1"/>
  <c r="BB26" i="861"/>
  <c r="AQ68" i="702" s="1"/>
  <c r="BC26" i="861"/>
  <c r="AR68" i="702" s="1"/>
  <c r="BD26" i="861"/>
  <c r="AS68" i="702" s="1"/>
  <c r="BE26" i="861"/>
  <c r="AT68" i="702" s="1"/>
  <c r="BF26" i="861"/>
  <c r="AU68" i="702" s="1"/>
  <c r="BG26" i="861"/>
  <c r="AV68" i="702" s="1"/>
  <c r="BH26" i="861"/>
  <c r="AW68" i="702" s="1"/>
  <c r="BI26" i="861"/>
  <c r="AX68" i="702" s="1"/>
  <c r="BJ26" i="861"/>
  <c r="AY68" i="702" s="1"/>
  <c r="BN26" i="861"/>
  <c r="BC68" i="702" s="1"/>
  <c r="BO26" i="861"/>
  <c r="BD68" i="702" s="1"/>
  <c r="BP26" i="861"/>
  <c r="BE68" i="702" s="1"/>
  <c r="BQ26" i="861"/>
  <c r="BF68" i="702" s="1"/>
  <c r="BR26" i="861"/>
  <c r="BG68" i="702" s="1"/>
  <c r="BS26" i="861"/>
  <c r="BH68" i="702" s="1"/>
  <c r="BT26" i="861"/>
  <c r="BI68" i="702" s="1"/>
  <c r="BU26" i="861"/>
  <c r="BJ68" i="702" s="1"/>
  <c r="BV26" i="861"/>
  <c r="BK68" i="702" s="1"/>
  <c r="BB27" i="861"/>
  <c r="AQ8" i="702" s="1"/>
  <c r="BC27" i="861"/>
  <c r="AR8" i="702" s="1"/>
  <c r="BD27" i="861"/>
  <c r="AS8" i="702" s="1"/>
  <c r="BE27" i="861"/>
  <c r="AT8" i="702" s="1"/>
  <c r="BF27" i="861"/>
  <c r="AU8" i="702" s="1"/>
  <c r="BG27" i="861"/>
  <c r="AV8" i="702" s="1"/>
  <c r="BH27" i="861"/>
  <c r="AW8" i="702" s="1"/>
  <c r="BI27" i="861"/>
  <c r="AX8" i="702" s="1"/>
  <c r="BJ27" i="861"/>
  <c r="AY8" i="702" s="1"/>
  <c r="BN27" i="861"/>
  <c r="BC8" i="702" s="1"/>
  <c r="BO27" i="861"/>
  <c r="BD8" i="702" s="1"/>
  <c r="BP27" i="861"/>
  <c r="BE8" i="702" s="1"/>
  <c r="BQ27" i="861"/>
  <c r="BF8" i="702" s="1"/>
  <c r="BR27" i="861"/>
  <c r="BG8" i="702" s="1"/>
  <c r="BS27" i="861"/>
  <c r="BH8" i="702" s="1"/>
  <c r="BT27" i="861"/>
  <c r="BI8" i="702" s="1"/>
  <c r="BU27" i="861"/>
  <c r="BJ8" i="702" s="1"/>
  <c r="BV27" i="861"/>
  <c r="BK8" i="702" s="1"/>
  <c r="BB28" i="861"/>
  <c r="AQ33" i="702" s="1"/>
  <c r="BC28" i="861"/>
  <c r="AR33" i="702" s="1"/>
  <c r="BD28" i="861"/>
  <c r="AS33" i="702" s="1"/>
  <c r="BE28" i="861"/>
  <c r="AT33" i="702" s="1"/>
  <c r="BF28" i="861"/>
  <c r="AU33" i="702" s="1"/>
  <c r="BG28" i="861"/>
  <c r="AV33" i="702" s="1"/>
  <c r="BH28" i="861"/>
  <c r="AW33" i="702" s="1"/>
  <c r="BI28" i="861"/>
  <c r="AX33" i="702" s="1"/>
  <c r="BJ28" i="861"/>
  <c r="AY33" i="702" s="1"/>
  <c r="BN28" i="861"/>
  <c r="BC33" i="702" s="1"/>
  <c r="BO28" i="861"/>
  <c r="BD33" i="702" s="1"/>
  <c r="BP28" i="861"/>
  <c r="BE33" i="702" s="1"/>
  <c r="BQ28" i="861"/>
  <c r="BF33" i="702" s="1"/>
  <c r="BR28" i="861"/>
  <c r="BG33" i="702" s="1"/>
  <c r="BS28" i="861"/>
  <c r="BH33" i="702" s="1"/>
  <c r="BT28" i="861"/>
  <c r="BI33" i="702" s="1"/>
  <c r="BU28" i="861"/>
  <c r="BJ33" i="702" s="1"/>
  <c r="BV28" i="861"/>
  <c r="BK33" i="702" s="1"/>
  <c r="BB29" i="861"/>
  <c r="AQ34" i="702" s="1"/>
  <c r="BC29" i="861"/>
  <c r="AR34" i="702" s="1"/>
  <c r="BD29" i="861"/>
  <c r="AS34" i="702" s="1"/>
  <c r="BE29" i="861"/>
  <c r="AT34" i="702" s="1"/>
  <c r="BF29" i="861"/>
  <c r="AU34" i="702" s="1"/>
  <c r="BG29" i="861"/>
  <c r="AV34" i="702" s="1"/>
  <c r="BH29" i="861"/>
  <c r="AW34" i="702" s="1"/>
  <c r="BI29" i="861"/>
  <c r="AX34" i="702" s="1"/>
  <c r="BJ29" i="861"/>
  <c r="AY34" i="702" s="1"/>
  <c r="BN29" i="861"/>
  <c r="BC34" i="702" s="1"/>
  <c r="BO29" i="861"/>
  <c r="BD34" i="702" s="1"/>
  <c r="BP29" i="861"/>
  <c r="BE34" i="702" s="1"/>
  <c r="BQ29" i="861"/>
  <c r="BF34" i="702" s="1"/>
  <c r="BR29" i="861"/>
  <c r="BG34" i="702" s="1"/>
  <c r="BS29" i="861"/>
  <c r="BH34" i="702" s="1"/>
  <c r="BT29" i="861"/>
  <c r="BI34" i="702" s="1"/>
  <c r="BU29" i="861"/>
  <c r="BJ34" i="702" s="1"/>
  <c r="BV29" i="861"/>
  <c r="BK34" i="702" s="1"/>
  <c r="BB30" i="861"/>
  <c r="AQ58" i="702" s="1"/>
  <c r="BC30" i="861"/>
  <c r="AR58" i="702" s="1"/>
  <c r="BD30" i="861"/>
  <c r="AS58" i="702" s="1"/>
  <c r="BE30" i="861"/>
  <c r="AT58" i="702" s="1"/>
  <c r="BF30" i="861"/>
  <c r="AU58" i="702" s="1"/>
  <c r="BG30" i="861"/>
  <c r="AV58" i="702" s="1"/>
  <c r="BH30" i="861"/>
  <c r="AW58" i="702" s="1"/>
  <c r="BI30" i="861"/>
  <c r="AX58" i="702" s="1"/>
  <c r="BJ30" i="861"/>
  <c r="AY58" i="702" s="1"/>
  <c r="BN30" i="861"/>
  <c r="BC58" i="702" s="1"/>
  <c r="BO30" i="861"/>
  <c r="BD58" i="702" s="1"/>
  <c r="BP30" i="861"/>
  <c r="BE58" i="702" s="1"/>
  <c r="BQ30" i="861"/>
  <c r="BF58" i="702" s="1"/>
  <c r="BR30" i="861"/>
  <c r="BG58" i="702" s="1"/>
  <c r="BS30" i="861"/>
  <c r="BH58" i="702" s="1"/>
  <c r="BT30" i="861"/>
  <c r="BI58" i="702" s="1"/>
  <c r="BU30" i="861"/>
  <c r="BJ58" i="702" s="1"/>
  <c r="BV30" i="861"/>
  <c r="BK58" i="702" s="1"/>
  <c r="BB31" i="861"/>
  <c r="AQ23" i="702" s="1"/>
  <c r="BC31" i="861"/>
  <c r="AR23" i="702" s="1"/>
  <c r="BD31" i="861"/>
  <c r="AS23" i="702" s="1"/>
  <c r="BE31" i="861"/>
  <c r="AT23" i="702" s="1"/>
  <c r="BF31" i="861"/>
  <c r="AU23" i="702" s="1"/>
  <c r="BG31" i="861"/>
  <c r="AV23" i="702" s="1"/>
  <c r="BH31" i="861"/>
  <c r="AW23" i="702" s="1"/>
  <c r="BI31" i="861"/>
  <c r="AX23" i="702" s="1"/>
  <c r="BJ31" i="861"/>
  <c r="AY23" i="702" s="1"/>
  <c r="BN31" i="861"/>
  <c r="BC23" i="702" s="1"/>
  <c r="BO31" i="861"/>
  <c r="BD23" i="702" s="1"/>
  <c r="BP31" i="861"/>
  <c r="BE23" i="702" s="1"/>
  <c r="BQ31" i="861"/>
  <c r="BF23" i="702" s="1"/>
  <c r="BR31" i="861"/>
  <c r="BG23" i="702" s="1"/>
  <c r="BS31" i="861"/>
  <c r="BH23" i="702" s="1"/>
  <c r="BT31" i="861"/>
  <c r="BI23" i="702" s="1"/>
  <c r="BU31" i="861"/>
  <c r="BJ23" i="702" s="1"/>
  <c r="BV31" i="861"/>
  <c r="BK23" i="702" s="1"/>
  <c r="BB32" i="861"/>
  <c r="AQ59" i="702" s="1"/>
  <c r="BC32" i="861"/>
  <c r="AR59" i="702" s="1"/>
  <c r="BD32" i="861"/>
  <c r="AS59" i="702" s="1"/>
  <c r="BE32" i="861"/>
  <c r="AT59" i="702" s="1"/>
  <c r="BF32" i="861"/>
  <c r="AU59" i="702" s="1"/>
  <c r="BG32" i="861"/>
  <c r="AV59" i="702" s="1"/>
  <c r="BH32" i="861"/>
  <c r="BI32" i="861"/>
  <c r="BJ32" i="861"/>
  <c r="BN32" i="861"/>
  <c r="BC59" i="702" s="1"/>
  <c r="BO32" i="861"/>
  <c r="BD59" i="702" s="1"/>
  <c r="BP32" i="861"/>
  <c r="BE59" i="702" s="1"/>
  <c r="BQ32" i="861"/>
  <c r="BF59" i="702" s="1"/>
  <c r="BR32" i="861"/>
  <c r="BG59" i="702" s="1"/>
  <c r="BS32" i="861"/>
  <c r="BH59" i="702" s="1"/>
  <c r="BT32" i="861"/>
  <c r="BI59" i="702" s="1"/>
  <c r="BU32" i="861"/>
  <c r="BJ59" i="702" s="1"/>
  <c r="J23" i="859" s="1"/>
  <c r="BV32" i="861"/>
  <c r="BK59" i="702" s="1"/>
  <c r="BB33" i="861"/>
  <c r="AQ55" i="702" s="1"/>
  <c r="BC33" i="861"/>
  <c r="AR55" i="702" s="1"/>
  <c r="BD33" i="861"/>
  <c r="AS55" i="702" s="1"/>
  <c r="BE33" i="861"/>
  <c r="AT55" i="702" s="1"/>
  <c r="BF33" i="861"/>
  <c r="AU55" i="702" s="1"/>
  <c r="BG33" i="861"/>
  <c r="AV55" i="702" s="1"/>
  <c r="BH33" i="861"/>
  <c r="AW55" i="702" s="1"/>
  <c r="BI33" i="861"/>
  <c r="AX55" i="702" s="1"/>
  <c r="BJ33" i="861"/>
  <c r="AY55" i="702" s="1"/>
  <c r="BN33" i="861"/>
  <c r="BC55" i="702" s="1"/>
  <c r="BO33" i="861"/>
  <c r="BD55" i="702" s="1"/>
  <c r="BP33" i="861"/>
  <c r="BE55" i="702" s="1"/>
  <c r="BQ33" i="861"/>
  <c r="BF55" i="702" s="1"/>
  <c r="BR33" i="861"/>
  <c r="BG55" i="702" s="1"/>
  <c r="BS33" i="861"/>
  <c r="BH55" i="702" s="1"/>
  <c r="BT33" i="861"/>
  <c r="BI55" i="702" s="1"/>
  <c r="BU33" i="861"/>
  <c r="BJ55" i="702" s="1"/>
  <c r="BV33" i="861"/>
  <c r="BK55" i="702" s="1"/>
  <c r="BB34" i="861"/>
  <c r="AQ56" i="702" s="1"/>
  <c r="BC34" i="861"/>
  <c r="AR56" i="702" s="1"/>
  <c r="BD34" i="861"/>
  <c r="AS56" i="702" s="1"/>
  <c r="BE34" i="861"/>
  <c r="AT56" i="702" s="1"/>
  <c r="BF34" i="861"/>
  <c r="AU56" i="702" s="1"/>
  <c r="BG34" i="861"/>
  <c r="AV56" i="702" s="1"/>
  <c r="BH34" i="861"/>
  <c r="AW56" i="702" s="1"/>
  <c r="BI34" i="861"/>
  <c r="AX56" i="702" s="1"/>
  <c r="BJ34" i="861"/>
  <c r="AY56" i="702" s="1"/>
  <c r="BN34" i="861"/>
  <c r="BC56" i="702" s="1"/>
  <c r="BO34" i="861"/>
  <c r="BD56" i="702" s="1"/>
  <c r="BP34" i="861"/>
  <c r="BE56" i="702" s="1"/>
  <c r="BQ34" i="861"/>
  <c r="BF56" i="702" s="1"/>
  <c r="BR34" i="861"/>
  <c r="BG56" i="702" s="1"/>
  <c r="BS34" i="861"/>
  <c r="BH56" i="702" s="1"/>
  <c r="BT34" i="861"/>
  <c r="BI56" i="702" s="1"/>
  <c r="BU34" i="861"/>
  <c r="BJ56" i="702" s="1"/>
  <c r="BV34" i="861"/>
  <c r="BB35" i="861"/>
  <c r="AQ76" i="702" s="1"/>
  <c r="BC35" i="861"/>
  <c r="AR76" i="702" s="1"/>
  <c r="BD35" i="861"/>
  <c r="AS76" i="702" s="1"/>
  <c r="BE35" i="861"/>
  <c r="AT76" i="702" s="1"/>
  <c r="BF35" i="861"/>
  <c r="AU76" i="702" s="1"/>
  <c r="BG35" i="861"/>
  <c r="AV76" i="702" s="1"/>
  <c r="BH35" i="861"/>
  <c r="AW76" i="702" s="1"/>
  <c r="BI35" i="861"/>
  <c r="AX76" i="702" s="1"/>
  <c r="BJ35" i="861"/>
  <c r="AY76" i="702" s="1"/>
  <c r="BN35" i="861"/>
  <c r="BC76" i="702" s="1"/>
  <c r="BO35" i="861"/>
  <c r="BD76" i="702" s="1"/>
  <c r="BP35" i="861"/>
  <c r="BE76" i="702" s="1"/>
  <c r="BQ35" i="861"/>
  <c r="BF76" i="702" s="1"/>
  <c r="BR35" i="861"/>
  <c r="BG76" i="702" s="1"/>
  <c r="BS35" i="861"/>
  <c r="BH76" i="702" s="1"/>
  <c r="BT35" i="861"/>
  <c r="BI76" i="702" s="1"/>
  <c r="BU35" i="861"/>
  <c r="BJ76" i="702" s="1"/>
  <c r="BV35" i="861"/>
  <c r="BK76" i="702" s="1"/>
  <c r="BB36" i="861"/>
  <c r="AQ75" i="702" s="1"/>
  <c r="BC36" i="861"/>
  <c r="AR75" i="702" s="1"/>
  <c r="BD36" i="861"/>
  <c r="AS75" i="702" s="1"/>
  <c r="BE36" i="861"/>
  <c r="AT75" i="702" s="1"/>
  <c r="BF36" i="861"/>
  <c r="AU75" i="702" s="1"/>
  <c r="BG36" i="861"/>
  <c r="AV75" i="702" s="1"/>
  <c r="BH36" i="861"/>
  <c r="AW75" i="702" s="1"/>
  <c r="BI36" i="861"/>
  <c r="AX75" i="702" s="1"/>
  <c r="BJ36" i="861"/>
  <c r="AY75" i="702" s="1"/>
  <c r="BN36" i="861"/>
  <c r="BC75" i="702" s="1"/>
  <c r="BO36" i="861"/>
  <c r="BD75" i="702" s="1"/>
  <c r="BP36" i="861"/>
  <c r="BE75" i="702" s="1"/>
  <c r="BQ36" i="861"/>
  <c r="BF75" i="702" s="1"/>
  <c r="BR36" i="861"/>
  <c r="BG75" i="702" s="1"/>
  <c r="BS36" i="861"/>
  <c r="BH75" i="702" s="1"/>
  <c r="BT36" i="861"/>
  <c r="BI75" i="702" s="1"/>
  <c r="BU36" i="861"/>
  <c r="BJ75" i="702" s="1"/>
  <c r="BV36" i="861"/>
  <c r="BK75" i="702" s="1"/>
  <c r="BB37" i="861"/>
  <c r="AQ12" i="702" s="1"/>
  <c r="BC37" i="861"/>
  <c r="AR12" i="702" s="1"/>
  <c r="BD37" i="861"/>
  <c r="AS12" i="702" s="1"/>
  <c r="BE37" i="861"/>
  <c r="AT12" i="702" s="1"/>
  <c r="BF37" i="861"/>
  <c r="AU12" i="702" s="1"/>
  <c r="BG37" i="861"/>
  <c r="AV12" i="702" s="1"/>
  <c r="BH37" i="861"/>
  <c r="AW12" i="702" s="1"/>
  <c r="BI37" i="861"/>
  <c r="AX12" i="702" s="1"/>
  <c r="BJ37" i="861"/>
  <c r="AY12" i="702" s="1"/>
  <c r="BN37" i="861"/>
  <c r="BC12" i="702" s="1"/>
  <c r="BO37" i="861"/>
  <c r="BD12" i="702" s="1"/>
  <c r="BP37" i="861"/>
  <c r="BE12" i="702" s="1"/>
  <c r="BQ37" i="861"/>
  <c r="BF12" i="702" s="1"/>
  <c r="BR37" i="861"/>
  <c r="BG12" i="702" s="1"/>
  <c r="BS37" i="861"/>
  <c r="BH12" i="702" s="1"/>
  <c r="BT37" i="861"/>
  <c r="BI12" i="702" s="1"/>
  <c r="BU37" i="861"/>
  <c r="BJ12" i="702" s="1"/>
  <c r="BV37" i="861"/>
  <c r="BK12" i="702" s="1"/>
  <c r="BB38" i="861"/>
  <c r="AQ85" i="702" s="1"/>
  <c r="BC38" i="861"/>
  <c r="AR85" i="702" s="1"/>
  <c r="BD38" i="861"/>
  <c r="AS85" i="702" s="1"/>
  <c r="BE38" i="861"/>
  <c r="AT85" i="702" s="1"/>
  <c r="BF38" i="861"/>
  <c r="AU85" i="702" s="1"/>
  <c r="BG38" i="861"/>
  <c r="AV85" i="702" s="1"/>
  <c r="BH38" i="861"/>
  <c r="AW85" i="702" s="1"/>
  <c r="BI38" i="861"/>
  <c r="AX85" i="702" s="1"/>
  <c r="BJ38" i="861"/>
  <c r="AY85" i="702" s="1"/>
  <c r="BN38" i="861"/>
  <c r="BC85" i="702" s="1"/>
  <c r="BO38" i="861"/>
  <c r="BD85" i="702" s="1"/>
  <c r="BP38" i="861"/>
  <c r="BE85" i="702" s="1"/>
  <c r="BQ38" i="861"/>
  <c r="BF85" i="702" s="1"/>
  <c r="BR38" i="861"/>
  <c r="BG85" i="702" s="1"/>
  <c r="BS38" i="861"/>
  <c r="BH85" i="702" s="1"/>
  <c r="BT38" i="861"/>
  <c r="BI85" i="702" s="1"/>
  <c r="BU38" i="861"/>
  <c r="BJ85" i="702" s="1"/>
  <c r="BV38" i="861"/>
  <c r="BK85" i="702" s="1"/>
  <c r="BB39" i="861"/>
  <c r="AQ93" i="702" s="1"/>
  <c r="BC39" i="861"/>
  <c r="AR93" i="702" s="1"/>
  <c r="BD39" i="861"/>
  <c r="AS93" i="702" s="1"/>
  <c r="BE39" i="861"/>
  <c r="AT93" i="702" s="1"/>
  <c r="BF39" i="861"/>
  <c r="AU93" i="702" s="1"/>
  <c r="BG39" i="861"/>
  <c r="AV93" i="702" s="1"/>
  <c r="BH39" i="861"/>
  <c r="AW93" i="702" s="1"/>
  <c r="BI39" i="861"/>
  <c r="AX93" i="702" s="1"/>
  <c r="BJ39" i="861"/>
  <c r="AY93" i="702" s="1"/>
  <c r="BN39" i="861"/>
  <c r="BC93" i="702" s="1"/>
  <c r="BO39" i="861"/>
  <c r="BD93" i="702" s="1"/>
  <c r="BP39" i="861"/>
  <c r="BE93" i="702" s="1"/>
  <c r="BQ39" i="861"/>
  <c r="BF93" i="702" s="1"/>
  <c r="BR39" i="861"/>
  <c r="BG93" i="702" s="1"/>
  <c r="BS39" i="861"/>
  <c r="BH93" i="702" s="1"/>
  <c r="BT39" i="861"/>
  <c r="BI93" i="702" s="1"/>
  <c r="BU39" i="861"/>
  <c r="BJ93" i="702" s="1"/>
  <c r="BV39" i="861"/>
  <c r="BK93" i="702" s="1"/>
  <c r="BB40" i="861"/>
  <c r="AQ92" i="702" s="1"/>
  <c r="BC40" i="861"/>
  <c r="AR92" i="702" s="1"/>
  <c r="BD40" i="861"/>
  <c r="AS92" i="702" s="1"/>
  <c r="BE40" i="861"/>
  <c r="AT92" i="702" s="1"/>
  <c r="BF40" i="861"/>
  <c r="AU92" i="702" s="1"/>
  <c r="BG40" i="861"/>
  <c r="AV92" i="702" s="1"/>
  <c r="BH40" i="861"/>
  <c r="AW92" i="702" s="1"/>
  <c r="BI40" i="861"/>
  <c r="AX92" i="702" s="1"/>
  <c r="BJ40" i="861"/>
  <c r="AY92" i="702" s="1"/>
  <c r="BN40" i="861"/>
  <c r="BC92" i="702" s="1"/>
  <c r="BO40" i="861"/>
  <c r="BD92" i="702" s="1"/>
  <c r="BP40" i="861"/>
  <c r="BE92" i="702" s="1"/>
  <c r="BQ40" i="861"/>
  <c r="BF92" i="702" s="1"/>
  <c r="BR40" i="861"/>
  <c r="BG92" i="702" s="1"/>
  <c r="BS40" i="861"/>
  <c r="BH92" i="702" s="1"/>
  <c r="BT40" i="861"/>
  <c r="BI92" i="702" s="1"/>
  <c r="BU40" i="861"/>
  <c r="BJ92" i="702" s="1"/>
  <c r="BV40" i="861"/>
  <c r="BK92" i="702" s="1"/>
  <c r="BB41" i="861"/>
  <c r="AQ86" i="702" s="1"/>
  <c r="BC41" i="861"/>
  <c r="AR86" i="702" s="1"/>
  <c r="BD41" i="861"/>
  <c r="AS86" i="702" s="1"/>
  <c r="BE41" i="861"/>
  <c r="AT86" i="702" s="1"/>
  <c r="BF41" i="861"/>
  <c r="AU86" i="702" s="1"/>
  <c r="BG41" i="861"/>
  <c r="AV86" i="702" s="1"/>
  <c r="BH41" i="861"/>
  <c r="AW86" i="702" s="1"/>
  <c r="BI41" i="861"/>
  <c r="AX86" i="702" s="1"/>
  <c r="BJ41" i="861"/>
  <c r="AY86" i="702" s="1"/>
  <c r="BN41" i="861"/>
  <c r="BC86" i="702" s="1"/>
  <c r="BO41" i="861"/>
  <c r="BD86" i="702" s="1"/>
  <c r="BP41" i="861"/>
  <c r="BE86" i="702" s="1"/>
  <c r="BQ41" i="861"/>
  <c r="BF86" i="702" s="1"/>
  <c r="BR41" i="861"/>
  <c r="BG86" i="702" s="1"/>
  <c r="BS41" i="861"/>
  <c r="BH86" i="702" s="1"/>
  <c r="BT41" i="861"/>
  <c r="BI86" i="702" s="1"/>
  <c r="BU41" i="861"/>
  <c r="BJ86" i="702" s="1"/>
  <c r="BV41" i="861"/>
  <c r="BK86" i="702" s="1"/>
  <c r="BB42" i="861"/>
  <c r="AQ87" i="702" s="1"/>
  <c r="BC42" i="861"/>
  <c r="AR87" i="702" s="1"/>
  <c r="BD42" i="861"/>
  <c r="AS87" i="702" s="1"/>
  <c r="BE42" i="861"/>
  <c r="AT87" i="702" s="1"/>
  <c r="BF42" i="861"/>
  <c r="AU87" i="702" s="1"/>
  <c r="BG42" i="861"/>
  <c r="AV87" i="702" s="1"/>
  <c r="BH42" i="861"/>
  <c r="AW87" i="702" s="1"/>
  <c r="BI42" i="861"/>
  <c r="AX87" i="702" s="1"/>
  <c r="BJ42" i="861"/>
  <c r="AY87" i="702" s="1"/>
  <c r="BN42" i="861"/>
  <c r="BC87" i="702" s="1"/>
  <c r="BO42" i="861"/>
  <c r="BD87" i="702" s="1"/>
  <c r="BP42" i="861"/>
  <c r="BE87" i="702" s="1"/>
  <c r="BQ42" i="861"/>
  <c r="BF87" i="702" s="1"/>
  <c r="BR42" i="861"/>
  <c r="BG87" i="702" s="1"/>
  <c r="BS42" i="861"/>
  <c r="BH87" i="702" s="1"/>
  <c r="BT42" i="861"/>
  <c r="BI87" i="702" s="1"/>
  <c r="BU42" i="861"/>
  <c r="BJ87" i="702" s="1"/>
  <c r="BV42" i="861"/>
  <c r="BK87" i="702" s="1"/>
  <c r="BB43" i="861"/>
  <c r="AQ94" i="702" s="1"/>
  <c r="BC43" i="861"/>
  <c r="AR94" i="702" s="1"/>
  <c r="BD43" i="861"/>
  <c r="AS94" i="702" s="1"/>
  <c r="BE43" i="861"/>
  <c r="AT94" i="702" s="1"/>
  <c r="BF43" i="861"/>
  <c r="AU94" i="702" s="1"/>
  <c r="BG43" i="861"/>
  <c r="AV94" i="702" s="1"/>
  <c r="BH43" i="861"/>
  <c r="AW94" i="702" s="1"/>
  <c r="BI43" i="861"/>
  <c r="AX94" i="702" s="1"/>
  <c r="BJ43" i="861"/>
  <c r="AY94" i="702" s="1"/>
  <c r="BN43" i="861"/>
  <c r="BC94" i="702" s="1"/>
  <c r="BO43" i="861"/>
  <c r="BD94" i="702" s="1"/>
  <c r="BP43" i="861"/>
  <c r="BE94" i="702" s="1"/>
  <c r="BQ43" i="861"/>
  <c r="BF94" i="702" s="1"/>
  <c r="BR43" i="861"/>
  <c r="BG94" i="702" s="1"/>
  <c r="BS43" i="861"/>
  <c r="BH94" i="702" s="1"/>
  <c r="BT43" i="861"/>
  <c r="BI94" i="702" s="1"/>
  <c r="BU43" i="861"/>
  <c r="BJ94" i="702" s="1"/>
  <c r="BV43" i="861"/>
  <c r="BK94" i="702" s="1"/>
  <c r="BB44" i="861"/>
  <c r="AQ82" i="702" s="1"/>
  <c r="BC44" i="861"/>
  <c r="AR82" i="702" s="1"/>
  <c r="BD44" i="861"/>
  <c r="AS82" i="702" s="1"/>
  <c r="BE44" i="861"/>
  <c r="AT82" i="702" s="1"/>
  <c r="BF44" i="861"/>
  <c r="AU82" i="702" s="1"/>
  <c r="BG44" i="861"/>
  <c r="AV82" i="702" s="1"/>
  <c r="BH44" i="861"/>
  <c r="AW82" i="702" s="1"/>
  <c r="BI44" i="861"/>
  <c r="AX82" i="702" s="1"/>
  <c r="BJ44" i="861"/>
  <c r="AY82" i="702" s="1"/>
  <c r="BN44" i="861"/>
  <c r="BC82" i="702" s="1"/>
  <c r="BO44" i="861"/>
  <c r="BD82" i="702" s="1"/>
  <c r="BP44" i="861"/>
  <c r="BE82" i="702" s="1"/>
  <c r="BQ44" i="861"/>
  <c r="BF82" i="702" s="1"/>
  <c r="BR44" i="861"/>
  <c r="BG82" i="702" s="1"/>
  <c r="BS44" i="861"/>
  <c r="BH82" i="702" s="1"/>
  <c r="BT44" i="861"/>
  <c r="BI82" i="702" s="1"/>
  <c r="BU44" i="861"/>
  <c r="BJ82" i="702" s="1"/>
  <c r="BV44" i="861"/>
  <c r="BK82" i="702" s="1"/>
  <c r="BB45" i="861"/>
  <c r="AQ83" i="702" s="1"/>
  <c r="BC45" i="861"/>
  <c r="AR83" i="702" s="1"/>
  <c r="BD45" i="861"/>
  <c r="AS83" i="702" s="1"/>
  <c r="BE45" i="861"/>
  <c r="AT83" i="702" s="1"/>
  <c r="BF45" i="861"/>
  <c r="AU83" i="702" s="1"/>
  <c r="BG45" i="861"/>
  <c r="AV83" i="702" s="1"/>
  <c r="BH45" i="861"/>
  <c r="AW83" i="702" s="1"/>
  <c r="BI45" i="861"/>
  <c r="AX83" i="702" s="1"/>
  <c r="BJ45" i="861"/>
  <c r="AY83" i="702" s="1"/>
  <c r="BN45" i="861"/>
  <c r="BC83" i="702" s="1"/>
  <c r="BO45" i="861"/>
  <c r="BD83" i="702" s="1"/>
  <c r="BP45" i="861"/>
  <c r="BE83" i="702" s="1"/>
  <c r="BQ45" i="861"/>
  <c r="BF83" i="702" s="1"/>
  <c r="BR45" i="861"/>
  <c r="BG83" i="702" s="1"/>
  <c r="BS45" i="861"/>
  <c r="BH83" i="702" s="1"/>
  <c r="BT45" i="861"/>
  <c r="BI83" i="702" s="1"/>
  <c r="BU45" i="861"/>
  <c r="BJ83" i="702" s="1"/>
  <c r="BV45" i="861"/>
  <c r="BK83" i="702" s="1"/>
  <c r="BB46" i="861"/>
  <c r="AQ84" i="702" s="1"/>
  <c r="BC46" i="861"/>
  <c r="AR84" i="702" s="1"/>
  <c r="BD46" i="861"/>
  <c r="AS84" i="702" s="1"/>
  <c r="BE46" i="861"/>
  <c r="AT84" i="702" s="1"/>
  <c r="BF46" i="861"/>
  <c r="AU84" i="702" s="1"/>
  <c r="BG46" i="861"/>
  <c r="AV84" i="702" s="1"/>
  <c r="BH46" i="861"/>
  <c r="AW84" i="702" s="1"/>
  <c r="BI46" i="861"/>
  <c r="AX84" i="702" s="1"/>
  <c r="BJ46" i="861"/>
  <c r="AY84" i="702" s="1"/>
  <c r="BN46" i="861"/>
  <c r="BC84" i="702" s="1"/>
  <c r="BO46" i="861"/>
  <c r="BD84" i="702" s="1"/>
  <c r="BP46" i="861"/>
  <c r="BE84" i="702" s="1"/>
  <c r="BQ46" i="861"/>
  <c r="BF84" i="702" s="1"/>
  <c r="BR46" i="861"/>
  <c r="BG84" i="702" s="1"/>
  <c r="BS46" i="861"/>
  <c r="BH84" i="702" s="1"/>
  <c r="BT46" i="861"/>
  <c r="BI84" i="702" s="1"/>
  <c r="BU46" i="861"/>
  <c r="BJ84" i="702" s="1"/>
  <c r="BV46" i="861"/>
  <c r="BK84" i="702" s="1"/>
  <c r="BB47" i="861"/>
  <c r="AQ77" i="702" s="1"/>
  <c r="BC47" i="861"/>
  <c r="AR77" i="702" s="1"/>
  <c r="BD47" i="861"/>
  <c r="AS77" i="702" s="1"/>
  <c r="BE47" i="861"/>
  <c r="AT77" i="702" s="1"/>
  <c r="BF47" i="861"/>
  <c r="AU77" i="702" s="1"/>
  <c r="BG47" i="861"/>
  <c r="AV77" i="702" s="1"/>
  <c r="BH47" i="861"/>
  <c r="AW77" i="702" s="1"/>
  <c r="BI47" i="861"/>
  <c r="AX77" i="702" s="1"/>
  <c r="BJ47" i="861"/>
  <c r="AY77" i="702" s="1"/>
  <c r="BN47" i="861"/>
  <c r="BC77" i="702" s="1"/>
  <c r="BO47" i="861"/>
  <c r="BD77" i="702" s="1"/>
  <c r="BP47" i="861"/>
  <c r="BE77" i="702" s="1"/>
  <c r="BQ47" i="861"/>
  <c r="BF77" i="702" s="1"/>
  <c r="BR47" i="861"/>
  <c r="BG77" i="702" s="1"/>
  <c r="BS47" i="861"/>
  <c r="BH77" i="702" s="1"/>
  <c r="BT47" i="861"/>
  <c r="BI77" i="702" s="1"/>
  <c r="BU47" i="861"/>
  <c r="BJ77" i="702" s="1"/>
  <c r="BV47" i="861"/>
  <c r="BK77" i="702" s="1"/>
  <c r="BB48" i="861"/>
  <c r="AQ79" i="702" s="1"/>
  <c r="BC48" i="861"/>
  <c r="AR79" i="702" s="1"/>
  <c r="BD48" i="861"/>
  <c r="AS79" i="702" s="1"/>
  <c r="BE48" i="861"/>
  <c r="AT79" i="702" s="1"/>
  <c r="BF48" i="861"/>
  <c r="AU79" i="702" s="1"/>
  <c r="BG48" i="861"/>
  <c r="AV79" i="702" s="1"/>
  <c r="BH48" i="861"/>
  <c r="AW79" i="702" s="1"/>
  <c r="BI48" i="861"/>
  <c r="AX79" i="702" s="1"/>
  <c r="BJ48" i="861"/>
  <c r="AY79" i="702" s="1"/>
  <c r="BN48" i="861"/>
  <c r="BC79" i="702" s="1"/>
  <c r="BO48" i="861"/>
  <c r="BD79" i="702" s="1"/>
  <c r="BP48" i="861"/>
  <c r="BE79" i="702" s="1"/>
  <c r="BQ48" i="861"/>
  <c r="BF79" i="702" s="1"/>
  <c r="BR48" i="861"/>
  <c r="BG79" i="702" s="1"/>
  <c r="BS48" i="861"/>
  <c r="BH79" i="702" s="1"/>
  <c r="BT48" i="861"/>
  <c r="BI79" i="702" s="1"/>
  <c r="BU48" i="861"/>
  <c r="BJ79" i="702" s="1"/>
  <c r="BV48" i="861"/>
  <c r="BK79" i="702" s="1"/>
  <c r="BB49" i="861"/>
  <c r="AQ126" i="702" s="1"/>
  <c r="BC49" i="861"/>
  <c r="AR126" i="702" s="1"/>
  <c r="BD49" i="861"/>
  <c r="AS126" i="702" s="1"/>
  <c r="BE49" i="861"/>
  <c r="AT126" i="702" s="1"/>
  <c r="BF49" i="861"/>
  <c r="AU126" i="702" s="1"/>
  <c r="BG49" i="861"/>
  <c r="AV126" i="702" s="1"/>
  <c r="BH49" i="861"/>
  <c r="AW126" i="702" s="1"/>
  <c r="BI49" i="861"/>
  <c r="AX126" i="702" s="1"/>
  <c r="BJ49" i="861"/>
  <c r="AY126" i="702" s="1"/>
  <c r="BN49" i="861"/>
  <c r="BC126" i="702" s="1"/>
  <c r="BO49" i="861"/>
  <c r="BD126" i="702" s="1"/>
  <c r="BP49" i="861"/>
  <c r="BE126" i="702" s="1"/>
  <c r="BQ49" i="861"/>
  <c r="BF126" i="702" s="1"/>
  <c r="BR49" i="861"/>
  <c r="BG126" i="702" s="1"/>
  <c r="BS49" i="861"/>
  <c r="BH126" i="702" s="1"/>
  <c r="BT49" i="861"/>
  <c r="BI126" i="702" s="1"/>
  <c r="BU49" i="861"/>
  <c r="BJ126" i="702" s="1"/>
  <c r="BV49" i="861"/>
  <c r="BK126" i="702" s="1"/>
  <c r="BB50" i="861"/>
  <c r="AQ127" i="702" s="1"/>
  <c r="BC50" i="861"/>
  <c r="AR127" i="702" s="1"/>
  <c r="BD50" i="861"/>
  <c r="AS127" i="702" s="1"/>
  <c r="BE50" i="861"/>
  <c r="AT127" i="702" s="1"/>
  <c r="BF50" i="861"/>
  <c r="AU127" i="702" s="1"/>
  <c r="BG50" i="861"/>
  <c r="AV127" i="702" s="1"/>
  <c r="BH50" i="861"/>
  <c r="AW127" i="702" s="1"/>
  <c r="BI50" i="861"/>
  <c r="AX127" i="702" s="1"/>
  <c r="BJ50" i="861"/>
  <c r="AY127" i="702" s="1"/>
  <c r="BN50" i="861"/>
  <c r="BC127" i="702" s="1"/>
  <c r="BO50" i="861"/>
  <c r="BD127" i="702" s="1"/>
  <c r="BP50" i="861"/>
  <c r="BE127" i="702" s="1"/>
  <c r="BQ50" i="861"/>
  <c r="BF127" i="702" s="1"/>
  <c r="BR50" i="861"/>
  <c r="BG127" i="702" s="1"/>
  <c r="BS50" i="861"/>
  <c r="BH127" i="702" s="1"/>
  <c r="BT50" i="861"/>
  <c r="BI127" i="702" s="1"/>
  <c r="BU50" i="861"/>
  <c r="BJ127" i="702" s="1"/>
  <c r="BV50" i="861"/>
  <c r="BK127" i="702" s="1"/>
  <c r="BB51" i="861"/>
  <c r="AQ123" i="702" s="1"/>
  <c r="BC51" i="861"/>
  <c r="AR123" i="702" s="1"/>
  <c r="BD51" i="861"/>
  <c r="AS123" i="702" s="1"/>
  <c r="BE51" i="861"/>
  <c r="AT123" i="702" s="1"/>
  <c r="BF51" i="861"/>
  <c r="AU123" i="702" s="1"/>
  <c r="BG51" i="861"/>
  <c r="AV123" i="702" s="1"/>
  <c r="BH51" i="861"/>
  <c r="AW123" i="702" s="1"/>
  <c r="BI51" i="861"/>
  <c r="AX123" i="702" s="1"/>
  <c r="BJ51" i="861"/>
  <c r="AY123" i="702" s="1"/>
  <c r="BN51" i="861"/>
  <c r="BC123" i="702" s="1"/>
  <c r="BO51" i="861"/>
  <c r="BD123" i="702" s="1"/>
  <c r="BP51" i="861"/>
  <c r="BE123" i="702" s="1"/>
  <c r="BQ51" i="861"/>
  <c r="BF123" i="702" s="1"/>
  <c r="BR51" i="861"/>
  <c r="BG123" i="702" s="1"/>
  <c r="BS51" i="861"/>
  <c r="BH123" i="702" s="1"/>
  <c r="BT51" i="861"/>
  <c r="BI123" i="702" s="1"/>
  <c r="BU51" i="861"/>
  <c r="BJ123" i="702" s="1"/>
  <c r="BV51" i="861"/>
  <c r="BK123" i="702" s="1"/>
  <c r="BB52" i="861"/>
  <c r="AQ124" i="702" s="1"/>
  <c r="BC52" i="861"/>
  <c r="AR124" i="702" s="1"/>
  <c r="BD52" i="861"/>
  <c r="AS124" i="702" s="1"/>
  <c r="BE52" i="861"/>
  <c r="AT124" i="702" s="1"/>
  <c r="BF52" i="861"/>
  <c r="AU124" i="702" s="1"/>
  <c r="BG52" i="861"/>
  <c r="AV124" i="702" s="1"/>
  <c r="BH52" i="861"/>
  <c r="AW124" i="702" s="1"/>
  <c r="BI52" i="861"/>
  <c r="AX124" i="702" s="1"/>
  <c r="BJ52" i="861"/>
  <c r="AY124" i="702" s="1"/>
  <c r="BN52" i="861"/>
  <c r="BC124" i="702" s="1"/>
  <c r="BO52" i="861"/>
  <c r="BD124" i="702" s="1"/>
  <c r="BP52" i="861"/>
  <c r="BE124" i="702" s="1"/>
  <c r="BQ52" i="861"/>
  <c r="BF124" i="702" s="1"/>
  <c r="BR52" i="861"/>
  <c r="BG124" i="702" s="1"/>
  <c r="BS52" i="861"/>
  <c r="BH124" i="702" s="1"/>
  <c r="BT52" i="861"/>
  <c r="BI124" i="702" s="1"/>
  <c r="BU52" i="861"/>
  <c r="BJ124" i="702" s="1"/>
  <c r="BV52" i="861"/>
  <c r="BK124" i="702" s="1"/>
  <c r="BB53" i="861"/>
  <c r="AQ116" i="702" s="1"/>
  <c r="BC53" i="861"/>
  <c r="AR116" i="702" s="1"/>
  <c r="BD53" i="861"/>
  <c r="AS116" i="702" s="1"/>
  <c r="BE53" i="861"/>
  <c r="AT116" i="702" s="1"/>
  <c r="BF53" i="861"/>
  <c r="AU116" i="702" s="1"/>
  <c r="BG53" i="861"/>
  <c r="AV116" i="702" s="1"/>
  <c r="BH53" i="861"/>
  <c r="AW116" i="702" s="1"/>
  <c r="BI53" i="861"/>
  <c r="AX116" i="702" s="1"/>
  <c r="BJ53" i="861"/>
  <c r="AY116" i="702" s="1"/>
  <c r="BN53" i="861"/>
  <c r="BC116" i="702" s="1"/>
  <c r="BO53" i="861"/>
  <c r="BD116" i="702" s="1"/>
  <c r="BP53" i="861"/>
  <c r="BE116" i="702" s="1"/>
  <c r="BQ53" i="861"/>
  <c r="BF116" i="702" s="1"/>
  <c r="BR53" i="861"/>
  <c r="BG116" i="702" s="1"/>
  <c r="BS53" i="861"/>
  <c r="BH116" i="702" s="1"/>
  <c r="BT53" i="861"/>
  <c r="BI116" i="702" s="1"/>
  <c r="BU53" i="861"/>
  <c r="BJ116" i="702" s="1"/>
  <c r="BV53" i="861"/>
  <c r="BK116" i="702" s="1"/>
  <c r="BB54" i="861"/>
  <c r="AQ90" i="702" s="1"/>
  <c r="BC54" i="861"/>
  <c r="AR90" i="702" s="1"/>
  <c r="BD54" i="861"/>
  <c r="AS90" i="702" s="1"/>
  <c r="BE54" i="861"/>
  <c r="AT90" i="702" s="1"/>
  <c r="BF54" i="861"/>
  <c r="AU90" i="702" s="1"/>
  <c r="BG54" i="861"/>
  <c r="AV90" i="702" s="1"/>
  <c r="BH54" i="861"/>
  <c r="AW90" i="702" s="1"/>
  <c r="BI54" i="861"/>
  <c r="AX90" i="702" s="1"/>
  <c r="BJ54" i="861"/>
  <c r="AY90" i="702" s="1"/>
  <c r="BN54" i="861"/>
  <c r="BC90" i="702" s="1"/>
  <c r="BO54" i="861"/>
  <c r="BD90" i="702" s="1"/>
  <c r="BP54" i="861"/>
  <c r="BE90" i="702" s="1"/>
  <c r="BQ54" i="861"/>
  <c r="BF90" i="702" s="1"/>
  <c r="BR54" i="861"/>
  <c r="BG90" i="702" s="1"/>
  <c r="BS54" i="861"/>
  <c r="BH90" i="702" s="1"/>
  <c r="BT54" i="861"/>
  <c r="BI90" i="702" s="1"/>
  <c r="BU54" i="861"/>
  <c r="BJ90" i="702" s="1"/>
  <c r="BV54" i="861"/>
  <c r="BK90" i="702" s="1"/>
  <c r="BB55" i="861"/>
  <c r="AQ125" i="702" s="1"/>
  <c r="BC55" i="861"/>
  <c r="AR125" i="702" s="1"/>
  <c r="BD55" i="861"/>
  <c r="AS125" i="702" s="1"/>
  <c r="BE55" i="861"/>
  <c r="AT125" i="702" s="1"/>
  <c r="BF55" i="861"/>
  <c r="AU125" i="702" s="1"/>
  <c r="BG55" i="861"/>
  <c r="AV125" i="702" s="1"/>
  <c r="BH55" i="861"/>
  <c r="AW125" i="702" s="1"/>
  <c r="BI55" i="861"/>
  <c r="AX125" i="702" s="1"/>
  <c r="BJ55" i="861"/>
  <c r="AY125" i="702" s="1"/>
  <c r="BN55" i="861"/>
  <c r="BC125" i="702" s="1"/>
  <c r="BO55" i="861"/>
  <c r="BD125" i="702" s="1"/>
  <c r="BP55" i="861"/>
  <c r="BE125" i="702" s="1"/>
  <c r="BQ55" i="861"/>
  <c r="BF125" i="702" s="1"/>
  <c r="BR55" i="861"/>
  <c r="BG125" i="702" s="1"/>
  <c r="BS55" i="861"/>
  <c r="BH125" i="702" s="1"/>
  <c r="BT55" i="861"/>
  <c r="BI125" i="702" s="1"/>
  <c r="BU55" i="861"/>
  <c r="BJ125" i="702" s="1"/>
  <c r="BV55" i="861"/>
  <c r="BK125" i="702" s="1"/>
  <c r="BB56" i="861"/>
  <c r="AQ88" i="702" s="1"/>
  <c r="BC56" i="861"/>
  <c r="AR88" i="702" s="1"/>
  <c r="BD56" i="861"/>
  <c r="AS88" i="702" s="1"/>
  <c r="BE56" i="861"/>
  <c r="AT88" i="702" s="1"/>
  <c r="BF56" i="861"/>
  <c r="AU88" i="702" s="1"/>
  <c r="BG56" i="861"/>
  <c r="AV88" i="702" s="1"/>
  <c r="BH56" i="861"/>
  <c r="AW88" i="702" s="1"/>
  <c r="BI56" i="861"/>
  <c r="AX88" i="702" s="1"/>
  <c r="BJ56" i="861"/>
  <c r="AY88" i="702" s="1"/>
  <c r="BN56" i="861"/>
  <c r="BC88" i="702" s="1"/>
  <c r="BO56" i="861"/>
  <c r="BD88" i="702" s="1"/>
  <c r="BP56" i="861"/>
  <c r="BE88" i="702" s="1"/>
  <c r="BQ56" i="861"/>
  <c r="BF88" i="702" s="1"/>
  <c r="BR56" i="861"/>
  <c r="BG88" i="702" s="1"/>
  <c r="BS56" i="861"/>
  <c r="BH88" i="702" s="1"/>
  <c r="BT56" i="861"/>
  <c r="BI88" i="702" s="1"/>
  <c r="BU56" i="861"/>
  <c r="BJ88" i="702" s="1"/>
  <c r="BV56" i="861"/>
  <c r="BK88" i="702" s="1"/>
  <c r="BB57" i="861"/>
  <c r="AQ78" i="702" s="1"/>
  <c r="BC57" i="861"/>
  <c r="AR78" i="702" s="1"/>
  <c r="BD57" i="861"/>
  <c r="AS78" i="702" s="1"/>
  <c r="BE57" i="861"/>
  <c r="AT78" i="702" s="1"/>
  <c r="BF57" i="861"/>
  <c r="AU78" i="702" s="1"/>
  <c r="BG57" i="861"/>
  <c r="AV78" i="702" s="1"/>
  <c r="BH57" i="861"/>
  <c r="AW78" i="702" s="1"/>
  <c r="BI57" i="861"/>
  <c r="AX78" i="702" s="1"/>
  <c r="BJ57" i="861"/>
  <c r="AY78" i="702" s="1"/>
  <c r="BN57" i="861"/>
  <c r="BC78" i="702" s="1"/>
  <c r="BO57" i="861"/>
  <c r="BD78" i="702" s="1"/>
  <c r="BP57" i="861"/>
  <c r="BE78" i="702" s="1"/>
  <c r="BQ57" i="861"/>
  <c r="BF78" i="702" s="1"/>
  <c r="BR57" i="861"/>
  <c r="BG78" i="702" s="1"/>
  <c r="BS57" i="861"/>
  <c r="BH78" i="702" s="1"/>
  <c r="BT57" i="861"/>
  <c r="BI78" i="702" s="1"/>
  <c r="BU57" i="861"/>
  <c r="BJ78" i="702" s="1"/>
  <c r="BV57" i="861"/>
  <c r="BK78" i="702" s="1"/>
  <c r="BB58" i="861"/>
  <c r="AQ91" i="702" s="1"/>
  <c r="BC58" i="861"/>
  <c r="AR91" i="702" s="1"/>
  <c r="BD58" i="861"/>
  <c r="AS91" i="702" s="1"/>
  <c r="BE58" i="861"/>
  <c r="AT91" i="702" s="1"/>
  <c r="BF58" i="861"/>
  <c r="AU91" i="702" s="1"/>
  <c r="BG58" i="861"/>
  <c r="AV91" i="702" s="1"/>
  <c r="BH58" i="861"/>
  <c r="AW91" i="702" s="1"/>
  <c r="BI58" i="861"/>
  <c r="AX91" i="702" s="1"/>
  <c r="BJ58" i="861"/>
  <c r="AY91" i="702" s="1"/>
  <c r="BN58" i="861"/>
  <c r="BC91" i="702" s="1"/>
  <c r="BO58" i="861"/>
  <c r="BD91" i="702" s="1"/>
  <c r="BP58" i="861"/>
  <c r="BE91" i="702" s="1"/>
  <c r="BQ58" i="861"/>
  <c r="BF91" i="702" s="1"/>
  <c r="BR58" i="861"/>
  <c r="BG91" i="702" s="1"/>
  <c r="BS58" i="861"/>
  <c r="BH91" i="702" s="1"/>
  <c r="BT58" i="861"/>
  <c r="BI91" i="702" s="1"/>
  <c r="BU58" i="861"/>
  <c r="BJ91" i="702" s="1"/>
  <c r="BV58" i="861"/>
  <c r="BK91" i="702" s="1"/>
  <c r="BB59" i="861"/>
  <c r="AQ89" i="702" s="1"/>
  <c r="BC59" i="861"/>
  <c r="AR89" i="702" s="1"/>
  <c r="BD59" i="861"/>
  <c r="AS89" i="702" s="1"/>
  <c r="BE59" i="861"/>
  <c r="AT89" i="702" s="1"/>
  <c r="BF59" i="861"/>
  <c r="AU89" i="702" s="1"/>
  <c r="BG59" i="861"/>
  <c r="AV89" i="702" s="1"/>
  <c r="BH59" i="861"/>
  <c r="AW89" i="702" s="1"/>
  <c r="BI59" i="861"/>
  <c r="AX89" i="702" s="1"/>
  <c r="BJ59" i="861"/>
  <c r="AY89" i="702" s="1"/>
  <c r="BN59" i="861"/>
  <c r="BC89" i="702" s="1"/>
  <c r="BO59" i="861"/>
  <c r="BD89" i="702" s="1"/>
  <c r="BP59" i="861"/>
  <c r="BE89" i="702" s="1"/>
  <c r="BQ59" i="861"/>
  <c r="BF89" i="702" s="1"/>
  <c r="BR59" i="861"/>
  <c r="BG89" i="702" s="1"/>
  <c r="BS59" i="861"/>
  <c r="BH89" i="702" s="1"/>
  <c r="BT59" i="861"/>
  <c r="BI89" i="702" s="1"/>
  <c r="BU59" i="861"/>
  <c r="BJ89" i="702" s="1"/>
  <c r="BV59" i="861"/>
  <c r="BK89" i="702" s="1"/>
  <c r="BB60" i="861"/>
  <c r="AQ128" i="702" s="1"/>
  <c r="BC60" i="861"/>
  <c r="AR128" i="702" s="1"/>
  <c r="BD60" i="861"/>
  <c r="AS128" i="702" s="1"/>
  <c r="BE60" i="861"/>
  <c r="AT128" i="702" s="1"/>
  <c r="BF60" i="861"/>
  <c r="AU128" i="702" s="1"/>
  <c r="BG60" i="861"/>
  <c r="AV128" i="702" s="1"/>
  <c r="BH60" i="861"/>
  <c r="AW128" i="702" s="1"/>
  <c r="BI60" i="861"/>
  <c r="AX128" i="702" s="1"/>
  <c r="BJ60" i="861"/>
  <c r="AY128" i="702" s="1"/>
  <c r="BN60" i="861"/>
  <c r="BC128" i="702" s="1"/>
  <c r="BO60" i="861"/>
  <c r="BD128" i="702" s="1"/>
  <c r="BP60" i="861"/>
  <c r="BE128" i="702" s="1"/>
  <c r="BQ60" i="861"/>
  <c r="BF128" i="702" s="1"/>
  <c r="BR60" i="861"/>
  <c r="BG128" i="702" s="1"/>
  <c r="BS60" i="861"/>
  <c r="BH128" i="702" s="1"/>
  <c r="BT60" i="861"/>
  <c r="BI128" i="702" s="1"/>
  <c r="BU60" i="861"/>
  <c r="BJ128" i="702" s="1"/>
  <c r="BV60" i="861"/>
  <c r="BK128" i="702" s="1"/>
  <c r="BB61" i="861"/>
  <c r="AQ129" i="702" s="1"/>
  <c r="BC61" i="861"/>
  <c r="AR129" i="702" s="1"/>
  <c r="BD61" i="861"/>
  <c r="AS129" i="702" s="1"/>
  <c r="BE61" i="861"/>
  <c r="AT129" i="702" s="1"/>
  <c r="BF61" i="861"/>
  <c r="AU129" i="702" s="1"/>
  <c r="BG61" i="861"/>
  <c r="AV129" i="702" s="1"/>
  <c r="BH61" i="861"/>
  <c r="AW129" i="702" s="1"/>
  <c r="BI61" i="861"/>
  <c r="AX129" i="702" s="1"/>
  <c r="BJ61" i="861"/>
  <c r="AY129" i="702" s="1"/>
  <c r="BN61" i="861"/>
  <c r="BC129" i="702" s="1"/>
  <c r="BO61" i="861"/>
  <c r="BD129" i="702" s="1"/>
  <c r="BP61" i="861"/>
  <c r="BE129" i="702" s="1"/>
  <c r="BQ61" i="861"/>
  <c r="BF129" i="702" s="1"/>
  <c r="BR61" i="861"/>
  <c r="BG129" i="702" s="1"/>
  <c r="BS61" i="861"/>
  <c r="BH129" i="702" s="1"/>
  <c r="BT61" i="861"/>
  <c r="BI129" i="702" s="1"/>
  <c r="BU61" i="861"/>
  <c r="BJ129" i="702" s="1"/>
  <c r="BV61" i="861"/>
  <c r="BK129" i="702" s="1"/>
  <c r="BB62" i="861"/>
  <c r="AQ57" i="702" s="1"/>
  <c r="BC62" i="861"/>
  <c r="AR57" i="702" s="1"/>
  <c r="BD62" i="861"/>
  <c r="AS57" i="702" s="1"/>
  <c r="BE62" i="861"/>
  <c r="AT57" i="702" s="1"/>
  <c r="BF62" i="861"/>
  <c r="AU57" i="702" s="1"/>
  <c r="BG62" i="861"/>
  <c r="AV57" i="702" s="1"/>
  <c r="BH62" i="861"/>
  <c r="AW57" i="702" s="1"/>
  <c r="BI62" i="861"/>
  <c r="AX57" i="702" s="1"/>
  <c r="BJ62" i="861"/>
  <c r="AY57" i="702" s="1"/>
  <c r="BN62" i="861"/>
  <c r="BC57" i="702" s="1"/>
  <c r="BO62" i="861"/>
  <c r="BD57" i="702" s="1"/>
  <c r="BP62" i="861"/>
  <c r="BE57" i="702" s="1"/>
  <c r="BQ62" i="861"/>
  <c r="BF57" i="702" s="1"/>
  <c r="BR62" i="861"/>
  <c r="BG57" i="702" s="1"/>
  <c r="BS62" i="861"/>
  <c r="BH57" i="702" s="1"/>
  <c r="BT62" i="861"/>
  <c r="BI57" i="702" s="1"/>
  <c r="BU62" i="861"/>
  <c r="BJ57" i="702" s="1"/>
  <c r="BV62" i="861"/>
  <c r="BK57" i="702" s="1"/>
  <c r="BB63" i="861"/>
  <c r="AQ130" i="702" s="1"/>
  <c r="BC63" i="861"/>
  <c r="AR130" i="702" s="1"/>
  <c r="BD63" i="861"/>
  <c r="AS130" i="702" s="1"/>
  <c r="BE63" i="861"/>
  <c r="AT130" i="702" s="1"/>
  <c r="BF63" i="861"/>
  <c r="AU130" i="702" s="1"/>
  <c r="BG63" i="861"/>
  <c r="AV130" i="702" s="1"/>
  <c r="BH63" i="861"/>
  <c r="AW130" i="702" s="1"/>
  <c r="BI63" i="861"/>
  <c r="AX130" i="702" s="1"/>
  <c r="BJ63" i="861"/>
  <c r="AY130" i="702" s="1"/>
  <c r="BN63" i="861"/>
  <c r="BC130" i="702" s="1"/>
  <c r="BO63" i="861"/>
  <c r="BD130" i="702" s="1"/>
  <c r="BP63" i="861"/>
  <c r="BE130" i="702" s="1"/>
  <c r="BQ63" i="861"/>
  <c r="BF130" i="702" s="1"/>
  <c r="BR63" i="861"/>
  <c r="BS63" i="861"/>
  <c r="BH130" i="702" s="1"/>
  <c r="BT63" i="861"/>
  <c r="BI130" i="702" s="1"/>
  <c r="BU63" i="861"/>
  <c r="BJ130" i="702" s="1"/>
  <c r="BV63" i="861"/>
  <c r="BK130" i="702" s="1"/>
  <c r="BB64" i="861"/>
  <c r="AQ133" i="702" s="1"/>
  <c r="BC64" i="861"/>
  <c r="AR133" i="702" s="1"/>
  <c r="BD64" i="861"/>
  <c r="AS133" i="702" s="1"/>
  <c r="BE64" i="861"/>
  <c r="AT133" i="702" s="1"/>
  <c r="BF64" i="861"/>
  <c r="AU133" i="702" s="1"/>
  <c r="BG64" i="861"/>
  <c r="AV133" i="702" s="1"/>
  <c r="BH64" i="861"/>
  <c r="BI64" i="861"/>
  <c r="BJ64" i="861"/>
  <c r="BN64" i="861"/>
  <c r="BC133" i="702" s="1"/>
  <c r="BO64" i="861"/>
  <c r="BD133" i="702" s="1"/>
  <c r="BP64" i="861"/>
  <c r="BE133" i="702" s="1"/>
  <c r="BQ64" i="861"/>
  <c r="BF133" i="702" s="1"/>
  <c r="BR64" i="861"/>
  <c r="BG133" i="702" s="1"/>
  <c r="BS64" i="861"/>
  <c r="BH133" i="702" s="1"/>
  <c r="BT64" i="861"/>
  <c r="BI133" i="702" s="1"/>
  <c r="BU64" i="861"/>
  <c r="BJ133" i="702" s="1"/>
  <c r="J23" i="860" s="1"/>
  <c r="BV64" i="861"/>
  <c r="BK133" i="702" s="1"/>
  <c r="BB65" i="861"/>
  <c r="AQ131" i="702" s="1"/>
  <c r="BC65" i="861"/>
  <c r="AR131" i="702" s="1"/>
  <c r="BD65" i="861"/>
  <c r="AS131" i="702" s="1"/>
  <c r="BE65" i="861"/>
  <c r="AT131" i="702" s="1"/>
  <c r="BF65" i="861"/>
  <c r="AU131" i="702" s="1"/>
  <c r="BG65" i="861"/>
  <c r="AV131" i="702" s="1"/>
  <c r="BH65" i="861"/>
  <c r="AW131" i="702" s="1"/>
  <c r="BI65" i="861"/>
  <c r="AX131" i="702" s="1"/>
  <c r="BJ65" i="861"/>
  <c r="AY131" i="702" s="1"/>
  <c r="BN65" i="861"/>
  <c r="BC131" i="702" s="1"/>
  <c r="BO65" i="861"/>
  <c r="BD131" i="702" s="1"/>
  <c r="BP65" i="861"/>
  <c r="BE131" i="702" s="1"/>
  <c r="BQ65" i="861"/>
  <c r="BF131" i="702" s="1"/>
  <c r="BR65" i="861"/>
  <c r="BG131" i="702" s="1"/>
  <c r="BS65" i="861"/>
  <c r="BH131" i="702" s="1"/>
  <c r="BT65" i="861"/>
  <c r="BI131" i="702" s="1"/>
  <c r="BU65" i="861"/>
  <c r="BJ131" i="702" s="1"/>
  <c r="BV65" i="861"/>
  <c r="BK131" i="702" s="1"/>
  <c r="BB66" i="861"/>
  <c r="AQ132" i="702" s="1"/>
  <c r="BC66" i="861"/>
  <c r="AR132" i="702" s="1"/>
  <c r="BD66" i="861"/>
  <c r="AS132" i="702" s="1"/>
  <c r="BE66" i="861"/>
  <c r="AT132" i="702" s="1"/>
  <c r="BF66" i="861"/>
  <c r="AU132" i="702" s="1"/>
  <c r="BG66" i="861"/>
  <c r="AV132" i="702" s="1"/>
  <c r="BH66" i="861"/>
  <c r="AW132" i="702" s="1"/>
  <c r="BI66" i="861"/>
  <c r="AX132" i="702" s="1"/>
  <c r="BJ66" i="861"/>
  <c r="AY132" i="702" s="1"/>
  <c r="BN66" i="861"/>
  <c r="BC132" i="702" s="1"/>
  <c r="BO66" i="861"/>
  <c r="BD132" i="702" s="1"/>
  <c r="BP66" i="861"/>
  <c r="BE132" i="702" s="1"/>
  <c r="BQ66" i="861"/>
  <c r="BF132" i="702" s="1"/>
  <c r="BR66" i="861"/>
  <c r="BG132" i="702" s="1"/>
  <c r="BS66" i="861"/>
  <c r="BH132" i="702" s="1"/>
  <c r="BT66" i="861"/>
  <c r="BI132" i="702" s="1"/>
  <c r="BU66" i="861"/>
  <c r="BJ132" i="702" s="1"/>
  <c r="BV66" i="861"/>
  <c r="BK132" i="702" s="1"/>
  <c r="BB67" i="861"/>
  <c r="AQ96" i="702" s="1"/>
  <c r="BC67" i="861"/>
  <c r="AR96" i="702" s="1"/>
  <c r="BD67" i="861"/>
  <c r="AS96" i="702" s="1"/>
  <c r="BE67" i="861"/>
  <c r="AT96" i="702" s="1"/>
  <c r="BF67" i="861"/>
  <c r="AU96" i="702" s="1"/>
  <c r="BG67" i="861"/>
  <c r="AV96" i="702" s="1"/>
  <c r="BH67" i="861"/>
  <c r="AW96" i="702" s="1"/>
  <c r="BI67" i="861"/>
  <c r="AX96" i="702" s="1"/>
  <c r="BJ67" i="861"/>
  <c r="AY96" i="702" s="1"/>
  <c r="BN67" i="861"/>
  <c r="BC96" i="702" s="1"/>
  <c r="BO67" i="861"/>
  <c r="BD96" i="702" s="1"/>
  <c r="BP67" i="861"/>
  <c r="BE96" i="702" s="1"/>
  <c r="BQ67" i="861"/>
  <c r="BF96" i="702" s="1"/>
  <c r="BR67" i="861"/>
  <c r="BG96" i="702" s="1"/>
  <c r="BS67" i="861"/>
  <c r="BH96" i="702" s="1"/>
  <c r="BT67" i="861"/>
  <c r="BI96" i="702" s="1"/>
  <c r="BU67" i="861"/>
  <c r="BJ96" i="702" s="1"/>
  <c r="BV67" i="861"/>
  <c r="BK96" i="702" s="1"/>
  <c r="BB68" i="861"/>
  <c r="AQ99" i="702" s="1"/>
  <c r="BC68" i="861"/>
  <c r="AR99" i="702" s="1"/>
  <c r="BD68" i="861"/>
  <c r="AS99" i="702" s="1"/>
  <c r="BE68" i="861"/>
  <c r="AT99" i="702" s="1"/>
  <c r="BF68" i="861"/>
  <c r="AU99" i="702" s="1"/>
  <c r="BG68" i="861"/>
  <c r="AV99" i="702" s="1"/>
  <c r="BH68" i="861"/>
  <c r="AW99" i="702" s="1"/>
  <c r="BI68" i="861"/>
  <c r="AX99" i="702" s="1"/>
  <c r="BJ68" i="861"/>
  <c r="AY99" i="702" s="1"/>
  <c r="BN68" i="861"/>
  <c r="BC99" i="702" s="1"/>
  <c r="BO68" i="861"/>
  <c r="BD99" i="702" s="1"/>
  <c r="BP68" i="861"/>
  <c r="BE99" i="702" s="1"/>
  <c r="BQ68" i="861"/>
  <c r="BF99" i="702" s="1"/>
  <c r="BR68" i="861"/>
  <c r="BG99" i="702" s="1"/>
  <c r="BS68" i="861"/>
  <c r="BH99" i="702" s="1"/>
  <c r="BT68" i="861"/>
  <c r="BI99" i="702" s="1"/>
  <c r="BU68" i="861"/>
  <c r="BJ99" i="702" s="1"/>
  <c r="BV68" i="861"/>
  <c r="BK99" i="702" s="1"/>
  <c r="BB69" i="861"/>
  <c r="AQ100" i="702" s="1"/>
  <c r="BC69" i="861"/>
  <c r="AR100" i="702" s="1"/>
  <c r="BD69" i="861"/>
  <c r="AS100" i="702" s="1"/>
  <c r="BE69" i="861"/>
  <c r="AT100" i="702" s="1"/>
  <c r="BF69" i="861"/>
  <c r="AU100" i="702" s="1"/>
  <c r="BG69" i="861"/>
  <c r="AV100" i="702" s="1"/>
  <c r="BH69" i="861"/>
  <c r="AW100" i="702" s="1"/>
  <c r="BI69" i="861"/>
  <c r="AX100" i="702" s="1"/>
  <c r="BJ69" i="861"/>
  <c r="AY100" i="702" s="1"/>
  <c r="BN69" i="861"/>
  <c r="BC100" i="702" s="1"/>
  <c r="BO69" i="861"/>
  <c r="BD100" i="702" s="1"/>
  <c r="BP69" i="861"/>
  <c r="BE100" i="702" s="1"/>
  <c r="BQ69" i="861"/>
  <c r="BF100" i="702" s="1"/>
  <c r="BR69" i="861"/>
  <c r="BG100" i="702" s="1"/>
  <c r="BS69" i="861"/>
  <c r="BH100" i="702" s="1"/>
  <c r="BT69" i="861"/>
  <c r="BI100" i="702" s="1"/>
  <c r="BU69" i="861"/>
  <c r="BJ100" i="702" s="1"/>
  <c r="BV69" i="861"/>
  <c r="BK100" i="702" s="1"/>
  <c r="BB70" i="861"/>
  <c r="AQ101" i="702" s="1"/>
  <c r="BC70" i="861"/>
  <c r="AR101" i="702" s="1"/>
  <c r="BD70" i="861"/>
  <c r="AS101" i="702" s="1"/>
  <c r="BE70" i="861"/>
  <c r="AT101" i="702" s="1"/>
  <c r="BF70" i="861"/>
  <c r="AU101" i="702" s="1"/>
  <c r="BG70" i="861"/>
  <c r="AV101" i="702" s="1"/>
  <c r="BH70" i="861"/>
  <c r="AW101" i="702" s="1"/>
  <c r="BI70" i="861"/>
  <c r="AX101" i="702" s="1"/>
  <c r="BJ70" i="861"/>
  <c r="AY101" i="702" s="1"/>
  <c r="BN70" i="861"/>
  <c r="BC101" i="702" s="1"/>
  <c r="BO70" i="861"/>
  <c r="BD101" i="702" s="1"/>
  <c r="BP70" i="861"/>
  <c r="BE101" i="702" s="1"/>
  <c r="BQ70" i="861"/>
  <c r="BF101" i="702" s="1"/>
  <c r="BR70" i="861"/>
  <c r="BG101" i="702" s="1"/>
  <c r="BS70" i="861"/>
  <c r="BH101" i="702" s="1"/>
  <c r="BT70" i="861"/>
  <c r="BI101" i="702" s="1"/>
  <c r="BU70" i="861"/>
  <c r="BJ101" i="702" s="1"/>
  <c r="BV70" i="861"/>
  <c r="BK101" i="702" s="1"/>
  <c r="BB71" i="861"/>
  <c r="AQ102" i="702" s="1"/>
  <c r="BC71" i="861"/>
  <c r="AR102" i="702" s="1"/>
  <c r="BD71" i="861"/>
  <c r="AS102" i="702" s="1"/>
  <c r="BE71" i="861"/>
  <c r="AT102" i="702" s="1"/>
  <c r="BF71" i="861"/>
  <c r="AU102" i="702" s="1"/>
  <c r="BG71" i="861"/>
  <c r="AV102" i="702" s="1"/>
  <c r="BH71" i="861"/>
  <c r="AW102" i="702" s="1"/>
  <c r="BI71" i="861"/>
  <c r="AX102" i="702" s="1"/>
  <c r="BJ71" i="861"/>
  <c r="AY102" i="702" s="1"/>
  <c r="BN71" i="861"/>
  <c r="BC102" i="702" s="1"/>
  <c r="BO71" i="861"/>
  <c r="BD102" i="702" s="1"/>
  <c r="BP71" i="861"/>
  <c r="BE102" i="702" s="1"/>
  <c r="BQ71" i="861"/>
  <c r="BF102" i="702" s="1"/>
  <c r="BR71" i="861"/>
  <c r="BG102" i="702" s="1"/>
  <c r="BS71" i="861"/>
  <c r="BH102" i="702" s="1"/>
  <c r="BT71" i="861"/>
  <c r="BI102" i="702" s="1"/>
  <c r="BU71" i="861"/>
  <c r="BJ102" i="702" s="1"/>
  <c r="BV71" i="861"/>
  <c r="BK102" i="702" s="1"/>
  <c r="BB72" i="861"/>
  <c r="AQ106" i="702" s="1"/>
  <c r="BC72" i="861"/>
  <c r="AR106" i="702" s="1"/>
  <c r="BD72" i="861"/>
  <c r="AS106" i="702" s="1"/>
  <c r="BE72" i="861"/>
  <c r="AT106" i="702" s="1"/>
  <c r="BF72" i="861"/>
  <c r="AU106" i="702" s="1"/>
  <c r="BG72" i="861"/>
  <c r="AV106" i="702" s="1"/>
  <c r="BH72" i="861"/>
  <c r="AW106" i="702" s="1"/>
  <c r="BI72" i="861"/>
  <c r="AX106" i="702" s="1"/>
  <c r="BJ72" i="861"/>
  <c r="AY106" i="702" s="1"/>
  <c r="BN72" i="861"/>
  <c r="BC106" i="702" s="1"/>
  <c r="BO72" i="861"/>
  <c r="BD106" i="702" s="1"/>
  <c r="BP72" i="861"/>
  <c r="BE106" i="702" s="1"/>
  <c r="BQ72" i="861"/>
  <c r="BF106" i="702" s="1"/>
  <c r="BR72" i="861"/>
  <c r="BG106" i="702" s="1"/>
  <c r="BS72" i="861"/>
  <c r="BH106" i="702" s="1"/>
  <c r="BT72" i="861"/>
  <c r="BI106" i="702" s="1"/>
  <c r="BU72" i="861"/>
  <c r="BJ106" i="702" s="1"/>
  <c r="BV72" i="861"/>
  <c r="BK106" i="702" s="1"/>
  <c r="BB73" i="861"/>
  <c r="AQ105" i="702" s="1"/>
  <c r="BC73" i="861"/>
  <c r="AR105" i="702" s="1"/>
  <c r="BD73" i="861"/>
  <c r="AS105" i="702" s="1"/>
  <c r="BE73" i="861"/>
  <c r="AT105" i="702" s="1"/>
  <c r="BF73" i="861"/>
  <c r="AU105" i="702" s="1"/>
  <c r="BG73" i="861"/>
  <c r="AV105" i="702" s="1"/>
  <c r="BH73" i="861"/>
  <c r="AW105" i="702" s="1"/>
  <c r="BI73" i="861"/>
  <c r="AX105" i="702" s="1"/>
  <c r="BJ73" i="861"/>
  <c r="AY105" i="702" s="1"/>
  <c r="BN73" i="861"/>
  <c r="BC105" i="702" s="1"/>
  <c r="BO73" i="861"/>
  <c r="BD105" i="702" s="1"/>
  <c r="BP73" i="861"/>
  <c r="BE105" i="702" s="1"/>
  <c r="BQ73" i="861"/>
  <c r="BF105" i="702" s="1"/>
  <c r="BR73" i="861"/>
  <c r="BG105" i="702" s="1"/>
  <c r="BS73" i="861"/>
  <c r="BH105" i="702" s="1"/>
  <c r="BT73" i="861"/>
  <c r="BI105" i="702" s="1"/>
  <c r="BU73" i="861"/>
  <c r="BJ105" i="702" s="1"/>
  <c r="BV73" i="861"/>
  <c r="BK105" i="702" s="1"/>
  <c r="BB74" i="861"/>
  <c r="AQ95" i="702" s="1"/>
  <c r="BC74" i="861"/>
  <c r="AR95" i="702" s="1"/>
  <c r="BD74" i="861"/>
  <c r="AS95" i="702" s="1"/>
  <c r="BE74" i="861"/>
  <c r="AT95" i="702" s="1"/>
  <c r="BF74" i="861"/>
  <c r="AU95" i="702" s="1"/>
  <c r="BG74" i="861"/>
  <c r="AV95" i="702" s="1"/>
  <c r="BH74" i="861"/>
  <c r="AW95" i="702" s="1"/>
  <c r="BI74" i="861"/>
  <c r="AX95" i="702" s="1"/>
  <c r="BJ74" i="861"/>
  <c r="AY95" i="702" s="1"/>
  <c r="BN74" i="861"/>
  <c r="BC95" i="702" s="1"/>
  <c r="BO74" i="861"/>
  <c r="BD95" i="702" s="1"/>
  <c r="BP74" i="861"/>
  <c r="BE95" i="702" s="1"/>
  <c r="BQ74" i="861"/>
  <c r="BF95" i="702" s="1"/>
  <c r="BR74" i="861"/>
  <c r="BG95" i="702" s="1"/>
  <c r="BS74" i="861"/>
  <c r="BH95" i="702" s="1"/>
  <c r="BT74" i="861"/>
  <c r="BI95" i="702" s="1"/>
  <c r="BU74" i="861"/>
  <c r="BJ95" i="702" s="1"/>
  <c r="BV74" i="861"/>
  <c r="BK95" i="702" s="1"/>
  <c r="BB75" i="861"/>
  <c r="AQ103" i="702" s="1"/>
  <c r="BC75" i="861"/>
  <c r="AR103" i="702" s="1"/>
  <c r="BD75" i="861"/>
  <c r="AS103" i="702" s="1"/>
  <c r="BE75" i="861"/>
  <c r="AT103" i="702" s="1"/>
  <c r="BF75" i="861"/>
  <c r="AU103" i="702" s="1"/>
  <c r="BG75" i="861"/>
  <c r="AV103" i="702" s="1"/>
  <c r="BH75" i="861"/>
  <c r="AW103" i="702" s="1"/>
  <c r="BI75" i="861"/>
  <c r="AX103" i="702" s="1"/>
  <c r="BJ75" i="861"/>
  <c r="AY103" i="702" s="1"/>
  <c r="BN75" i="861"/>
  <c r="BC103" i="702" s="1"/>
  <c r="BO75" i="861"/>
  <c r="BD103" i="702" s="1"/>
  <c r="BP75" i="861"/>
  <c r="BE103" i="702" s="1"/>
  <c r="BQ75" i="861"/>
  <c r="BF103" i="702" s="1"/>
  <c r="BR75" i="861"/>
  <c r="BG103" i="702" s="1"/>
  <c r="BS75" i="861"/>
  <c r="BH103" i="702" s="1"/>
  <c r="BT75" i="861"/>
  <c r="BI103" i="702" s="1"/>
  <c r="BU75" i="861"/>
  <c r="BJ103" i="702" s="1"/>
  <c r="BV75" i="861"/>
  <c r="BK103" i="702" s="1"/>
  <c r="BB76" i="861"/>
  <c r="AQ104" i="702" s="1"/>
  <c r="BC76" i="861"/>
  <c r="AR104" i="702" s="1"/>
  <c r="BD76" i="861"/>
  <c r="AS104" i="702" s="1"/>
  <c r="BE76" i="861"/>
  <c r="AT104" i="702" s="1"/>
  <c r="BF76" i="861"/>
  <c r="AU104" i="702" s="1"/>
  <c r="BG76" i="861"/>
  <c r="AV104" i="702" s="1"/>
  <c r="BH76" i="861"/>
  <c r="AW104" i="702" s="1"/>
  <c r="BI76" i="861"/>
  <c r="AX104" i="702" s="1"/>
  <c r="BJ76" i="861"/>
  <c r="AY104" i="702" s="1"/>
  <c r="BN76" i="861"/>
  <c r="BC104" i="702" s="1"/>
  <c r="BO76" i="861"/>
  <c r="BD104" i="702" s="1"/>
  <c r="BP76" i="861"/>
  <c r="BE104" i="702" s="1"/>
  <c r="BQ76" i="861"/>
  <c r="BF104" i="702" s="1"/>
  <c r="BR76" i="861"/>
  <c r="BG104" i="702" s="1"/>
  <c r="BS76" i="861"/>
  <c r="BH104" i="702" s="1"/>
  <c r="BT76" i="861"/>
  <c r="BI104" i="702" s="1"/>
  <c r="BU76" i="861"/>
  <c r="BJ104" i="702" s="1"/>
  <c r="BV76" i="861"/>
  <c r="BK104" i="702" s="1"/>
  <c r="BB77" i="861"/>
  <c r="AQ71" i="702" s="1"/>
  <c r="BC77" i="861"/>
  <c r="AR71" i="702" s="1"/>
  <c r="BD77" i="861"/>
  <c r="AS71" i="702" s="1"/>
  <c r="BE77" i="861"/>
  <c r="AT71" i="702" s="1"/>
  <c r="BF77" i="861"/>
  <c r="AU71" i="702" s="1"/>
  <c r="BG77" i="861"/>
  <c r="AV71" i="702" s="1"/>
  <c r="BH77" i="861"/>
  <c r="AW71" i="702" s="1"/>
  <c r="BI77" i="861"/>
  <c r="AX71" i="702" s="1"/>
  <c r="BJ77" i="861"/>
  <c r="AY71" i="702" s="1"/>
  <c r="BN77" i="861"/>
  <c r="BC71" i="702" s="1"/>
  <c r="BO77" i="861"/>
  <c r="BD71" i="702" s="1"/>
  <c r="BP77" i="861"/>
  <c r="BE71" i="702" s="1"/>
  <c r="BQ77" i="861"/>
  <c r="BF71" i="702" s="1"/>
  <c r="BR77" i="861"/>
  <c r="BG71" i="702" s="1"/>
  <c r="BS77" i="861"/>
  <c r="BH71" i="702" s="1"/>
  <c r="BT77" i="861"/>
  <c r="BI71" i="702" s="1"/>
  <c r="BU77" i="861"/>
  <c r="BJ71" i="702" s="1"/>
  <c r="BV77" i="861"/>
  <c r="BK71" i="702" s="1"/>
  <c r="BB78" i="861"/>
  <c r="AQ73" i="702" s="1"/>
  <c r="BC78" i="861"/>
  <c r="AR73" i="702" s="1"/>
  <c r="BD78" i="861"/>
  <c r="AS73" i="702" s="1"/>
  <c r="BE78" i="861"/>
  <c r="AT73" i="702" s="1"/>
  <c r="BF78" i="861"/>
  <c r="AU73" i="702" s="1"/>
  <c r="BG78" i="861"/>
  <c r="AV73" i="702" s="1"/>
  <c r="BH78" i="861"/>
  <c r="AW73" i="702" s="1"/>
  <c r="BI78" i="861"/>
  <c r="AX73" i="702" s="1"/>
  <c r="BJ78" i="861"/>
  <c r="AY73" i="702" s="1"/>
  <c r="BN78" i="861"/>
  <c r="BC73" i="702" s="1"/>
  <c r="BO78" i="861"/>
  <c r="BD73" i="702" s="1"/>
  <c r="BP78" i="861"/>
  <c r="BE73" i="702" s="1"/>
  <c r="BQ78" i="861"/>
  <c r="BF73" i="702" s="1"/>
  <c r="BR78" i="861"/>
  <c r="BG73" i="702" s="1"/>
  <c r="BS78" i="861"/>
  <c r="BH73" i="702" s="1"/>
  <c r="BT78" i="861"/>
  <c r="BI73" i="702" s="1"/>
  <c r="BU78" i="861"/>
  <c r="BJ73" i="702" s="1"/>
  <c r="BV78" i="861"/>
  <c r="BK73" i="702" s="1"/>
  <c r="BB79" i="861"/>
  <c r="AQ80" i="702" s="1"/>
  <c r="BC79" i="861"/>
  <c r="AR80" i="702" s="1"/>
  <c r="BD79" i="861"/>
  <c r="AS80" i="702" s="1"/>
  <c r="BE79" i="861"/>
  <c r="AT80" i="702" s="1"/>
  <c r="BF79" i="861"/>
  <c r="AU80" i="702" s="1"/>
  <c r="BG79" i="861"/>
  <c r="AV80" i="702" s="1"/>
  <c r="BH79" i="861"/>
  <c r="AW80" i="702" s="1"/>
  <c r="BI79" i="861"/>
  <c r="AX80" i="702" s="1"/>
  <c r="BJ79" i="861"/>
  <c r="AY80" i="702" s="1"/>
  <c r="BN79" i="861"/>
  <c r="BC80" i="702" s="1"/>
  <c r="BO79" i="861"/>
  <c r="BD80" i="702" s="1"/>
  <c r="BP79" i="861"/>
  <c r="BE80" i="702" s="1"/>
  <c r="BQ79" i="861"/>
  <c r="BF80" i="702" s="1"/>
  <c r="BR79" i="861"/>
  <c r="BG80" i="702" s="1"/>
  <c r="BS79" i="861"/>
  <c r="BH80" i="702" s="1"/>
  <c r="BT79" i="861"/>
  <c r="BI80" i="702" s="1"/>
  <c r="BU79" i="861"/>
  <c r="BJ80" i="702" s="1"/>
  <c r="BV79" i="861"/>
  <c r="BK80" i="702" s="1"/>
  <c r="BB80" i="861"/>
  <c r="AQ81" i="702" s="1"/>
  <c r="BC80" i="861"/>
  <c r="AR81" i="702" s="1"/>
  <c r="BD80" i="861"/>
  <c r="AS81" i="702" s="1"/>
  <c r="BE80" i="861"/>
  <c r="AT81" i="702" s="1"/>
  <c r="BF80" i="861"/>
  <c r="AU81" i="702" s="1"/>
  <c r="BG80" i="861"/>
  <c r="AV81" i="702" s="1"/>
  <c r="BH80" i="861"/>
  <c r="AW81" i="702" s="1"/>
  <c r="BI80" i="861"/>
  <c r="AX81" i="702" s="1"/>
  <c r="BJ80" i="861"/>
  <c r="AY81" i="702" s="1"/>
  <c r="BN80" i="861"/>
  <c r="BC81" i="702" s="1"/>
  <c r="BO80" i="861"/>
  <c r="BD81" i="702" s="1"/>
  <c r="BP80" i="861"/>
  <c r="BE81" i="702" s="1"/>
  <c r="BQ80" i="861"/>
  <c r="BF81" i="702" s="1"/>
  <c r="BR80" i="861"/>
  <c r="BG81" i="702" s="1"/>
  <c r="BS80" i="861"/>
  <c r="BH81" i="702" s="1"/>
  <c r="BT80" i="861"/>
  <c r="BI81" i="702" s="1"/>
  <c r="BU80" i="861"/>
  <c r="BJ81" i="702" s="1"/>
  <c r="BV80" i="861"/>
  <c r="BK81" i="702" s="1"/>
  <c r="BB81" i="861"/>
  <c r="AQ72" i="702" s="1"/>
  <c r="BC81" i="861"/>
  <c r="AR72" i="702" s="1"/>
  <c r="BD81" i="861"/>
  <c r="AS72" i="702" s="1"/>
  <c r="BE81" i="861"/>
  <c r="AT72" i="702" s="1"/>
  <c r="BF81" i="861"/>
  <c r="AU72" i="702" s="1"/>
  <c r="BG81" i="861"/>
  <c r="AV72" i="702" s="1"/>
  <c r="BH81" i="861"/>
  <c r="AW72" i="702" s="1"/>
  <c r="BI81" i="861"/>
  <c r="AX72" i="702" s="1"/>
  <c r="BJ81" i="861"/>
  <c r="AY72" i="702" s="1"/>
  <c r="BN81" i="861"/>
  <c r="BC72" i="702" s="1"/>
  <c r="BO81" i="861"/>
  <c r="BD72" i="702" s="1"/>
  <c r="BP81" i="861"/>
  <c r="BE72" i="702" s="1"/>
  <c r="BQ81" i="861"/>
  <c r="BF72" i="702" s="1"/>
  <c r="BR81" i="861"/>
  <c r="BG72" i="702" s="1"/>
  <c r="BS81" i="861"/>
  <c r="BH72" i="702" s="1"/>
  <c r="BT81" i="861"/>
  <c r="BI72" i="702" s="1"/>
  <c r="BU81" i="861"/>
  <c r="BJ72" i="702" s="1"/>
  <c r="BV81" i="861"/>
  <c r="BK72" i="702" s="1"/>
  <c r="BB82" i="861"/>
  <c r="AQ74" i="702" s="1"/>
  <c r="BC82" i="861"/>
  <c r="AR74" i="702" s="1"/>
  <c r="BD82" i="861"/>
  <c r="AS74" i="702" s="1"/>
  <c r="BE82" i="861"/>
  <c r="AT74" i="702" s="1"/>
  <c r="BF82" i="861"/>
  <c r="AU74" i="702" s="1"/>
  <c r="BG82" i="861"/>
  <c r="AV74" i="702" s="1"/>
  <c r="BH82" i="861"/>
  <c r="AW74" i="702" s="1"/>
  <c r="BI82" i="861"/>
  <c r="AX74" i="702" s="1"/>
  <c r="BJ82" i="861"/>
  <c r="AY74" i="702" s="1"/>
  <c r="BN82" i="861"/>
  <c r="BC74" i="702" s="1"/>
  <c r="BO82" i="861"/>
  <c r="BD74" i="702" s="1"/>
  <c r="BP82" i="861"/>
  <c r="BE74" i="702" s="1"/>
  <c r="BQ82" i="861"/>
  <c r="BF74" i="702" s="1"/>
  <c r="BR82" i="861"/>
  <c r="BG74" i="702" s="1"/>
  <c r="BS82" i="861"/>
  <c r="BH74" i="702" s="1"/>
  <c r="BT82" i="861"/>
  <c r="BI74" i="702" s="1"/>
  <c r="BU82" i="861"/>
  <c r="BJ74" i="702" s="1"/>
  <c r="BV82" i="861"/>
  <c r="BK74" i="702" s="1"/>
  <c r="BB83" i="861"/>
  <c r="AQ60" i="702" s="1"/>
  <c r="BC83" i="861"/>
  <c r="AR60" i="702" s="1"/>
  <c r="BD83" i="861"/>
  <c r="AS60" i="702" s="1"/>
  <c r="BE83" i="861"/>
  <c r="AT60" i="702" s="1"/>
  <c r="BF83" i="861"/>
  <c r="AU60" i="702" s="1"/>
  <c r="BG83" i="861"/>
  <c r="AV60" i="702" s="1"/>
  <c r="BH83" i="861"/>
  <c r="AW60" i="702" s="1"/>
  <c r="BI83" i="861"/>
  <c r="AX60" i="702" s="1"/>
  <c r="BJ83" i="861"/>
  <c r="AY60" i="702" s="1"/>
  <c r="BN83" i="861"/>
  <c r="BC60" i="702" s="1"/>
  <c r="BO83" i="861"/>
  <c r="BD60" i="702" s="1"/>
  <c r="BP83" i="861"/>
  <c r="BE60" i="702" s="1"/>
  <c r="BQ83" i="861"/>
  <c r="BF60" i="702" s="1"/>
  <c r="BR83" i="861"/>
  <c r="BG60" i="702" s="1"/>
  <c r="BS83" i="861"/>
  <c r="BH60" i="702" s="1"/>
  <c r="BT83" i="861"/>
  <c r="BI60" i="702" s="1"/>
  <c r="BU83" i="861"/>
  <c r="BJ60" i="702" s="1"/>
  <c r="BV83" i="861"/>
  <c r="BK60" i="702" s="1"/>
  <c r="BB84" i="861"/>
  <c r="AQ61" i="702" s="1"/>
  <c r="BC84" i="861"/>
  <c r="AR61" i="702" s="1"/>
  <c r="BD84" i="861"/>
  <c r="AS61" i="702" s="1"/>
  <c r="BE84" i="861"/>
  <c r="AT61" i="702" s="1"/>
  <c r="BF84" i="861"/>
  <c r="AU61" i="702" s="1"/>
  <c r="BG84" i="861"/>
  <c r="AV61" i="702" s="1"/>
  <c r="BH84" i="861"/>
  <c r="AW61" i="702" s="1"/>
  <c r="BI84" i="861"/>
  <c r="AX61" i="702" s="1"/>
  <c r="BJ84" i="861"/>
  <c r="AY61" i="702" s="1"/>
  <c r="BN84" i="861"/>
  <c r="BC61" i="702" s="1"/>
  <c r="BO84" i="861"/>
  <c r="BD61" i="702" s="1"/>
  <c r="BP84" i="861"/>
  <c r="BE61" i="702" s="1"/>
  <c r="BQ84" i="861"/>
  <c r="BF61" i="702" s="1"/>
  <c r="BR84" i="861"/>
  <c r="BG61" i="702" s="1"/>
  <c r="BS84" i="861"/>
  <c r="BH61" i="702" s="1"/>
  <c r="BT84" i="861"/>
  <c r="BI61" i="702" s="1"/>
  <c r="BU84" i="861"/>
  <c r="BJ61" i="702" s="1"/>
  <c r="BV84" i="861"/>
  <c r="BK61" i="702" s="1"/>
  <c r="BB85" i="861"/>
  <c r="AQ62" i="702" s="1"/>
  <c r="BC85" i="861"/>
  <c r="AR62" i="702" s="1"/>
  <c r="BD85" i="861"/>
  <c r="AS62" i="702" s="1"/>
  <c r="BE85" i="861"/>
  <c r="AT62" i="702" s="1"/>
  <c r="BF85" i="861"/>
  <c r="AU62" i="702" s="1"/>
  <c r="BG85" i="861"/>
  <c r="AV62" i="702" s="1"/>
  <c r="BH85" i="861"/>
  <c r="AW62" i="702" s="1"/>
  <c r="BI85" i="861"/>
  <c r="AX62" i="702" s="1"/>
  <c r="BJ85" i="861"/>
  <c r="AY62" i="702" s="1"/>
  <c r="BN85" i="861"/>
  <c r="BC62" i="702" s="1"/>
  <c r="BO85" i="861"/>
  <c r="BD62" i="702" s="1"/>
  <c r="BP85" i="861"/>
  <c r="BE62" i="702" s="1"/>
  <c r="BQ85" i="861"/>
  <c r="BF62" i="702" s="1"/>
  <c r="BR85" i="861"/>
  <c r="BG62" i="702" s="1"/>
  <c r="BS85" i="861"/>
  <c r="BH62" i="702" s="1"/>
  <c r="BT85" i="861"/>
  <c r="BI62" i="702" s="1"/>
  <c r="BU85" i="861"/>
  <c r="BJ62" i="702" s="1"/>
  <c r="BV85" i="861"/>
  <c r="BK62" i="702" s="1"/>
  <c r="BB86" i="861"/>
  <c r="AQ63" i="702" s="1"/>
  <c r="BC86" i="861"/>
  <c r="AR63" i="702" s="1"/>
  <c r="BD86" i="861"/>
  <c r="AS63" i="702" s="1"/>
  <c r="BE86" i="861"/>
  <c r="AT63" i="702" s="1"/>
  <c r="BF86" i="861"/>
  <c r="AU63" i="702" s="1"/>
  <c r="BG86" i="861"/>
  <c r="AV63" i="702" s="1"/>
  <c r="BH86" i="861"/>
  <c r="AW63" i="702" s="1"/>
  <c r="BI86" i="861"/>
  <c r="AX63" i="702" s="1"/>
  <c r="BJ86" i="861"/>
  <c r="AY63" i="702" s="1"/>
  <c r="BN86" i="861"/>
  <c r="BC63" i="702" s="1"/>
  <c r="BO86" i="861"/>
  <c r="BD63" i="702" s="1"/>
  <c r="BP86" i="861"/>
  <c r="BE63" i="702" s="1"/>
  <c r="BQ86" i="861"/>
  <c r="BF63" i="702" s="1"/>
  <c r="BR86" i="861"/>
  <c r="BG63" i="702" s="1"/>
  <c r="BS86" i="861"/>
  <c r="BH63" i="702" s="1"/>
  <c r="BT86" i="861"/>
  <c r="BI63" i="702" s="1"/>
  <c r="BU86" i="861"/>
  <c r="BJ63" i="702" s="1"/>
  <c r="BV86" i="861"/>
  <c r="BK63" i="702" s="1"/>
  <c r="BB87" i="861"/>
  <c r="AQ64" i="702" s="1"/>
  <c r="BC87" i="861"/>
  <c r="AR64" i="702" s="1"/>
  <c r="BD87" i="861"/>
  <c r="AS64" i="702" s="1"/>
  <c r="BE87" i="861"/>
  <c r="AT64" i="702" s="1"/>
  <c r="BF87" i="861"/>
  <c r="AU64" i="702" s="1"/>
  <c r="BG87" i="861"/>
  <c r="AV64" i="702" s="1"/>
  <c r="BH87" i="861"/>
  <c r="AW64" i="702" s="1"/>
  <c r="BI87" i="861"/>
  <c r="AX64" i="702" s="1"/>
  <c r="BJ87" i="861"/>
  <c r="AY64" i="702" s="1"/>
  <c r="BN87" i="861"/>
  <c r="BC64" i="702" s="1"/>
  <c r="BO87" i="861"/>
  <c r="BD64" i="702" s="1"/>
  <c r="BP87" i="861"/>
  <c r="BE64" i="702" s="1"/>
  <c r="BQ87" i="861"/>
  <c r="BF64" i="702" s="1"/>
  <c r="BR87" i="861"/>
  <c r="BG64" i="702" s="1"/>
  <c r="BS87" i="861"/>
  <c r="BH64" i="702" s="1"/>
  <c r="BT87" i="861"/>
  <c r="BI64" i="702" s="1"/>
  <c r="BU87" i="861"/>
  <c r="BJ64" i="702" s="1"/>
  <c r="BV87" i="861"/>
  <c r="BK64" i="702" s="1"/>
  <c r="BB88" i="861"/>
  <c r="AQ65" i="702" s="1"/>
  <c r="BC88" i="861"/>
  <c r="AR65" i="702" s="1"/>
  <c r="BD88" i="861"/>
  <c r="AS65" i="702" s="1"/>
  <c r="BE88" i="861"/>
  <c r="AT65" i="702" s="1"/>
  <c r="BF88" i="861"/>
  <c r="AU65" i="702" s="1"/>
  <c r="BG88" i="861"/>
  <c r="AV65" i="702" s="1"/>
  <c r="BH88" i="861"/>
  <c r="AW65" i="702" s="1"/>
  <c r="BI88" i="861"/>
  <c r="AX65" i="702" s="1"/>
  <c r="BJ88" i="861"/>
  <c r="AY65" i="702" s="1"/>
  <c r="BN88" i="861"/>
  <c r="BC65" i="702" s="1"/>
  <c r="BO88" i="861"/>
  <c r="BD65" i="702" s="1"/>
  <c r="BP88" i="861"/>
  <c r="BE65" i="702" s="1"/>
  <c r="BQ88" i="861"/>
  <c r="BF65" i="702" s="1"/>
  <c r="BR88" i="861"/>
  <c r="BG65" i="702" s="1"/>
  <c r="BS88" i="861"/>
  <c r="BH65" i="702" s="1"/>
  <c r="BT88" i="861"/>
  <c r="BI65" i="702" s="1"/>
  <c r="BU88" i="861"/>
  <c r="BJ65" i="702" s="1"/>
  <c r="BV88" i="861"/>
  <c r="BK65" i="702" s="1"/>
  <c r="BB89" i="861"/>
  <c r="AQ66" i="702" s="1"/>
  <c r="BC89" i="861"/>
  <c r="AR66" i="702" s="1"/>
  <c r="BD89" i="861"/>
  <c r="AS66" i="702" s="1"/>
  <c r="BE89" i="861"/>
  <c r="AT66" i="702" s="1"/>
  <c r="BF89" i="861"/>
  <c r="AU66" i="702" s="1"/>
  <c r="BG89" i="861"/>
  <c r="AV66" i="702" s="1"/>
  <c r="BH89" i="861"/>
  <c r="AW66" i="702" s="1"/>
  <c r="BI89" i="861"/>
  <c r="AX66" i="702" s="1"/>
  <c r="BJ89" i="861"/>
  <c r="AY66" i="702" s="1"/>
  <c r="BN89" i="861"/>
  <c r="BC66" i="702" s="1"/>
  <c r="BO89" i="861"/>
  <c r="BD66" i="702" s="1"/>
  <c r="BP89" i="861"/>
  <c r="BE66" i="702" s="1"/>
  <c r="BQ89" i="861"/>
  <c r="BF66" i="702" s="1"/>
  <c r="BR89" i="861"/>
  <c r="BG66" i="702" s="1"/>
  <c r="BS89" i="861"/>
  <c r="BH66" i="702" s="1"/>
  <c r="BT89" i="861"/>
  <c r="BI66" i="702" s="1"/>
  <c r="BU89" i="861"/>
  <c r="BJ66" i="702" s="1"/>
  <c r="BV89" i="861"/>
  <c r="BK66" i="702" s="1"/>
  <c r="BB90" i="861"/>
  <c r="AQ67" i="702" s="1"/>
  <c r="BC90" i="861"/>
  <c r="AR67" i="702" s="1"/>
  <c r="BD90" i="861"/>
  <c r="AS67" i="702" s="1"/>
  <c r="BE90" i="861"/>
  <c r="AT67" i="702" s="1"/>
  <c r="BF90" i="861"/>
  <c r="AU67" i="702" s="1"/>
  <c r="BG90" i="861"/>
  <c r="AV67" i="702" s="1"/>
  <c r="BH90" i="861"/>
  <c r="AW67" i="702" s="1"/>
  <c r="BI90" i="861"/>
  <c r="AX67" i="702" s="1"/>
  <c r="BJ90" i="861"/>
  <c r="AY67" i="702" s="1"/>
  <c r="BN90" i="861"/>
  <c r="BC67" i="702" s="1"/>
  <c r="BO90" i="861"/>
  <c r="BD67" i="702" s="1"/>
  <c r="BP90" i="861"/>
  <c r="BE67" i="702" s="1"/>
  <c r="BQ90" i="861"/>
  <c r="BF67" i="702" s="1"/>
  <c r="BR90" i="861"/>
  <c r="BG67" i="702" s="1"/>
  <c r="BS90" i="861"/>
  <c r="BH67" i="702" s="1"/>
  <c r="BT90" i="861"/>
  <c r="BI67" i="702" s="1"/>
  <c r="BU90" i="861"/>
  <c r="BJ67" i="702" s="1"/>
  <c r="BV90" i="861"/>
  <c r="BK67" i="702" s="1"/>
  <c r="BB91" i="861"/>
  <c r="AQ107" i="702" s="1"/>
  <c r="BC91" i="861"/>
  <c r="AR107" i="702" s="1"/>
  <c r="BD91" i="861"/>
  <c r="AS107" i="702" s="1"/>
  <c r="BE91" i="861"/>
  <c r="AT107" i="702" s="1"/>
  <c r="BF91" i="861"/>
  <c r="AU107" i="702" s="1"/>
  <c r="BG91" i="861"/>
  <c r="AV107" i="702" s="1"/>
  <c r="BH91" i="861"/>
  <c r="AW107" i="702" s="1"/>
  <c r="BI91" i="861"/>
  <c r="AX107" i="702" s="1"/>
  <c r="BJ91" i="861"/>
  <c r="AY107" i="702" s="1"/>
  <c r="BN91" i="861"/>
  <c r="BC107" i="702" s="1"/>
  <c r="BO91" i="861"/>
  <c r="BD107" i="702" s="1"/>
  <c r="BP91" i="861"/>
  <c r="BE107" i="702" s="1"/>
  <c r="BQ91" i="861"/>
  <c r="BF107" i="702" s="1"/>
  <c r="BR91" i="861"/>
  <c r="BG107" i="702" s="1"/>
  <c r="BS91" i="861"/>
  <c r="BH107" i="702" s="1"/>
  <c r="BT91" i="861"/>
  <c r="BI107" i="702" s="1"/>
  <c r="BU91" i="861"/>
  <c r="BJ107" i="702" s="1"/>
  <c r="BV91" i="861"/>
  <c r="BK107" i="702" s="1"/>
  <c r="BB92" i="861"/>
  <c r="AQ108" i="702" s="1"/>
  <c r="BC92" i="861"/>
  <c r="AR108" i="702" s="1"/>
  <c r="BD92" i="861"/>
  <c r="AS108" i="702" s="1"/>
  <c r="BE92" i="861"/>
  <c r="AT108" i="702" s="1"/>
  <c r="BF92" i="861"/>
  <c r="AU108" i="702" s="1"/>
  <c r="BG92" i="861"/>
  <c r="AV108" i="702" s="1"/>
  <c r="BH92" i="861"/>
  <c r="AW108" i="702" s="1"/>
  <c r="BI92" i="861"/>
  <c r="AX108" i="702" s="1"/>
  <c r="BJ92" i="861"/>
  <c r="AY108" i="702" s="1"/>
  <c r="BN92" i="861"/>
  <c r="BC108" i="702" s="1"/>
  <c r="BO92" i="861"/>
  <c r="BD108" i="702" s="1"/>
  <c r="BP92" i="861"/>
  <c r="BE108" i="702" s="1"/>
  <c r="BQ92" i="861"/>
  <c r="BF108" i="702" s="1"/>
  <c r="BR92" i="861"/>
  <c r="BG108" i="702" s="1"/>
  <c r="BS92" i="861"/>
  <c r="BH108" i="702" s="1"/>
  <c r="BT92" i="861"/>
  <c r="BI108" i="702" s="1"/>
  <c r="BU92" i="861"/>
  <c r="BJ108" i="702" s="1"/>
  <c r="BV92" i="861"/>
  <c r="BK108" i="702" s="1"/>
  <c r="BB93" i="861"/>
  <c r="AQ109" i="702" s="1"/>
  <c r="BC93" i="861"/>
  <c r="AR109" i="702" s="1"/>
  <c r="BD93" i="861"/>
  <c r="AS109" i="702" s="1"/>
  <c r="BE93" i="861"/>
  <c r="AT109" i="702" s="1"/>
  <c r="BF93" i="861"/>
  <c r="AU109" i="702" s="1"/>
  <c r="BG93" i="861"/>
  <c r="AV109" i="702" s="1"/>
  <c r="BH93" i="861"/>
  <c r="AW109" i="702" s="1"/>
  <c r="BI93" i="861"/>
  <c r="AX109" i="702" s="1"/>
  <c r="BJ93" i="861"/>
  <c r="AY109" i="702" s="1"/>
  <c r="BN93" i="861"/>
  <c r="BC109" i="702" s="1"/>
  <c r="BO93" i="861"/>
  <c r="BD109" i="702" s="1"/>
  <c r="BP93" i="861"/>
  <c r="BE109" i="702" s="1"/>
  <c r="BQ93" i="861"/>
  <c r="BF109" i="702" s="1"/>
  <c r="BR93" i="861"/>
  <c r="BG109" i="702" s="1"/>
  <c r="BS93" i="861"/>
  <c r="BH109" i="702" s="1"/>
  <c r="BT93" i="861"/>
  <c r="BI109" i="702" s="1"/>
  <c r="BU93" i="861"/>
  <c r="BJ109" i="702" s="1"/>
  <c r="BV93" i="861"/>
  <c r="BK109" i="702" s="1"/>
  <c r="BB94" i="861"/>
  <c r="AQ110" i="702" s="1"/>
  <c r="BC94" i="861"/>
  <c r="AR110" i="702" s="1"/>
  <c r="BD94" i="861"/>
  <c r="AS110" i="702" s="1"/>
  <c r="BE94" i="861"/>
  <c r="AT110" i="702" s="1"/>
  <c r="BF94" i="861"/>
  <c r="AU110" i="702" s="1"/>
  <c r="BG94" i="861"/>
  <c r="AV110" i="702" s="1"/>
  <c r="BH94" i="861"/>
  <c r="AW110" i="702" s="1"/>
  <c r="BI94" i="861"/>
  <c r="AX110" i="702" s="1"/>
  <c r="BJ94" i="861"/>
  <c r="AY110" i="702" s="1"/>
  <c r="BN94" i="861"/>
  <c r="BC110" i="702" s="1"/>
  <c r="BO94" i="861"/>
  <c r="BD110" i="702" s="1"/>
  <c r="BP94" i="861"/>
  <c r="BE110" i="702" s="1"/>
  <c r="BQ94" i="861"/>
  <c r="BF110" i="702" s="1"/>
  <c r="BR94" i="861"/>
  <c r="BG110" i="702" s="1"/>
  <c r="BS94" i="861"/>
  <c r="BH110" i="702" s="1"/>
  <c r="BT94" i="861"/>
  <c r="BI110" i="702" s="1"/>
  <c r="BU94" i="861"/>
  <c r="BJ110" i="702" s="1"/>
  <c r="BV94" i="861"/>
  <c r="BK110" i="702" s="1"/>
  <c r="BB95" i="861"/>
  <c r="AQ111" i="702" s="1"/>
  <c r="BC95" i="861"/>
  <c r="AR111" i="702" s="1"/>
  <c r="BD95" i="861"/>
  <c r="AS111" i="702" s="1"/>
  <c r="BE95" i="861"/>
  <c r="AT111" i="702" s="1"/>
  <c r="BF95" i="861"/>
  <c r="AU111" i="702" s="1"/>
  <c r="BG95" i="861"/>
  <c r="BH95" i="861"/>
  <c r="AW111" i="702" s="1"/>
  <c r="BI95" i="861"/>
  <c r="AX111" i="702" s="1"/>
  <c r="BJ95" i="861"/>
  <c r="AY111" i="702" s="1"/>
  <c r="BN95" i="861"/>
  <c r="BC111" i="702" s="1"/>
  <c r="BO95" i="861"/>
  <c r="BD111" i="702" s="1"/>
  <c r="BP95" i="861"/>
  <c r="BE111" i="702" s="1"/>
  <c r="BQ95" i="861"/>
  <c r="BF111" i="702" s="1"/>
  <c r="BR95" i="861"/>
  <c r="BG111" i="702" s="1"/>
  <c r="BS95" i="861"/>
  <c r="BH111" i="702" s="1"/>
  <c r="BT95" i="861"/>
  <c r="BI111" i="702" s="1"/>
  <c r="BU95" i="861"/>
  <c r="BJ111" i="702" s="1"/>
  <c r="BV95" i="861"/>
  <c r="BK111" i="702" s="1"/>
  <c r="BB96" i="861"/>
  <c r="AQ44" i="702" s="1"/>
  <c r="BC96" i="861"/>
  <c r="AR44" i="702" s="1"/>
  <c r="BD96" i="861"/>
  <c r="AS44" i="702" s="1"/>
  <c r="BE96" i="861"/>
  <c r="AT44" i="702" s="1"/>
  <c r="BF96" i="861"/>
  <c r="AU44" i="702" s="1"/>
  <c r="BG96" i="861"/>
  <c r="AV44" i="702" s="1"/>
  <c r="BH96" i="861"/>
  <c r="AW44" i="702" s="1"/>
  <c r="BI96" i="861"/>
  <c r="AX44" i="702" s="1"/>
  <c r="BJ96" i="861"/>
  <c r="AY44" i="702" s="1"/>
  <c r="BN96" i="861"/>
  <c r="BC44" i="702" s="1"/>
  <c r="BO96" i="861"/>
  <c r="BD44" i="702" s="1"/>
  <c r="BP96" i="861"/>
  <c r="BE44" i="702" s="1"/>
  <c r="BQ96" i="861"/>
  <c r="BF44" i="702" s="1"/>
  <c r="BR96" i="861"/>
  <c r="BG44" i="702" s="1"/>
  <c r="BS96" i="861"/>
  <c r="BH44" i="702" s="1"/>
  <c r="BT96" i="861"/>
  <c r="BI44" i="702" s="1"/>
  <c r="BU96" i="861"/>
  <c r="BJ44" i="702" s="1"/>
  <c r="BV96" i="861"/>
  <c r="BK44" i="702" s="1"/>
  <c r="BB97" i="861"/>
  <c r="AQ43" i="702" s="1"/>
  <c r="BC97" i="861"/>
  <c r="AR43" i="702" s="1"/>
  <c r="BD97" i="861"/>
  <c r="AS43" i="702" s="1"/>
  <c r="BE97" i="861"/>
  <c r="AT43" i="702" s="1"/>
  <c r="BF97" i="861"/>
  <c r="AU43" i="702" s="1"/>
  <c r="BG97" i="861"/>
  <c r="AV43" i="702" s="1"/>
  <c r="BH97" i="861"/>
  <c r="AW43" i="702" s="1"/>
  <c r="BI97" i="861"/>
  <c r="AX43" i="702" s="1"/>
  <c r="BJ97" i="861"/>
  <c r="AY43" i="702" s="1"/>
  <c r="BN97" i="861"/>
  <c r="BC43" i="702" s="1"/>
  <c r="BO97" i="861"/>
  <c r="BD43" i="702" s="1"/>
  <c r="BP97" i="861"/>
  <c r="BE43" i="702" s="1"/>
  <c r="BQ97" i="861"/>
  <c r="BF43" i="702" s="1"/>
  <c r="BR97" i="861"/>
  <c r="BG43" i="702" s="1"/>
  <c r="BS97" i="861"/>
  <c r="BH43" i="702" s="1"/>
  <c r="BT97" i="861"/>
  <c r="BI43" i="702" s="1"/>
  <c r="BU97" i="861"/>
  <c r="BJ43" i="702" s="1"/>
  <c r="BV97" i="861"/>
  <c r="BK43" i="702" s="1"/>
  <c r="BB98" i="861"/>
  <c r="AQ45" i="702" s="1"/>
  <c r="BC98" i="861"/>
  <c r="AR45" i="702" s="1"/>
  <c r="BD98" i="861"/>
  <c r="AS45" i="702" s="1"/>
  <c r="BE98" i="861"/>
  <c r="AT45" i="702" s="1"/>
  <c r="BF98" i="861"/>
  <c r="AU45" i="702" s="1"/>
  <c r="BG98" i="861"/>
  <c r="AV45" i="702" s="1"/>
  <c r="BH98" i="861"/>
  <c r="AW45" i="702" s="1"/>
  <c r="BI98" i="861"/>
  <c r="AX45" i="702" s="1"/>
  <c r="BJ98" i="861"/>
  <c r="AY45" i="702" s="1"/>
  <c r="BN98" i="861"/>
  <c r="BC45" i="702" s="1"/>
  <c r="BO98" i="861"/>
  <c r="BD45" i="702" s="1"/>
  <c r="BP98" i="861"/>
  <c r="BE45" i="702" s="1"/>
  <c r="BQ98" i="861"/>
  <c r="BF45" i="702" s="1"/>
  <c r="BR98" i="861"/>
  <c r="BG45" i="702" s="1"/>
  <c r="BS98" i="861"/>
  <c r="BH45" i="702" s="1"/>
  <c r="BT98" i="861"/>
  <c r="BI45" i="702" s="1"/>
  <c r="BU98" i="861"/>
  <c r="BJ45" i="702" s="1"/>
  <c r="BV98" i="861"/>
  <c r="BK45" i="702" s="1"/>
  <c r="BB99" i="861"/>
  <c r="BC99" i="861"/>
  <c r="BD99" i="861"/>
  <c r="BE99" i="861"/>
  <c r="BF99" i="861"/>
  <c r="BG99" i="861"/>
  <c r="BH99" i="861"/>
  <c r="BI99" i="861"/>
  <c r="BJ99" i="861"/>
  <c r="BN99" i="861"/>
  <c r="BO99" i="861"/>
  <c r="BP99" i="861"/>
  <c r="BQ99" i="861"/>
  <c r="BR99" i="861"/>
  <c r="BS99" i="861"/>
  <c r="BT99" i="861"/>
  <c r="BU99" i="861"/>
  <c r="BV99" i="861"/>
  <c r="BB100" i="861"/>
  <c r="AQ51" i="702" s="1"/>
  <c r="BC100" i="861"/>
  <c r="AR51" i="702" s="1"/>
  <c r="BD100" i="861"/>
  <c r="AS51" i="702" s="1"/>
  <c r="BE100" i="861"/>
  <c r="AT51" i="702" s="1"/>
  <c r="BF100" i="861"/>
  <c r="AU51" i="702" s="1"/>
  <c r="BG100" i="861"/>
  <c r="AV51" i="702" s="1"/>
  <c r="BH100" i="861"/>
  <c r="AW51" i="702" s="1"/>
  <c r="BI100" i="861"/>
  <c r="AX51" i="702" s="1"/>
  <c r="BJ100" i="861"/>
  <c r="AY51" i="702" s="1"/>
  <c r="BN100" i="861"/>
  <c r="BC51" i="702" s="1"/>
  <c r="BO100" i="861"/>
  <c r="BD51" i="702" s="1"/>
  <c r="BP100" i="861"/>
  <c r="BE51" i="702" s="1"/>
  <c r="BQ100" i="861"/>
  <c r="BF51" i="702" s="1"/>
  <c r="BR100" i="861"/>
  <c r="BG51" i="702" s="1"/>
  <c r="BS100" i="861"/>
  <c r="BH51" i="702" s="1"/>
  <c r="BT100" i="861"/>
  <c r="BI51" i="702" s="1"/>
  <c r="BU100" i="861"/>
  <c r="BJ51" i="702" s="1"/>
  <c r="BV100" i="861"/>
  <c r="BK51" i="702" s="1"/>
  <c r="BB101" i="861"/>
  <c r="AQ39" i="702" s="1"/>
  <c r="BC101" i="861"/>
  <c r="AR39" i="702" s="1"/>
  <c r="BD101" i="861"/>
  <c r="AS39" i="702" s="1"/>
  <c r="BE101" i="861"/>
  <c r="AT39" i="702" s="1"/>
  <c r="BF101" i="861"/>
  <c r="AU39" i="702" s="1"/>
  <c r="BG101" i="861"/>
  <c r="AV39" i="702" s="1"/>
  <c r="BH101" i="861"/>
  <c r="AW39" i="702" s="1"/>
  <c r="BI101" i="861"/>
  <c r="AX39" i="702" s="1"/>
  <c r="BJ101" i="861"/>
  <c r="AY39" i="702" s="1"/>
  <c r="BN101" i="861"/>
  <c r="BC39" i="702" s="1"/>
  <c r="BO101" i="861"/>
  <c r="BD39" i="702" s="1"/>
  <c r="BP101" i="861"/>
  <c r="BE39" i="702" s="1"/>
  <c r="BQ101" i="861"/>
  <c r="BF39" i="702" s="1"/>
  <c r="BR101" i="861"/>
  <c r="BG39" i="702" s="1"/>
  <c r="BS101" i="861"/>
  <c r="BH39" i="702" s="1"/>
  <c r="BT101" i="861"/>
  <c r="BI39" i="702" s="1"/>
  <c r="BU101" i="861"/>
  <c r="BJ39" i="702" s="1"/>
  <c r="BV101" i="861"/>
  <c r="BK39" i="702" s="1"/>
  <c r="BB102" i="861"/>
  <c r="AQ49" i="702" s="1"/>
  <c r="BC102" i="861"/>
  <c r="AR49" i="702" s="1"/>
  <c r="BD102" i="861"/>
  <c r="AS49" i="702" s="1"/>
  <c r="BE102" i="861"/>
  <c r="AT49" i="702" s="1"/>
  <c r="BF102" i="861"/>
  <c r="AU49" i="702" s="1"/>
  <c r="BG102" i="861"/>
  <c r="AV49" i="702" s="1"/>
  <c r="BH102" i="861"/>
  <c r="AW49" i="702" s="1"/>
  <c r="BI102" i="861"/>
  <c r="AX49" i="702" s="1"/>
  <c r="BJ102" i="861"/>
  <c r="AY49" i="702" s="1"/>
  <c r="BN102" i="861"/>
  <c r="BC49" i="702" s="1"/>
  <c r="BO102" i="861"/>
  <c r="BD49" i="702" s="1"/>
  <c r="BP102" i="861"/>
  <c r="BE49" i="702" s="1"/>
  <c r="BQ102" i="861"/>
  <c r="BF49" i="702" s="1"/>
  <c r="BR102" i="861"/>
  <c r="BG49" i="702" s="1"/>
  <c r="BS102" i="861"/>
  <c r="BH49" i="702" s="1"/>
  <c r="BT102" i="861"/>
  <c r="BI49" i="702" s="1"/>
  <c r="BU102" i="861"/>
  <c r="BJ49" i="702" s="1"/>
  <c r="BV102" i="861"/>
  <c r="BK49" i="702" s="1"/>
  <c r="BB103" i="861"/>
  <c r="AQ50" i="702" s="1"/>
  <c r="BC103" i="861"/>
  <c r="AR50" i="702" s="1"/>
  <c r="BD103" i="861"/>
  <c r="AS50" i="702" s="1"/>
  <c r="BE103" i="861"/>
  <c r="AT50" i="702" s="1"/>
  <c r="BF103" i="861"/>
  <c r="AU50" i="702" s="1"/>
  <c r="BG103" i="861"/>
  <c r="AV50" i="702" s="1"/>
  <c r="BH103" i="861"/>
  <c r="AW50" i="702" s="1"/>
  <c r="BI103" i="861"/>
  <c r="AX50" i="702" s="1"/>
  <c r="BJ103" i="861"/>
  <c r="AY50" i="702" s="1"/>
  <c r="BN103" i="861"/>
  <c r="BC50" i="702" s="1"/>
  <c r="BO103" i="861"/>
  <c r="BD50" i="702" s="1"/>
  <c r="BP103" i="861"/>
  <c r="BE50" i="702" s="1"/>
  <c r="BQ103" i="861"/>
  <c r="BF50" i="702" s="1"/>
  <c r="BR103" i="861"/>
  <c r="BG50" i="702" s="1"/>
  <c r="BS103" i="861"/>
  <c r="BH50" i="702" s="1"/>
  <c r="BT103" i="861"/>
  <c r="BI50" i="702" s="1"/>
  <c r="BU103" i="861"/>
  <c r="BJ50" i="702" s="1"/>
  <c r="BV103" i="861"/>
  <c r="BK50" i="702" s="1"/>
  <c r="BB104" i="861"/>
  <c r="AQ41" i="702" s="1"/>
  <c r="BC104" i="861"/>
  <c r="AR41" i="702" s="1"/>
  <c r="BD104" i="861"/>
  <c r="AS41" i="702" s="1"/>
  <c r="BE104" i="861"/>
  <c r="AT41" i="702" s="1"/>
  <c r="BF104" i="861"/>
  <c r="AU41" i="702" s="1"/>
  <c r="BG104" i="861"/>
  <c r="AV41" i="702" s="1"/>
  <c r="BH104" i="861"/>
  <c r="AW41" i="702" s="1"/>
  <c r="BI104" i="861"/>
  <c r="AX41" i="702" s="1"/>
  <c r="BJ104" i="861"/>
  <c r="AY41" i="702" s="1"/>
  <c r="BN104" i="861"/>
  <c r="BC41" i="702" s="1"/>
  <c r="BO104" i="861"/>
  <c r="BD41" i="702" s="1"/>
  <c r="BP104" i="861"/>
  <c r="BE41" i="702" s="1"/>
  <c r="BQ104" i="861"/>
  <c r="BF41" i="702" s="1"/>
  <c r="BR104" i="861"/>
  <c r="BG41" i="702" s="1"/>
  <c r="BS104" i="861"/>
  <c r="BH41" i="702" s="1"/>
  <c r="BT104" i="861"/>
  <c r="BI41" i="702" s="1"/>
  <c r="BU104" i="861"/>
  <c r="BJ41" i="702" s="1"/>
  <c r="BV104" i="861"/>
  <c r="BK41" i="702" s="1"/>
  <c r="BB105" i="861"/>
  <c r="AQ46" i="702" s="1"/>
  <c r="BC105" i="861"/>
  <c r="AR46" i="702" s="1"/>
  <c r="BD105" i="861"/>
  <c r="AS46" i="702" s="1"/>
  <c r="BE105" i="861"/>
  <c r="AT46" i="702" s="1"/>
  <c r="BF105" i="861"/>
  <c r="AU46" i="702" s="1"/>
  <c r="BG105" i="861"/>
  <c r="AV46" i="702" s="1"/>
  <c r="BH105" i="861"/>
  <c r="AW46" i="702" s="1"/>
  <c r="BI105" i="861"/>
  <c r="AX46" i="702" s="1"/>
  <c r="BJ105" i="861"/>
  <c r="AY46" i="702" s="1"/>
  <c r="BN105" i="861"/>
  <c r="BC46" i="702" s="1"/>
  <c r="BO105" i="861"/>
  <c r="BD46" i="702" s="1"/>
  <c r="BP105" i="861"/>
  <c r="BE46" i="702" s="1"/>
  <c r="BQ105" i="861"/>
  <c r="BF46" i="702" s="1"/>
  <c r="BR105" i="861"/>
  <c r="BG46" i="702" s="1"/>
  <c r="BS105" i="861"/>
  <c r="BH46" i="702" s="1"/>
  <c r="BT105" i="861"/>
  <c r="BI46" i="702" s="1"/>
  <c r="BU105" i="861"/>
  <c r="BJ46" i="702" s="1"/>
  <c r="BV105" i="861"/>
  <c r="BK46" i="702" s="1"/>
  <c r="BB106" i="861"/>
  <c r="AQ27" i="702" s="1"/>
  <c r="BC106" i="861"/>
  <c r="AR27" i="702" s="1"/>
  <c r="BD106" i="861"/>
  <c r="AS27" i="702" s="1"/>
  <c r="BE106" i="861"/>
  <c r="AT27" i="702" s="1"/>
  <c r="BF106" i="861"/>
  <c r="AU27" i="702" s="1"/>
  <c r="BG106" i="861"/>
  <c r="AV27" i="702" s="1"/>
  <c r="BH106" i="861"/>
  <c r="AW27" i="702" s="1"/>
  <c r="BI106" i="861"/>
  <c r="AX27" i="702" s="1"/>
  <c r="BJ106" i="861"/>
  <c r="AY27" i="702" s="1"/>
  <c r="BN106" i="861"/>
  <c r="BC27" i="702" s="1"/>
  <c r="BO106" i="861"/>
  <c r="BD27" i="702" s="1"/>
  <c r="BP106" i="861"/>
  <c r="BE27" i="702" s="1"/>
  <c r="BQ106" i="861"/>
  <c r="BF27" i="702" s="1"/>
  <c r="BR106" i="861"/>
  <c r="BG27" i="702" s="1"/>
  <c r="BS106" i="861"/>
  <c r="BH27" i="702" s="1"/>
  <c r="BT106" i="861"/>
  <c r="BI27" i="702" s="1"/>
  <c r="BU106" i="861"/>
  <c r="BJ27" i="702" s="1"/>
  <c r="BV106" i="861"/>
  <c r="BK27" i="702" s="1"/>
  <c r="BB107" i="861"/>
  <c r="AQ26" i="702" s="1"/>
  <c r="BC107" i="861"/>
  <c r="AR26" i="702" s="1"/>
  <c r="BD107" i="861"/>
  <c r="AS26" i="702" s="1"/>
  <c r="BE107" i="861"/>
  <c r="AT26" i="702" s="1"/>
  <c r="BF107" i="861"/>
  <c r="AU26" i="702" s="1"/>
  <c r="BG107" i="861"/>
  <c r="AV26" i="702" s="1"/>
  <c r="BH107" i="861"/>
  <c r="AW26" i="702" s="1"/>
  <c r="BI107" i="861"/>
  <c r="AX26" i="702" s="1"/>
  <c r="BJ107" i="861"/>
  <c r="AY26" i="702" s="1"/>
  <c r="BN107" i="861"/>
  <c r="BC26" i="702" s="1"/>
  <c r="BO107" i="861"/>
  <c r="BD26" i="702" s="1"/>
  <c r="BP107" i="861"/>
  <c r="BE26" i="702" s="1"/>
  <c r="BQ107" i="861"/>
  <c r="BF26" i="702" s="1"/>
  <c r="BR107" i="861"/>
  <c r="BG26" i="702" s="1"/>
  <c r="BS107" i="861"/>
  <c r="BH26" i="702" s="1"/>
  <c r="BT107" i="861"/>
  <c r="BI26" i="702" s="1"/>
  <c r="BU107" i="861"/>
  <c r="BJ26" i="702" s="1"/>
  <c r="BV107" i="861"/>
  <c r="BK26" i="702" s="1"/>
  <c r="BB108" i="861"/>
  <c r="AQ11" i="702" s="1"/>
  <c r="BC108" i="861"/>
  <c r="AR11" i="702" s="1"/>
  <c r="BD108" i="861"/>
  <c r="AS11" i="702" s="1"/>
  <c r="BE108" i="861"/>
  <c r="AT11" i="702" s="1"/>
  <c r="BF108" i="861"/>
  <c r="AU11" i="702" s="1"/>
  <c r="BG108" i="861"/>
  <c r="AV11" i="702" s="1"/>
  <c r="BH108" i="861"/>
  <c r="AW11" i="702" s="1"/>
  <c r="BI108" i="861"/>
  <c r="AX11" i="702" s="1"/>
  <c r="BJ108" i="861"/>
  <c r="AY11" i="702" s="1"/>
  <c r="BN108" i="861"/>
  <c r="BC11" i="702" s="1"/>
  <c r="BO108" i="861"/>
  <c r="BD11" i="702" s="1"/>
  <c r="BP108" i="861"/>
  <c r="BE11" i="702" s="1"/>
  <c r="BQ108" i="861"/>
  <c r="BF11" i="702" s="1"/>
  <c r="BR108" i="861"/>
  <c r="BG11" i="702" s="1"/>
  <c r="BS108" i="861"/>
  <c r="BH11" i="702" s="1"/>
  <c r="BT108" i="861"/>
  <c r="BI11" i="702" s="1"/>
  <c r="BU108" i="861"/>
  <c r="BJ11" i="702" s="1"/>
  <c r="BV108" i="861"/>
  <c r="BK11" i="702" s="1"/>
  <c r="BB109" i="861"/>
  <c r="AQ52" i="702" s="1"/>
  <c r="BC109" i="861"/>
  <c r="AR52" i="702" s="1"/>
  <c r="BD109" i="861"/>
  <c r="AS52" i="702" s="1"/>
  <c r="BE109" i="861"/>
  <c r="AT52" i="702" s="1"/>
  <c r="BF109" i="861"/>
  <c r="AU52" i="702" s="1"/>
  <c r="BG109" i="861"/>
  <c r="AV52" i="702" s="1"/>
  <c r="BH109" i="861"/>
  <c r="AW52" i="702" s="1"/>
  <c r="BI109" i="861"/>
  <c r="AX52" i="702" s="1"/>
  <c r="BJ109" i="861"/>
  <c r="AY52" i="702" s="1"/>
  <c r="BN109" i="861"/>
  <c r="BC52" i="702" s="1"/>
  <c r="BO109" i="861"/>
  <c r="BD52" i="702" s="1"/>
  <c r="BP109" i="861"/>
  <c r="BE52" i="702" s="1"/>
  <c r="BQ109" i="861"/>
  <c r="BF52" i="702" s="1"/>
  <c r="BR109" i="861"/>
  <c r="BG52" i="702" s="1"/>
  <c r="BS109" i="861"/>
  <c r="BH52" i="702" s="1"/>
  <c r="BT109" i="861"/>
  <c r="BI52" i="702" s="1"/>
  <c r="BU109" i="861"/>
  <c r="BJ52" i="702" s="1"/>
  <c r="BV109" i="861"/>
  <c r="BK52" i="702" s="1"/>
  <c r="BB110" i="861"/>
  <c r="AQ53" i="702" s="1"/>
  <c r="BC110" i="861"/>
  <c r="AR53" i="702" s="1"/>
  <c r="BD110" i="861"/>
  <c r="AS53" i="702" s="1"/>
  <c r="BE110" i="861"/>
  <c r="AT53" i="702" s="1"/>
  <c r="BF110" i="861"/>
  <c r="AU53" i="702" s="1"/>
  <c r="BG110" i="861"/>
  <c r="AV53" i="702" s="1"/>
  <c r="BH110" i="861"/>
  <c r="AW53" i="702" s="1"/>
  <c r="BI110" i="861"/>
  <c r="AX53" i="702" s="1"/>
  <c r="BJ110" i="861"/>
  <c r="AY53" i="702" s="1"/>
  <c r="BN110" i="861"/>
  <c r="BC53" i="702" s="1"/>
  <c r="BO110" i="861"/>
  <c r="BD53" i="702" s="1"/>
  <c r="BP110" i="861"/>
  <c r="BE53" i="702" s="1"/>
  <c r="BQ110" i="861"/>
  <c r="BF53" i="702" s="1"/>
  <c r="BR110" i="861"/>
  <c r="BG53" i="702" s="1"/>
  <c r="BS110" i="861"/>
  <c r="BH53" i="702" s="1"/>
  <c r="BT110" i="861"/>
  <c r="BI53" i="702" s="1"/>
  <c r="BU110" i="861"/>
  <c r="BJ53" i="702" s="1"/>
  <c r="BV110" i="861"/>
  <c r="BK53" i="702" s="1"/>
  <c r="BB111" i="861"/>
  <c r="AQ69" i="702" s="1"/>
  <c r="BC111" i="861"/>
  <c r="AR69" i="702" s="1"/>
  <c r="BD111" i="861"/>
  <c r="AS69" i="702" s="1"/>
  <c r="BE111" i="861"/>
  <c r="AT69" i="702" s="1"/>
  <c r="BF111" i="861"/>
  <c r="AU69" i="702" s="1"/>
  <c r="BG111" i="861"/>
  <c r="AV69" i="702" s="1"/>
  <c r="BH111" i="861"/>
  <c r="AW69" i="702" s="1"/>
  <c r="BI111" i="861"/>
  <c r="AX69" i="702" s="1"/>
  <c r="BJ111" i="861"/>
  <c r="AY69" i="702" s="1"/>
  <c r="BN111" i="861"/>
  <c r="BC69" i="702" s="1"/>
  <c r="BO111" i="861"/>
  <c r="BD69" i="702" s="1"/>
  <c r="BP111" i="861"/>
  <c r="BE69" i="702" s="1"/>
  <c r="BQ111" i="861"/>
  <c r="BF69" i="702" s="1"/>
  <c r="BR111" i="861"/>
  <c r="BG69" i="702" s="1"/>
  <c r="BS111" i="861"/>
  <c r="BH69" i="702" s="1"/>
  <c r="BT111" i="861"/>
  <c r="BI69" i="702" s="1"/>
  <c r="BU111" i="861"/>
  <c r="BJ69" i="702" s="1"/>
  <c r="BV111" i="861"/>
  <c r="BK69" i="702" s="1"/>
  <c r="BB112" i="861"/>
  <c r="AQ32" i="702" s="1"/>
  <c r="BC112" i="861"/>
  <c r="AR32" i="702" s="1"/>
  <c r="BD112" i="861"/>
  <c r="AS32" i="702" s="1"/>
  <c r="BE112" i="861"/>
  <c r="AT32" i="702" s="1"/>
  <c r="BF112" i="861"/>
  <c r="AU32" i="702" s="1"/>
  <c r="BG112" i="861"/>
  <c r="AV32" i="702" s="1"/>
  <c r="BH112" i="861"/>
  <c r="AW32" i="702" s="1"/>
  <c r="BI112" i="861"/>
  <c r="AX32" i="702" s="1"/>
  <c r="BJ112" i="861"/>
  <c r="AY32" i="702" s="1"/>
  <c r="BN112" i="861"/>
  <c r="BC32" i="702" s="1"/>
  <c r="BO112" i="861"/>
  <c r="BD32" i="702" s="1"/>
  <c r="BP112" i="861"/>
  <c r="BE32" i="702" s="1"/>
  <c r="BQ112" i="861"/>
  <c r="BF32" i="702" s="1"/>
  <c r="BR112" i="861"/>
  <c r="BG32" i="702" s="1"/>
  <c r="BS112" i="861"/>
  <c r="BH32" i="702" s="1"/>
  <c r="BT112" i="861"/>
  <c r="BI32" i="702" s="1"/>
  <c r="BU112" i="861"/>
  <c r="BJ32" i="702" s="1"/>
  <c r="BV112" i="861"/>
  <c r="BK32" i="702" s="1"/>
  <c r="BB113" i="861"/>
  <c r="AQ5" i="702" s="1"/>
  <c r="BC113" i="861"/>
  <c r="AR5" i="702" s="1"/>
  <c r="BD113" i="861"/>
  <c r="AS5" i="702" s="1"/>
  <c r="BE113" i="861"/>
  <c r="AT5" i="702" s="1"/>
  <c r="BF113" i="861"/>
  <c r="AU5" i="702" s="1"/>
  <c r="BG113" i="861"/>
  <c r="AV5" i="702" s="1"/>
  <c r="BH113" i="861"/>
  <c r="AW5" i="702" s="1"/>
  <c r="BI113" i="861"/>
  <c r="AX5" i="702" s="1"/>
  <c r="BJ113" i="861"/>
  <c r="AY5" i="702" s="1"/>
  <c r="BN113" i="861"/>
  <c r="BC5" i="702" s="1"/>
  <c r="BO113" i="861"/>
  <c r="BD5" i="702" s="1"/>
  <c r="BP113" i="861"/>
  <c r="BE5" i="702" s="1"/>
  <c r="BQ113" i="861"/>
  <c r="BF5" i="702" s="1"/>
  <c r="BR113" i="861"/>
  <c r="BG5" i="702" s="1"/>
  <c r="BS113" i="861"/>
  <c r="BH5" i="702" s="1"/>
  <c r="BT113" i="861"/>
  <c r="BI5" i="702" s="1"/>
  <c r="BU113" i="861"/>
  <c r="BJ5" i="702" s="1"/>
  <c r="BV113" i="861"/>
  <c r="BK5" i="702" s="1"/>
  <c r="BB114" i="861"/>
  <c r="AQ7" i="702" s="1"/>
  <c r="BC114" i="861"/>
  <c r="AR7" i="702" s="1"/>
  <c r="BD114" i="861"/>
  <c r="AS7" i="702" s="1"/>
  <c r="BE114" i="861"/>
  <c r="AT7" i="702" s="1"/>
  <c r="BF114" i="861"/>
  <c r="AU7" i="702" s="1"/>
  <c r="BG114" i="861"/>
  <c r="AV7" i="702" s="1"/>
  <c r="BH114" i="861"/>
  <c r="AW7" i="702" s="1"/>
  <c r="BI114" i="861"/>
  <c r="AX7" i="702" s="1"/>
  <c r="BJ114" i="861"/>
  <c r="AY7" i="702" s="1"/>
  <c r="BN114" i="861"/>
  <c r="BC7" i="702" s="1"/>
  <c r="BO114" i="861"/>
  <c r="BD7" i="702" s="1"/>
  <c r="BP114" i="861"/>
  <c r="BE7" i="702" s="1"/>
  <c r="BQ114" i="861"/>
  <c r="BF7" i="702" s="1"/>
  <c r="BR114" i="861"/>
  <c r="BG7" i="702" s="1"/>
  <c r="BS114" i="861"/>
  <c r="BH7" i="702" s="1"/>
  <c r="BT114" i="861"/>
  <c r="BI7" i="702" s="1"/>
  <c r="BU114" i="861"/>
  <c r="BJ7" i="702" s="1"/>
  <c r="BV114" i="861"/>
  <c r="BK7" i="702" s="1"/>
  <c r="BB115" i="861"/>
  <c r="AQ18" i="702" s="1"/>
  <c r="BC115" i="861"/>
  <c r="AR18" i="702" s="1"/>
  <c r="BD115" i="861"/>
  <c r="AS18" i="702" s="1"/>
  <c r="BE115" i="861"/>
  <c r="AT18" i="702" s="1"/>
  <c r="BF115" i="861"/>
  <c r="AU18" i="702" s="1"/>
  <c r="BG115" i="861"/>
  <c r="AV18" i="702" s="1"/>
  <c r="BH115" i="861"/>
  <c r="AW18" i="702" s="1"/>
  <c r="BI115" i="861"/>
  <c r="AX18" i="702" s="1"/>
  <c r="BJ115" i="861"/>
  <c r="AY18" i="702" s="1"/>
  <c r="BN115" i="861"/>
  <c r="BC18" i="702" s="1"/>
  <c r="BO115" i="861"/>
  <c r="BD18" i="702" s="1"/>
  <c r="BP115" i="861"/>
  <c r="BE18" i="702" s="1"/>
  <c r="BQ115" i="861"/>
  <c r="BF18" i="702" s="1"/>
  <c r="BR115" i="861"/>
  <c r="BG18" i="702" s="1"/>
  <c r="BS115" i="861"/>
  <c r="BH18" i="702" s="1"/>
  <c r="BT115" i="861"/>
  <c r="BI18" i="702" s="1"/>
  <c r="BU115" i="861"/>
  <c r="BJ18" i="702" s="1"/>
  <c r="BV115" i="861"/>
  <c r="BK18" i="702" s="1"/>
  <c r="BB116" i="861"/>
  <c r="AQ13" i="702" s="1"/>
  <c r="BC116" i="861"/>
  <c r="AR13" i="702" s="1"/>
  <c r="BD116" i="861"/>
  <c r="AS13" i="702" s="1"/>
  <c r="BE116" i="861"/>
  <c r="AT13" i="702" s="1"/>
  <c r="BF116" i="861"/>
  <c r="AU13" i="702" s="1"/>
  <c r="BG116" i="861"/>
  <c r="AV13" i="702" s="1"/>
  <c r="BH116" i="861"/>
  <c r="AW13" i="702" s="1"/>
  <c r="BI116" i="861"/>
  <c r="AX13" i="702" s="1"/>
  <c r="BJ116" i="861"/>
  <c r="AY13" i="702" s="1"/>
  <c r="BN116" i="861"/>
  <c r="BC13" i="702" s="1"/>
  <c r="BO116" i="861"/>
  <c r="BD13" i="702" s="1"/>
  <c r="BP116" i="861"/>
  <c r="BE13" i="702" s="1"/>
  <c r="BQ116" i="861"/>
  <c r="BF13" i="702" s="1"/>
  <c r="BR116" i="861"/>
  <c r="BG13" i="702" s="1"/>
  <c r="BS116" i="861"/>
  <c r="BH13" i="702" s="1"/>
  <c r="BT116" i="861"/>
  <c r="BI13" i="702" s="1"/>
  <c r="BU116" i="861"/>
  <c r="BJ13" i="702" s="1"/>
  <c r="BV116" i="861"/>
  <c r="BK13" i="702" s="1"/>
  <c r="BB117" i="861"/>
  <c r="AQ14" i="702" s="1"/>
  <c r="BC117" i="861"/>
  <c r="AR14" i="702" s="1"/>
  <c r="BD117" i="861"/>
  <c r="AS14" i="702" s="1"/>
  <c r="BE117" i="861"/>
  <c r="AT14" i="702" s="1"/>
  <c r="BF117" i="861"/>
  <c r="AU14" i="702" s="1"/>
  <c r="BG117" i="861"/>
  <c r="AV14" i="702" s="1"/>
  <c r="BH117" i="861"/>
  <c r="AW14" i="702" s="1"/>
  <c r="BI117" i="861"/>
  <c r="AX14" i="702" s="1"/>
  <c r="BJ117" i="861"/>
  <c r="AY14" i="702" s="1"/>
  <c r="BN117" i="861"/>
  <c r="BC14" i="702" s="1"/>
  <c r="BO117" i="861"/>
  <c r="BD14" i="702" s="1"/>
  <c r="BP117" i="861"/>
  <c r="BE14" i="702" s="1"/>
  <c r="BQ117" i="861"/>
  <c r="BF14" i="702" s="1"/>
  <c r="BR117" i="861"/>
  <c r="BG14" i="702" s="1"/>
  <c r="BS117" i="861"/>
  <c r="BH14" i="702" s="1"/>
  <c r="BT117" i="861"/>
  <c r="BI14" i="702" s="1"/>
  <c r="BU117" i="861"/>
  <c r="BJ14" i="702" s="1"/>
  <c r="BV117" i="861"/>
  <c r="BK14" i="702" s="1"/>
  <c r="BB118" i="861"/>
  <c r="AQ20" i="702" s="1"/>
  <c r="BC118" i="861"/>
  <c r="AR20" i="702" s="1"/>
  <c r="BD118" i="861"/>
  <c r="AS20" i="702" s="1"/>
  <c r="BE118" i="861"/>
  <c r="AT20" i="702" s="1"/>
  <c r="BF118" i="861"/>
  <c r="AU20" i="702" s="1"/>
  <c r="BG118" i="861"/>
  <c r="AV20" i="702" s="1"/>
  <c r="BH118" i="861"/>
  <c r="AW20" i="702" s="1"/>
  <c r="BI118" i="861"/>
  <c r="AX20" i="702" s="1"/>
  <c r="BJ118" i="861"/>
  <c r="AY20" i="702" s="1"/>
  <c r="BN118" i="861"/>
  <c r="BC20" i="702" s="1"/>
  <c r="BO118" i="861"/>
  <c r="BD20" i="702" s="1"/>
  <c r="BP118" i="861"/>
  <c r="BE20" i="702" s="1"/>
  <c r="BQ118" i="861"/>
  <c r="BF20" i="702" s="1"/>
  <c r="BR118" i="861"/>
  <c r="BG20" i="702" s="1"/>
  <c r="BS118" i="861"/>
  <c r="BH20" i="702" s="1"/>
  <c r="BT118" i="861"/>
  <c r="BI20" i="702" s="1"/>
  <c r="BU118" i="861"/>
  <c r="BJ20" i="702" s="1"/>
  <c r="BV118" i="861"/>
  <c r="BB119" i="861"/>
  <c r="AQ30" i="702" s="1"/>
  <c r="BC119" i="861"/>
  <c r="AR30" i="702" s="1"/>
  <c r="BD119" i="861"/>
  <c r="AS30" i="702" s="1"/>
  <c r="BE119" i="861"/>
  <c r="AT30" i="702" s="1"/>
  <c r="BF119" i="861"/>
  <c r="AU30" i="702" s="1"/>
  <c r="BG119" i="861"/>
  <c r="AV30" i="702" s="1"/>
  <c r="BH119" i="861"/>
  <c r="AW30" i="702" s="1"/>
  <c r="BI119" i="861"/>
  <c r="AX30" i="702" s="1"/>
  <c r="BJ119" i="861"/>
  <c r="AY30" i="702" s="1"/>
  <c r="BN119" i="861"/>
  <c r="BC30" i="702" s="1"/>
  <c r="BO119" i="861"/>
  <c r="BD30" i="702" s="1"/>
  <c r="BP119" i="861"/>
  <c r="BE30" i="702" s="1"/>
  <c r="BQ119" i="861"/>
  <c r="BF30" i="702" s="1"/>
  <c r="BR119" i="861"/>
  <c r="BG30" i="702" s="1"/>
  <c r="BS119" i="861"/>
  <c r="BH30" i="702" s="1"/>
  <c r="BT119" i="861"/>
  <c r="BI30" i="702" s="1"/>
  <c r="BU119" i="861"/>
  <c r="BJ30" i="702" s="1"/>
  <c r="BV119" i="861"/>
  <c r="BK30" i="702" s="1"/>
  <c r="BB120" i="861"/>
  <c r="AQ31" i="702" s="1"/>
  <c r="BC120" i="861"/>
  <c r="AR31" i="702" s="1"/>
  <c r="BD120" i="861"/>
  <c r="AS31" i="702" s="1"/>
  <c r="BE120" i="861"/>
  <c r="AT31" i="702" s="1"/>
  <c r="BF120" i="861"/>
  <c r="AU31" i="702" s="1"/>
  <c r="BG120" i="861"/>
  <c r="AV31" i="702" s="1"/>
  <c r="BH120" i="861"/>
  <c r="AW31" i="702" s="1"/>
  <c r="BI120" i="861"/>
  <c r="AX31" i="702" s="1"/>
  <c r="BJ120" i="861"/>
  <c r="AY31" i="702" s="1"/>
  <c r="BN120" i="861"/>
  <c r="BC31" i="702" s="1"/>
  <c r="BO120" i="861"/>
  <c r="BD31" i="702" s="1"/>
  <c r="BP120" i="861"/>
  <c r="BE31" i="702" s="1"/>
  <c r="BQ120" i="861"/>
  <c r="BF31" i="702" s="1"/>
  <c r="BR120" i="861"/>
  <c r="BG31" i="702" s="1"/>
  <c r="BS120" i="861"/>
  <c r="BH31" i="702" s="1"/>
  <c r="BT120" i="861"/>
  <c r="BI31" i="702" s="1"/>
  <c r="BU120" i="861"/>
  <c r="BJ31" i="702" s="1"/>
  <c r="BV120" i="861"/>
  <c r="BK31" i="702" s="1"/>
  <c r="BB121" i="861"/>
  <c r="AQ48" i="702" s="1"/>
  <c r="BC121" i="861"/>
  <c r="AR48" i="702" s="1"/>
  <c r="BD121" i="861"/>
  <c r="AS48" i="702" s="1"/>
  <c r="BE121" i="861"/>
  <c r="AT48" i="702" s="1"/>
  <c r="BF121" i="861"/>
  <c r="AU48" i="702" s="1"/>
  <c r="BG121" i="861"/>
  <c r="AV48" i="702" s="1"/>
  <c r="BH121" i="861"/>
  <c r="AW48" i="702" s="1"/>
  <c r="BI121" i="861"/>
  <c r="AX48" i="702" s="1"/>
  <c r="BJ121" i="861"/>
  <c r="AY48" i="702" s="1"/>
  <c r="BN121" i="861"/>
  <c r="BC48" i="702" s="1"/>
  <c r="BO121" i="861"/>
  <c r="BD48" i="702" s="1"/>
  <c r="BP121" i="861"/>
  <c r="BE48" i="702" s="1"/>
  <c r="BQ121" i="861"/>
  <c r="BF48" i="702" s="1"/>
  <c r="BR121" i="861"/>
  <c r="BG48" i="702" s="1"/>
  <c r="BS121" i="861"/>
  <c r="BH48" i="702" s="1"/>
  <c r="BT121" i="861"/>
  <c r="BI48" i="702" s="1"/>
  <c r="BU121" i="861"/>
  <c r="BJ48" i="702" s="1"/>
  <c r="BV121" i="861"/>
  <c r="BK48" i="702" s="1"/>
  <c r="BB122" i="861"/>
  <c r="AQ47" i="702" s="1"/>
  <c r="BC122" i="861"/>
  <c r="AR47" i="702" s="1"/>
  <c r="BD122" i="861"/>
  <c r="AS47" i="702" s="1"/>
  <c r="BE122" i="861"/>
  <c r="AT47" i="702" s="1"/>
  <c r="BF122" i="861"/>
  <c r="AU47" i="702" s="1"/>
  <c r="BG122" i="861"/>
  <c r="AV47" i="702" s="1"/>
  <c r="BH122" i="861"/>
  <c r="AW47" i="702" s="1"/>
  <c r="BI122" i="861"/>
  <c r="AX47" i="702" s="1"/>
  <c r="BJ122" i="861"/>
  <c r="AY47" i="702" s="1"/>
  <c r="BN122" i="861"/>
  <c r="BC47" i="702" s="1"/>
  <c r="BO122" i="861"/>
  <c r="BD47" i="702" s="1"/>
  <c r="BP122" i="861"/>
  <c r="BE47" i="702" s="1"/>
  <c r="BQ122" i="861"/>
  <c r="BF47" i="702" s="1"/>
  <c r="BR122" i="861"/>
  <c r="BG47" i="702" s="1"/>
  <c r="BS122" i="861"/>
  <c r="BH47" i="702" s="1"/>
  <c r="BT122" i="861"/>
  <c r="BI47" i="702" s="1"/>
  <c r="BU122" i="861"/>
  <c r="BJ47" i="702" s="1"/>
  <c r="BV122" i="861"/>
  <c r="BK47" i="702" s="1"/>
  <c r="BB123" i="861"/>
  <c r="AQ70" i="702" s="1"/>
  <c r="BC123" i="861"/>
  <c r="AR70" i="702" s="1"/>
  <c r="BD123" i="861"/>
  <c r="AS70" i="702" s="1"/>
  <c r="BE123" i="861"/>
  <c r="AT70" i="702" s="1"/>
  <c r="BF123" i="861"/>
  <c r="AU70" i="702" s="1"/>
  <c r="BG123" i="861"/>
  <c r="AV70" i="702" s="1"/>
  <c r="BH123" i="861"/>
  <c r="AW70" i="702" s="1"/>
  <c r="BI123" i="861"/>
  <c r="AX70" i="702" s="1"/>
  <c r="BJ123" i="861"/>
  <c r="AY70" i="702" s="1"/>
  <c r="BN123" i="861"/>
  <c r="BC70" i="702" s="1"/>
  <c r="BO123" i="861"/>
  <c r="BD70" i="702" s="1"/>
  <c r="BP123" i="861"/>
  <c r="BE70" i="702" s="1"/>
  <c r="BQ123" i="861"/>
  <c r="BF70" i="702" s="1"/>
  <c r="BR123" i="861"/>
  <c r="BG70" i="702" s="1"/>
  <c r="BS123" i="861"/>
  <c r="BH70" i="702" s="1"/>
  <c r="BT123" i="861"/>
  <c r="BI70" i="702" s="1"/>
  <c r="BU123" i="861"/>
  <c r="BJ70" i="702" s="1"/>
  <c r="BV123" i="861"/>
  <c r="BK70" i="702" s="1"/>
  <c r="BB124" i="861"/>
  <c r="AQ6" i="702" s="1"/>
  <c r="BC124" i="861"/>
  <c r="AR6" i="702" s="1"/>
  <c r="BD124" i="861"/>
  <c r="AS6" i="702" s="1"/>
  <c r="BE124" i="861"/>
  <c r="AT6" i="702" s="1"/>
  <c r="BF124" i="861"/>
  <c r="AU6" i="702" s="1"/>
  <c r="BG124" i="861"/>
  <c r="AV6" i="702" s="1"/>
  <c r="BH124" i="861"/>
  <c r="AW6" i="702" s="1"/>
  <c r="BI124" i="861"/>
  <c r="AX6" i="702" s="1"/>
  <c r="BJ124" i="861"/>
  <c r="AY6" i="702" s="1"/>
  <c r="BN124" i="861"/>
  <c r="BC6" i="702" s="1"/>
  <c r="BO124" i="861"/>
  <c r="BD6" i="702" s="1"/>
  <c r="BP124" i="861"/>
  <c r="BE6" i="702" s="1"/>
  <c r="BQ124" i="861"/>
  <c r="BF6" i="702" s="1"/>
  <c r="BR124" i="861"/>
  <c r="BG6" i="702" s="1"/>
  <c r="BS124" i="861"/>
  <c r="BH6" i="702" s="1"/>
  <c r="BT124" i="861"/>
  <c r="BI6" i="702" s="1"/>
  <c r="BU124" i="861"/>
  <c r="BJ6" i="702" s="1"/>
  <c r="BV124" i="861"/>
  <c r="BK6" i="702" s="1"/>
  <c r="BB125" i="861"/>
  <c r="AQ15" i="702" s="1"/>
  <c r="BC125" i="861"/>
  <c r="AR15" i="702" s="1"/>
  <c r="BD125" i="861"/>
  <c r="AS15" i="702" s="1"/>
  <c r="BE125" i="861"/>
  <c r="AT15" i="702" s="1"/>
  <c r="BF125" i="861"/>
  <c r="AU15" i="702" s="1"/>
  <c r="BG125" i="861"/>
  <c r="AV15" i="702" s="1"/>
  <c r="BH125" i="861"/>
  <c r="AW15" i="702" s="1"/>
  <c r="BI125" i="861"/>
  <c r="AX15" i="702" s="1"/>
  <c r="BJ125" i="861"/>
  <c r="AY15" i="702" s="1"/>
  <c r="BN125" i="861"/>
  <c r="BC15" i="702" s="1"/>
  <c r="BO125" i="861"/>
  <c r="BD15" i="702" s="1"/>
  <c r="BP125" i="861"/>
  <c r="BE15" i="702" s="1"/>
  <c r="BQ125" i="861"/>
  <c r="BF15" i="702" s="1"/>
  <c r="BR125" i="861"/>
  <c r="BG15" i="702" s="1"/>
  <c r="BS125" i="861"/>
  <c r="BH15" i="702" s="1"/>
  <c r="BT125" i="861"/>
  <c r="BI15" i="702" s="1"/>
  <c r="BU125" i="861"/>
  <c r="BJ15" i="702" s="1"/>
  <c r="BV125" i="861"/>
  <c r="BK15" i="702" s="1"/>
  <c r="BB126" i="861"/>
  <c r="AQ16" i="702" s="1"/>
  <c r="BC126" i="861"/>
  <c r="AR16" i="702" s="1"/>
  <c r="BD126" i="861"/>
  <c r="AS16" i="702" s="1"/>
  <c r="BE126" i="861"/>
  <c r="AT16" i="702" s="1"/>
  <c r="BF126" i="861"/>
  <c r="AU16" i="702" s="1"/>
  <c r="BG126" i="861"/>
  <c r="AV16" i="702" s="1"/>
  <c r="BH126" i="861"/>
  <c r="AW16" i="702" s="1"/>
  <c r="BI126" i="861"/>
  <c r="AX16" i="702" s="1"/>
  <c r="BJ126" i="861"/>
  <c r="AY16" i="702" s="1"/>
  <c r="BN126" i="861"/>
  <c r="BC16" i="702" s="1"/>
  <c r="BO126" i="861"/>
  <c r="BD16" i="702" s="1"/>
  <c r="BP126" i="861"/>
  <c r="BE16" i="702" s="1"/>
  <c r="BQ126" i="861"/>
  <c r="BF16" i="702" s="1"/>
  <c r="BR126" i="861"/>
  <c r="BG16" i="702" s="1"/>
  <c r="BS126" i="861"/>
  <c r="BH16" i="702" s="1"/>
  <c r="BT126" i="861"/>
  <c r="BI16" i="702" s="1"/>
  <c r="BU126" i="861"/>
  <c r="BJ16" i="702" s="1"/>
  <c r="BV126" i="861"/>
  <c r="BK16" i="702" s="1"/>
  <c r="BB127" i="861"/>
  <c r="AQ17" i="702" s="1"/>
  <c r="BC127" i="861"/>
  <c r="AR17" i="702" s="1"/>
  <c r="BD127" i="861"/>
  <c r="AS17" i="702" s="1"/>
  <c r="BE127" i="861"/>
  <c r="AT17" i="702" s="1"/>
  <c r="BF127" i="861"/>
  <c r="AU17" i="702" s="1"/>
  <c r="BG127" i="861"/>
  <c r="AV17" i="702" s="1"/>
  <c r="BH127" i="861"/>
  <c r="AW17" i="702" s="1"/>
  <c r="BI127" i="861"/>
  <c r="AX17" i="702" s="1"/>
  <c r="BJ127" i="861"/>
  <c r="AY17" i="702" s="1"/>
  <c r="BN127" i="861"/>
  <c r="BC17" i="702" s="1"/>
  <c r="BO127" i="861"/>
  <c r="BD17" i="702" s="1"/>
  <c r="BP127" i="861"/>
  <c r="BE17" i="702" s="1"/>
  <c r="BQ127" i="861"/>
  <c r="BF17" i="702" s="1"/>
  <c r="BR127" i="861"/>
  <c r="BG17" i="702" s="1"/>
  <c r="BS127" i="861"/>
  <c r="BH17" i="702" s="1"/>
  <c r="BT127" i="861"/>
  <c r="BI17" i="702" s="1"/>
  <c r="BU127" i="861"/>
  <c r="BJ17" i="702" s="1"/>
  <c r="BV127" i="861"/>
  <c r="BK17" i="702" s="1"/>
  <c r="BB128" i="861"/>
  <c r="AQ35" i="702" s="1"/>
  <c r="BC128" i="861"/>
  <c r="AR35" i="702" s="1"/>
  <c r="BD128" i="861"/>
  <c r="AS35" i="702" s="1"/>
  <c r="BE128" i="861"/>
  <c r="AT35" i="702" s="1"/>
  <c r="BF128" i="861"/>
  <c r="AU35" i="702" s="1"/>
  <c r="BG128" i="861"/>
  <c r="AV35" i="702" s="1"/>
  <c r="BH128" i="861"/>
  <c r="AW35" i="702" s="1"/>
  <c r="BI128" i="861"/>
  <c r="AX35" i="702" s="1"/>
  <c r="BJ128" i="861"/>
  <c r="AY35" i="702" s="1"/>
  <c r="BN128" i="861"/>
  <c r="BC35" i="702" s="1"/>
  <c r="BO128" i="861"/>
  <c r="BD35" i="702" s="1"/>
  <c r="BP128" i="861"/>
  <c r="BE35" i="702" s="1"/>
  <c r="BQ128" i="861"/>
  <c r="BF35" i="702" s="1"/>
  <c r="BR128" i="861"/>
  <c r="BG35" i="702" s="1"/>
  <c r="BS128" i="861"/>
  <c r="BH35" i="702" s="1"/>
  <c r="BT128" i="861"/>
  <c r="BI35" i="702" s="1"/>
  <c r="BU128" i="861"/>
  <c r="BJ35" i="702" s="1"/>
  <c r="BV128" i="861"/>
  <c r="BK35" i="702" s="1"/>
  <c r="BB129" i="861"/>
  <c r="AQ28" i="702" s="1"/>
  <c r="BC129" i="861"/>
  <c r="AR28" i="702" s="1"/>
  <c r="BD129" i="861"/>
  <c r="AS28" i="702" s="1"/>
  <c r="BE129" i="861"/>
  <c r="AT28" i="702" s="1"/>
  <c r="BF129" i="861"/>
  <c r="AU28" i="702" s="1"/>
  <c r="BG129" i="861"/>
  <c r="AV28" i="702" s="1"/>
  <c r="BH129" i="861"/>
  <c r="AW28" i="702" s="1"/>
  <c r="BI129" i="861"/>
  <c r="AX28" i="702" s="1"/>
  <c r="BJ129" i="861"/>
  <c r="AY28" i="702" s="1"/>
  <c r="BN129" i="861"/>
  <c r="BC28" i="702" s="1"/>
  <c r="BO129" i="861"/>
  <c r="BD28" i="702" s="1"/>
  <c r="BP129" i="861"/>
  <c r="BE28" i="702" s="1"/>
  <c r="BQ129" i="861"/>
  <c r="BF28" i="702" s="1"/>
  <c r="BR129" i="861"/>
  <c r="BG28" i="702" s="1"/>
  <c r="BS129" i="861"/>
  <c r="BH28" i="702" s="1"/>
  <c r="BT129" i="861"/>
  <c r="BI28" i="702" s="1"/>
  <c r="BU129" i="861"/>
  <c r="BJ28" i="702" s="1"/>
  <c r="BV129" i="861"/>
  <c r="BK28" i="702" s="1"/>
  <c r="BB130" i="861"/>
  <c r="AQ19" i="702" s="1"/>
  <c r="BC130" i="861"/>
  <c r="AR19" i="702" s="1"/>
  <c r="BD130" i="861"/>
  <c r="AS19" i="702" s="1"/>
  <c r="BE130" i="861"/>
  <c r="AT19" i="702" s="1"/>
  <c r="BF130" i="861"/>
  <c r="AU19" i="702" s="1"/>
  <c r="BG130" i="861"/>
  <c r="AV19" i="702" s="1"/>
  <c r="BH130" i="861"/>
  <c r="AW19" i="702" s="1"/>
  <c r="BI130" i="861"/>
  <c r="AX19" i="702" s="1"/>
  <c r="BJ130" i="861"/>
  <c r="AY19" i="702" s="1"/>
  <c r="BN130" i="861"/>
  <c r="BC19" i="702" s="1"/>
  <c r="BO130" i="861"/>
  <c r="BD19" i="702" s="1"/>
  <c r="BP130" i="861"/>
  <c r="BE19" i="702" s="1"/>
  <c r="BQ130" i="861"/>
  <c r="BF19" i="702" s="1"/>
  <c r="BR130" i="861"/>
  <c r="BG19" i="702" s="1"/>
  <c r="BS130" i="861"/>
  <c r="BH19" i="702" s="1"/>
  <c r="BT130" i="861"/>
  <c r="BI19" i="702" s="1"/>
  <c r="BU130" i="861"/>
  <c r="BJ19" i="702" s="1"/>
  <c r="BV130" i="861"/>
  <c r="BK19" i="702" s="1"/>
  <c r="BB131" i="861"/>
  <c r="AQ29" i="702" s="1"/>
  <c r="BC131" i="861"/>
  <c r="AR29" i="702" s="1"/>
  <c r="BD131" i="861"/>
  <c r="AS29" i="702" s="1"/>
  <c r="BE131" i="861"/>
  <c r="AT29" i="702" s="1"/>
  <c r="BF131" i="861"/>
  <c r="AU29" i="702" s="1"/>
  <c r="BG131" i="861"/>
  <c r="AV29" i="702" s="1"/>
  <c r="BH131" i="861"/>
  <c r="AW29" i="702" s="1"/>
  <c r="BI131" i="861"/>
  <c r="AX29" i="702" s="1"/>
  <c r="BJ131" i="861"/>
  <c r="AY29" i="702" s="1"/>
  <c r="BN131" i="861"/>
  <c r="BC29" i="702" s="1"/>
  <c r="BO131" i="861"/>
  <c r="BD29" i="702" s="1"/>
  <c r="BP131" i="861"/>
  <c r="BE29" i="702" s="1"/>
  <c r="BQ131" i="861"/>
  <c r="BF29" i="702" s="1"/>
  <c r="BR131" i="861"/>
  <c r="BG29" i="702" s="1"/>
  <c r="BS131" i="861"/>
  <c r="BH29" i="702" s="1"/>
  <c r="BT131" i="861"/>
  <c r="BI29" i="702" s="1"/>
  <c r="BU131" i="861"/>
  <c r="BJ29" i="702" s="1"/>
  <c r="BV131" i="861"/>
  <c r="BK29" i="702" s="1"/>
  <c r="BB4" i="861"/>
  <c r="AQ113" i="702" s="1"/>
  <c r="BC4" i="861"/>
  <c r="AR113" i="702" s="1"/>
  <c r="BD4" i="861"/>
  <c r="AS113" i="702" s="1"/>
  <c r="BE4" i="861"/>
  <c r="AT113" i="702" s="1"/>
  <c r="BF4" i="861"/>
  <c r="AU113" i="702" s="1"/>
  <c r="BG4" i="861"/>
  <c r="AV113" i="702" s="1"/>
  <c r="BH4" i="861"/>
  <c r="AW113" i="702" s="1"/>
  <c r="BI4" i="861"/>
  <c r="AX113" i="702" s="1"/>
  <c r="BJ4" i="861"/>
  <c r="AY113" i="702" s="1"/>
  <c r="BN4" i="861"/>
  <c r="BC113" i="702" s="1"/>
  <c r="BO4" i="861"/>
  <c r="BD113" i="702" s="1"/>
  <c r="BP4" i="861"/>
  <c r="BE113" i="702" s="1"/>
  <c r="BQ4" i="861"/>
  <c r="BF113" i="702" s="1"/>
  <c r="BR4" i="861"/>
  <c r="BG113" i="702" s="1"/>
  <c r="BS4" i="861"/>
  <c r="BH113" i="702" s="1"/>
  <c r="BT4" i="861"/>
  <c r="BI113" i="702" s="1"/>
  <c r="BU4" i="861"/>
  <c r="BJ113" i="702" s="1"/>
  <c r="BV4" i="861"/>
  <c r="BK113" i="702" s="1"/>
  <c r="BU3" i="861"/>
  <c r="BJ112" i="702" s="1"/>
  <c r="BT3" i="861"/>
  <c r="BI112" i="702" s="1"/>
  <c r="BS3" i="861"/>
  <c r="BH112" i="702" s="1"/>
  <c r="BR3" i="861"/>
  <c r="BG112" i="702" s="1"/>
  <c r="BQ3" i="861"/>
  <c r="BF112" i="702" s="1"/>
  <c r="BP3" i="861"/>
  <c r="BE112" i="702" s="1"/>
  <c r="BO3" i="861"/>
  <c r="BD112" i="702" s="1"/>
  <c r="BN3" i="861"/>
  <c r="BC112" i="702" s="1"/>
  <c r="BI3" i="861"/>
  <c r="AX112" i="702" s="1"/>
  <c r="BH3" i="861"/>
  <c r="AW112" i="702" s="1"/>
  <c r="BG3" i="861"/>
  <c r="AV112" i="702" s="1"/>
  <c r="BF3" i="861"/>
  <c r="AU112" i="702" s="1"/>
  <c r="BE3" i="861"/>
  <c r="AT112" i="702" s="1"/>
  <c r="BC3" i="861"/>
  <c r="AR112" i="702" s="1"/>
  <c r="BB3" i="861"/>
  <c r="AQ112" i="702" s="1"/>
  <c r="N12" i="826"/>
  <c r="N12" i="825"/>
  <c r="N12" i="824"/>
  <c r="N12" i="860"/>
  <c r="E67" i="860"/>
  <c r="A63" i="860"/>
  <c r="A61" i="860"/>
  <c r="A59" i="860"/>
  <c r="A57" i="860"/>
  <c r="A55" i="860"/>
  <c r="A53" i="860"/>
  <c r="A51" i="860"/>
  <c r="A49" i="860"/>
  <c r="A47" i="860"/>
  <c r="A45" i="860"/>
  <c r="A43" i="860"/>
  <c r="A41" i="860"/>
  <c r="N23" i="860"/>
  <c r="O23" i="860" s="1"/>
  <c r="M23" i="860"/>
  <c r="L23" i="860"/>
  <c r="N22" i="860"/>
  <c r="O22" i="860" s="1"/>
  <c r="M22" i="860"/>
  <c r="L22" i="860"/>
  <c r="M15" i="860"/>
  <c r="F15" i="860"/>
  <c r="C15" i="860"/>
  <c r="C26" i="860" s="1"/>
  <c r="A15" i="860"/>
  <c r="J12" i="860"/>
  <c r="C12" i="860"/>
  <c r="A19" i="860" s="1"/>
  <c r="F10" i="860"/>
  <c r="C10" i="860"/>
  <c r="C8" i="860"/>
  <c r="C7" i="860"/>
  <c r="C6" i="860"/>
  <c r="C5" i="860"/>
  <c r="N12" i="822"/>
  <c r="N12" i="821"/>
  <c r="N12" i="820"/>
  <c r="N12" i="819"/>
  <c r="N12" i="818"/>
  <c r="N12" i="817"/>
  <c r="N12" i="816"/>
  <c r="N12" i="815"/>
  <c r="N12" i="814"/>
  <c r="N12" i="813"/>
  <c r="N12" i="812"/>
  <c r="N12" i="811"/>
  <c r="N12" i="810"/>
  <c r="N12" i="809"/>
  <c r="N12" i="808"/>
  <c r="N12" i="807"/>
  <c r="N12" i="806"/>
  <c r="N12" i="805"/>
  <c r="N12" i="804"/>
  <c r="N12" i="803"/>
  <c r="N12" i="801"/>
  <c r="N12" i="800"/>
  <c r="N12" i="799"/>
  <c r="N12" i="798"/>
  <c r="N12" i="797"/>
  <c r="N12" i="796"/>
  <c r="N12" i="858"/>
  <c r="N12" i="790"/>
  <c r="N12" i="788"/>
  <c r="N12" i="787"/>
  <c r="N12" i="786"/>
  <c r="N12" i="785"/>
  <c r="N12" i="784"/>
  <c r="N12" i="783"/>
  <c r="N12" i="857"/>
  <c r="N12" i="782"/>
  <c r="N12" i="781"/>
  <c r="N12" i="780"/>
  <c r="N12" i="779"/>
  <c r="N12" i="778"/>
  <c r="N12" i="777"/>
  <c r="N12" i="776"/>
  <c r="N12" i="775"/>
  <c r="N12" i="774"/>
  <c r="N12" i="856"/>
  <c r="N12" i="773"/>
  <c r="N12" i="772"/>
  <c r="N12" i="768"/>
  <c r="N12" i="767"/>
  <c r="N12" i="766"/>
  <c r="N12" i="765"/>
  <c r="N12" i="764"/>
  <c r="N12" i="763"/>
  <c r="N12" i="761"/>
  <c r="N12" i="760"/>
  <c r="N12" i="759"/>
  <c r="N12" i="758"/>
  <c r="N12" i="757"/>
  <c r="N12" i="756"/>
  <c r="N12" i="755"/>
  <c r="N12" i="754"/>
  <c r="N12" i="753"/>
  <c r="N12" i="752"/>
  <c r="N12" i="751"/>
  <c r="N12" i="855"/>
  <c r="N12" i="750"/>
  <c r="N12" i="749"/>
  <c r="N12" i="748"/>
  <c r="N12" i="747"/>
  <c r="N12" i="746"/>
  <c r="N12" i="745"/>
  <c r="N12" i="854"/>
  <c r="N12" i="744"/>
  <c r="N12" i="743"/>
  <c r="N12" i="742"/>
  <c r="N12" i="741"/>
  <c r="N12" i="740"/>
  <c r="N12" i="739"/>
  <c r="N12" i="738"/>
  <c r="N12" i="737"/>
  <c r="N12" i="735"/>
  <c r="N12" i="734"/>
  <c r="N12" i="733"/>
  <c r="N12" i="732"/>
  <c r="N12" i="731"/>
  <c r="N12" i="730"/>
  <c r="N12" i="729"/>
  <c r="N12" i="728"/>
  <c r="N12" i="727"/>
  <c r="N12" i="726"/>
  <c r="N12" i="725"/>
  <c r="N12" i="853"/>
  <c r="N12" i="724"/>
  <c r="N12" i="723"/>
  <c r="N12" i="721"/>
  <c r="N12" i="720"/>
  <c r="N12" i="719"/>
  <c r="N12" i="718"/>
  <c r="N12" i="717"/>
  <c r="N12" i="716"/>
  <c r="N12" i="714"/>
  <c r="N12" i="713"/>
  <c r="N12" i="712"/>
  <c r="N12" i="710"/>
  <c r="N12" i="709"/>
  <c r="N12" i="859"/>
  <c r="N12" i="707"/>
  <c r="N12" i="706"/>
  <c r="R12" i="706"/>
  <c r="N12" i="705"/>
  <c r="N12" i="665"/>
  <c r="J12" i="714"/>
  <c r="E67" i="859"/>
  <c r="A63" i="859"/>
  <c r="A61" i="859"/>
  <c r="A59" i="859"/>
  <c r="A57" i="859"/>
  <c r="A55" i="859"/>
  <c r="A53" i="859"/>
  <c r="A51" i="859"/>
  <c r="A49" i="859"/>
  <c r="A47" i="859"/>
  <c r="A45" i="859"/>
  <c r="A43" i="859"/>
  <c r="A41" i="859"/>
  <c r="N23" i="859"/>
  <c r="M23" i="859"/>
  <c r="L23" i="859"/>
  <c r="N22" i="859"/>
  <c r="M22" i="859"/>
  <c r="L22" i="859"/>
  <c r="M15" i="859"/>
  <c r="F15" i="859"/>
  <c r="C15" i="859"/>
  <c r="C26" i="859" s="1"/>
  <c r="A15" i="859"/>
  <c r="J12" i="859"/>
  <c r="C12" i="859"/>
  <c r="A19" i="859" s="1"/>
  <c r="F10" i="859"/>
  <c r="C10" i="859"/>
  <c r="C8" i="859"/>
  <c r="C7" i="859"/>
  <c r="C6" i="859"/>
  <c r="C5" i="859"/>
  <c r="CD57" i="702" l="1"/>
  <c r="CC50" i="702"/>
  <c r="CC20" i="702"/>
  <c r="CC17" i="702"/>
  <c r="CD80" i="702"/>
  <c r="CO80" i="702" s="1"/>
  <c r="CD22" i="702"/>
  <c r="CO22" i="702" s="1"/>
  <c r="CC12" i="702"/>
  <c r="CN12" i="702" s="1"/>
  <c r="CD97" i="702"/>
  <c r="CO97" i="702" s="1"/>
  <c r="CD121" i="702"/>
  <c r="CO121" i="702" s="1"/>
  <c r="CO35" i="702"/>
  <c r="CD31" i="702"/>
  <c r="CO31" i="702" s="1"/>
  <c r="CD32" i="702"/>
  <c r="CO32" i="702" s="1"/>
  <c r="CD41" i="702"/>
  <c r="CO41" i="702" s="1"/>
  <c r="CD44" i="702"/>
  <c r="CO44" i="702" s="1"/>
  <c r="CD65" i="702"/>
  <c r="CO65" i="702" s="1"/>
  <c r="CD81" i="702"/>
  <c r="CO81" i="702" s="1"/>
  <c r="CD79" i="702"/>
  <c r="CO79" i="702" s="1"/>
  <c r="CO92" i="702"/>
  <c r="CD25" i="702"/>
  <c r="CO25" i="702" s="1"/>
  <c r="CC28" i="702"/>
  <c r="CN28" i="702" s="1"/>
  <c r="CC48" i="702"/>
  <c r="CN48" i="702" s="1"/>
  <c r="CC46" i="702"/>
  <c r="CN46" i="702" s="1"/>
  <c r="CC43" i="702"/>
  <c r="CN43" i="702" s="1"/>
  <c r="CC66" i="702"/>
  <c r="CN66" i="702" s="1"/>
  <c r="CN72" i="702"/>
  <c r="CC105" i="702"/>
  <c r="CN105" i="702" s="1"/>
  <c r="CC131" i="702"/>
  <c r="CN131" i="702" s="1"/>
  <c r="AT40" i="702"/>
  <c r="F22" i="862" s="1"/>
  <c r="B29" i="862" s="1"/>
  <c r="CC112" i="702"/>
  <c r="CN112" i="702" s="1"/>
  <c r="CC113" i="702"/>
  <c r="CN113" i="702" s="1"/>
  <c r="CC6" i="702"/>
  <c r="CN6" i="702" s="1"/>
  <c r="CC13" i="702"/>
  <c r="CN13" i="702" s="1"/>
  <c r="CC11" i="702"/>
  <c r="CC51" i="702"/>
  <c r="CN51" i="702" s="1"/>
  <c r="AS40" i="702"/>
  <c r="E22" i="862" s="1"/>
  <c r="B28" i="862" s="1"/>
  <c r="CC108" i="702"/>
  <c r="CN108" i="702" s="1"/>
  <c r="CN61" i="702"/>
  <c r="CC104" i="702"/>
  <c r="CN104" i="702" s="1"/>
  <c r="CC99" i="702"/>
  <c r="CN99" i="702" s="1"/>
  <c r="AY133" i="702"/>
  <c r="K22" i="860" s="1"/>
  <c r="CC128" i="702"/>
  <c r="CN128" i="702" s="1"/>
  <c r="CC124" i="702"/>
  <c r="CN82" i="702"/>
  <c r="CC75" i="702"/>
  <c r="CN75" i="702" s="1"/>
  <c r="AY59" i="702"/>
  <c r="K22" i="859" s="1"/>
  <c r="CC33" i="702"/>
  <c r="CN33" i="702" s="1"/>
  <c r="CC22" i="702"/>
  <c r="CN22" i="702" s="1"/>
  <c r="CC10" i="702"/>
  <c r="CN10" i="702" s="1"/>
  <c r="CP10" i="702" s="1"/>
  <c r="CD17" i="702"/>
  <c r="CO17" i="702" s="1"/>
  <c r="CD30" i="702"/>
  <c r="CO30" i="702" s="1"/>
  <c r="CO69" i="702"/>
  <c r="CD50" i="702"/>
  <c r="CO50" i="702" s="1"/>
  <c r="BK40" i="702"/>
  <c r="K23" i="862" s="1"/>
  <c r="AR40" i="702"/>
  <c r="D22" i="862" s="1"/>
  <c r="B27" i="862" s="1"/>
  <c r="CO111" i="702"/>
  <c r="CD64" i="702"/>
  <c r="CD102" i="702"/>
  <c r="CO102" i="702" s="1"/>
  <c r="AX133" i="702"/>
  <c r="J22" i="860" s="1"/>
  <c r="B33" i="860" s="1"/>
  <c r="CD130" i="702"/>
  <c r="CO130" i="702" s="1"/>
  <c r="CD125" i="702"/>
  <c r="CO125" i="702" s="1"/>
  <c r="CD77" i="702"/>
  <c r="CO77" i="702" s="1"/>
  <c r="CD93" i="702"/>
  <c r="CO93" i="702" s="1"/>
  <c r="AX59" i="702"/>
  <c r="CD23" i="702"/>
  <c r="CO23" i="702" s="1"/>
  <c r="CD38" i="702"/>
  <c r="CO38" i="702" s="1"/>
  <c r="CO118" i="702"/>
  <c r="CD24" i="702"/>
  <c r="CO24" i="702" s="1"/>
  <c r="CN29" i="702"/>
  <c r="CC70" i="702"/>
  <c r="CN70" i="702" s="1"/>
  <c r="CC18" i="702"/>
  <c r="CN18" i="702" s="1"/>
  <c r="CC26" i="702"/>
  <c r="CN26" i="702" s="1"/>
  <c r="BJ40" i="702"/>
  <c r="J23" i="862" s="1"/>
  <c r="AQ40" i="702"/>
  <c r="CC107" i="702"/>
  <c r="CN107" i="702" s="1"/>
  <c r="CN60" i="702"/>
  <c r="CC103" i="702"/>
  <c r="CN103" i="702" s="1"/>
  <c r="CC96" i="702"/>
  <c r="CN96" i="702" s="1"/>
  <c r="AW133" i="702"/>
  <c r="CN89" i="702"/>
  <c r="CC123" i="702"/>
  <c r="CN123" i="702" s="1"/>
  <c r="CN94" i="702"/>
  <c r="CC76" i="702"/>
  <c r="CN76" i="702" s="1"/>
  <c r="AW59" i="702"/>
  <c r="I22" i="859" s="1"/>
  <c r="CC8" i="702"/>
  <c r="CN8" i="702" s="1"/>
  <c r="CC120" i="702"/>
  <c r="CN120" i="702" s="1"/>
  <c r="CC54" i="702"/>
  <c r="CN54" i="702" s="1"/>
  <c r="CD16" i="702"/>
  <c r="CO16" i="702" s="1"/>
  <c r="CD53" i="702"/>
  <c r="CO53" i="702" s="1"/>
  <c r="CD49" i="702"/>
  <c r="CO49" i="702" s="1"/>
  <c r="BI40" i="702"/>
  <c r="I23" i="862" s="1"/>
  <c r="CO110" i="702"/>
  <c r="CD101" i="702"/>
  <c r="CO101" i="702" s="1"/>
  <c r="CO57" i="702"/>
  <c r="CO84" i="702"/>
  <c r="CO85" i="702"/>
  <c r="BK56" i="702"/>
  <c r="K23" i="705" s="1"/>
  <c r="CD58" i="702"/>
  <c r="CO58" i="702" s="1"/>
  <c r="CD37" i="702"/>
  <c r="CO37" i="702" s="1"/>
  <c r="CO115" i="702"/>
  <c r="CC19" i="702"/>
  <c r="CN19" i="702" s="1"/>
  <c r="CC47" i="702"/>
  <c r="CN47" i="702" s="1"/>
  <c r="CC7" i="702"/>
  <c r="CN7" i="702" s="1"/>
  <c r="CC27" i="702"/>
  <c r="CN27" i="702" s="1"/>
  <c r="BH40" i="702"/>
  <c r="H23" i="862" s="1"/>
  <c r="CC45" i="702"/>
  <c r="CN45" i="702" s="1"/>
  <c r="CC67" i="702"/>
  <c r="CN67" i="702" s="1"/>
  <c r="CN74" i="702"/>
  <c r="CC95" i="702"/>
  <c r="CN95" i="702" s="1"/>
  <c r="CC132" i="702"/>
  <c r="CN132" i="702" s="1"/>
  <c r="CN91" i="702"/>
  <c r="CC127" i="702"/>
  <c r="CN127" i="702" s="1"/>
  <c r="CN87" i="702"/>
  <c r="CN56" i="702"/>
  <c r="CC68" i="702"/>
  <c r="CN68" i="702" s="1"/>
  <c r="CC119" i="702"/>
  <c r="CN119" i="702" s="1"/>
  <c r="CC9" i="702"/>
  <c r="CN9" i="702" s="1"/>
  <c r="CD15" i="702"/>
  <c r="CO15" i="702" s="1"/>
  <c r="CD14" i="702"/>
  <c r="CO14" i="702" s="1"/>
  <c r="CD52" i="702"/>
  <c r="CO52" i="702" s="1"/>
  <c r="CD39" i="702"/>
  <c r="CO39" i="702" s="1"/>
  <c r="BG40" i="702"/>
  <c r="G23" i="862" s="1"/>
  <c r="CD109" i="702"/>
  <c r="CO109" i="702" s="1"/>
  <c r="CD62" i="702"/>
  <c r="CO62" i="702" s="1"/>
  <c r="CO71" i="702"/>
  <c r="CD100" i="702"/>
  <c r="CO100" i="702" s="1"/>
  <c r="CO116" i="702"/>
  <c r="CO83" i="702"/>
  <c r="CD12" i="702"/>
  <c r="CD34" i="702"/>
  <c r="CO34" i="702" s="1"/>
  <c r="CD36" i="702"/>
  <c r="CO36" i="702" s="1"/>
  <c r="CD21" i="702"/>
  <c r="CO21" i="702" s="1"/>
  <c r="CD114" i="702"/>
  <c r="CO114" i="702" s="1"/>
  <c r="BF40" i="702"/>
  <c r="F23" i="862" s="1"/>
  <c r="CC78" i="702"/>
  <c r="CN78" i="702" s="1"/>
  <c r="CC126" i="702"/>
  <c r="CN126" i="702" s="1"/>
  <c r="CN86" i="702"/>
  <c r="CN55" i="702"/>
  <c r="CC98" i="702"/>
  <c r="CN98" i="702" s="1"/>
  <c r="CC122" i="702"/>
  <c r="CN122" i="702" s="1"/>
  <c r="CC42" i="702"/>
  <c r="CN42" i="702" s="1"/>
  <c r="CD112" i="702"/>
  <c r="CO112" i="702" s="1"/>
  <c r="CD113" i="702"/>
  <c r="CO113" i="702" s="1"/>
  <c r="CD6" i="702"/>
  <c r="CO6" i="702" s="1"/>
  <c r="CD13" i="702"/>
  <c r="CO13" i="702" s="1"/>
  <c r="CD51" i="702"/>
  <c r="CO51" i="702" s="1"/>
  <c r="BE40" i="702"/>
  <c r="E23" i="862" s="1"/>
  <c r="CD108" i="702"/>
  <c r="CO108" i="702" s="1"/>
  <c r="CD104" i="702"/>
  <c r="CO104" i="702" s="1"/>
  <c r="CD99" i="702"/>
  <c r="CO99" i="702" s="1"/>
  <c r="CD128" i="702"/>
  <c r="CO128" i="702" s="1"/>
  <c r="CD124" i="702"/>
  <c r="CO124" i="702" s="1"/>
  <c r="CD82" i="702"/>
  <c r="CO82" i="702" s="1"/>
  <c r="CD75" i="702"/>
  <c r="CO75" i="702" s="1"/>
  <c r="CD33" i="702"/>
  <c r="CO33" i="702" s="1"/>
  <c r="CN35" i="702"/>
  <c r="CC31" i="702"/>
  <c r="CN31" i="702" s="1"/>
  <c r="CC32" i="702"/>
  <c r="CN32" i="702" s="1"/>
  <c r="CC41" i="702"/>
  <c r="CN41" i="702" s="1"/>
  <c r="BD40" i="702"/>
  <c r="D23" i="862" s="1"/>
  <c r="CC44" i="702"/>
  <c r="CN44" i="702" s="1"/>
  <c r="CC65" i="702"/>
  <c r="CN65" i="702" s="1"/>
  <c r="CC81" i="702"/>
  <c r="CN81" i="702" s="1"/>
  <c r="CC106" i="702"/>
  <c r="CN106" i="702" s="1"/>
  <c r="CN88" i="702"/>
  <c r="CP88" i="702" s="1"/>
  <c r="CC79" i="702"/>
  <c r="CN79" i="702" s="1"/>
  <c r="CN92" i="702"/>
  <c r="CC97" i="702"/>
  <c r="CN97" i="702" s="1"/>
  <c r="CC121" i="702"/>
  <c r="CN121" i="702" s="1"/>
  <c r="CC25" i="702"/>
  <c r="CN25" i="702" s="1"/>
  <c r="CO29" i="702"/>
  <c r="CD70" i="702"/>
  <c r="CO70" i="702" s="1"/>
  <c r="CD18" i="702"/>
  <c r="CO18" i="702" s="1"/>
  <c r="CD26" i="702"/>
  <c r="CO26" i="702" s="1"/>
  <c r="BC40" i="702"/>
  <c r="CD107" i="702"/>
  <c r="CO107" i="702" s="1"/>
  <c r="CD103" i="702"/>
  <c r="CO103" i="702" s="1"/>
  <c r="CD96" i="702"/>
  <c r="CO96" i="702" s="1"/>
  <c r="CO89" i="702"/>
  <c r="CD123" i="702"/>
  <c r="CO123" i="702" s="1"/>
  <c r="CD76" i="702"/>
  <c r="CO76" i="702" s="1"/>
  <c r="CD8" i="702"/>
  <c r="CD120" i="702"/>
  <c r="CO120" i="702" s="1"/>
  <c r="CD54" i="702"/>
  <c r="CO54" i="702" s="1"/>
  <c r="CN17" i="702"/>
  <c r="CC30" i="702"/>
  <c r="CN30" i="702" s="1"/>
  <c r="CN69" i="702"/>
  <c r="CN50" i="702"/>
  <c r="AY40" i="702"/>
  <c r="K22" i="862" s="1"/>
  <c r="B34" i="862" s="1"/>
  <c r="CN111" i="702"/>
  <c r="CP111" i="702" s="1"/>
  <c r="CC64" i="702"/>
  <c r="CN64" i="702" s="1"/>
  <c r="CC80" i="702"/>
  <c r="CN80" i="702" s="1"/>
  <c r="CC102" i="702"/>
  <c r="CN102" i="702" s="1"/>
  <c r="CC130" i="702"/>
  <c r="CN130" i="702" s="1"/>
  <c r="CC125" i="702"/>
  <c r="CN125" i="702" s="1"/>
  <c r="CC77" i="702"/>
  <c r="CN77" i="702" s="1"/>
  <c r="CC93" i="702"/>
  <c r="CN93" i="702" s="1"/>
  <c r="CC23" i="702"/>
  <c r="CN23" i="702" s="1"/>
  <c r="CC38" i="702"/>
  <c r="CN38" i="702" s="1"/>
  <c r="CN118" i="702"/>
  <c r="CC24" i="702"/>
  <c r="CN24" i="702" s="1"/>
  <c r="CD19" i="702"/>
  <c r="CO19" i="702" s="1"/>
  <c r="CP19" i="702" s="1"/>
  <c r="CD47" i="702"/>
  <c r="CO47" i="702" s="1"/>
  <c r="CD7" i="702"/>
  <c r="CO7" i="702" s="1"/>
  <c r="CD27" i="702"/>
  <c r="CO27" i="702" s="1"/>
  <c r="AX40" i="702"/>
  <c r="J22" i="862" s="1"/>
  <c r="B33" i="862" s="1"/>
  <c r="CD45" i="702"/>
  <c r="CO45" i="702" s="1"/>
  <c r="CD67" i="702"/>
  <c r="CO67" i="702" s="1"/>
  <c r="CO74" i="702"/>
  <c r="CD95" i="702"/>
  <c r="CO95" i="702" s="1"/>
  <c r="CD132" i="702"/>
  <c r="CO132" i="702" s="1"/>
  <c r="CO91" i="702"/>
  <c r="CD127" i="702"/>
  <c r="CO127" i="702" s="1"/>
  <c r="CO87" i="702"/>
  <c r="CD68" i="702"/>
  <c r="CO68" i="702" s="1"/>
  <c r="CD119" i="702"/>
  <c r="CO119" i="702" s="1"/>
  <c r="CD9" i="702"/>
  <c r="CC16" i="702"/>
  <c r="CN16" i="702" s="1"/>
  <c r="CC53" i="702"/>
  <c r="CN53" i="702" s="1"/>
  <c r="CC49" i="702"/>
  <c r="CN49" i="702" s="1"/>
  <c r="AW40" i="702"/>
  <c r="I22" i="862" s="1"/>
  <c r="B32" i="862" s="1"/>
  <c r="CN110" i="702"/>
  <c r="CC101" i="702"/>
  <c r="CN101" i="702" s="1"/>
  <c r="CN57" i="702"/>
  <c r="CN90" i="702"/>
  <c r="CN84" i="702"/>
  <c r="CN85" i="702"/>
  <c r="CC58" i="702"/>
  <c r="CN58" i="702" s="1"/>
  <c r="CC37" i="702"/>
  <c r="CN37" i="702" s="1"/>
  <c r="CN117" i="702"/>
  <c r="CP117" i="702" s="1"/>
  <c r="CC115" i="702"/>
  <c r="CN115" i="702" s="1"/>
  <c r="CD28" i="702"/>
  <c r="CO28" i="702" s="1"/>
  <c r="CD48" i="702"/>
  <c r="CD46" i="702"/>
  <c r="CO46" i="702" s="1"/>
  <c r="CP46" i="702" s="1"/>
  <c r="AV40" i="702"/>
  <c r="H22" i="862" s="1"/>
  <c r="B31" i="862" s="1"/>
  <c r="CD43" i="702"/>
  <c r="CO43" i="702" s="1"/>
  <c r="CD66" i="702"/>
  <c r="CO66" i="702" s="1"/>
  <c r="CP66" i="702" s="1"/>
  <c r="CO72" i="702"/>
  <c r="CD105" i="702"/>
  <c r="CO105" i="702" s="1"/>
  <c r="CD131" i="702"/>
  <c r="CO131" i="702" s="1"/>
  <c r="CD78" i="702"/>
  <c r="CO78" i="702" s="1"/>
  <c r="CD126" i="702"/>
  <c r="CO126" i="702" s="1"/>
  <c r="CD86" i="702"/>
  <c r="CO86" i="702" s="1"/>
  <c r="CO55" i="702"/>
  <c r="CD98" i="702"/>
  <c r="CO98" i="702" s="1"/>
  <c r="CD122" i="702"/>
  <c r="CO122" i="702" s="1"/>
  <c r="CD42" i="702"/>
  <c r="CO42" i="702" s="1"/>
  <c r="CC15" i="702"/>
  <c r="CN15" i="702" s="1"/>
  <c r="CC14" i="702"/>
  <c r="CN14" i="702" s="1"/>
  <c r="CC52" i="702"/>
  <c r="CN52" i="702" s="1"/>
  <c r="CC39" i="702"/>
  <c r="CN39" i="702" s="1"/>
  <c r="AU40" i="702"/>
  <c r="G22" i="862" s="1"/>
  <c r="B30" i="862" s="1"/>
  <c r="CC109" i="702"/>
  <c r="CN109" i="702" s="1"/>
  <c r="CC62" i="702"/>
  <c r="CN62" i="702" s="1"/>
  <c r="CN71" i="702"/>
  <c r="CC100" i="702"/>
  <c r="CN100" i="702" s="1"/>
  <c r="CN116" i="702"/>
  <c r="CN83" i="702"/>
  <c r="CC34" i="702"/>
  <c r="CN34" i="702" s="1"/>
  <c r="CC36" i="702"/>
  <c r="CN36" i="702" s="1"/>
  <c r="CC21" i="702"/>
  <c r="CN21" i="702" s="1"/>
  <c r="CC114" i="702"/>
  <c r="CE5" i="702"/>
  <c r="K23" i="860"/>
  <c r="K23" i="859"/>
  <c r="I23" i="860"/>
  <c r="I23" i="859"/>
  <c r="B35" i="860"/>
  <c r="B36" i="860"/>
  <c r="B37" i="860"/>
  <c r="D26" i="860"/>
  <c r="D27" i="860" s="1"/>
  <c r="D28" i="860" s="1"/>
  <c r="D29" i="860" s="1"/>
  <c r="D30" i="860" s="1"/>
  <c r="D31" i="860" s="1"/>
  <c r="D32" i="860" s="1"/>
  <c r="D33" i="860" s="1"/>
  <c r="D34" i="860" s="1"/>
  <c r="D35" i="860" s="1"/>
  <c r="D36" i="860" s="1"/>
  <c r="D37" i="860" s="1"/>
  <c r="D38" i="860" s="1"/>
  <c r="C27" i="860"/>
  <c r="C28" i="860" s="1"/>
  <c r="C29" i="860" s="1"/>
  <c r="C30" i="860" s="1"/>
  <c r="C31" i="860" s="1"/>
  <c r="C32" i="860" s="1"/>
  <c r="C33" i="860" s="1"/>
  <c r="C34" i="860" s="1"/>
  <c r="C35" i="860" s="1"/>
  <c r="C36" i="860" s="1"/>
  <c r="C37" i="860" s="1"/>
  <c r="C38" i="860" s="1"/>
  <c r="B37" i="859"/>
  <c r="B35" i="859"/>
  <c r="B36" i="859"/>
  <c r="D26" i="859"/>
  <c r="D27" i="859" s="1"/>
  <c r="D28" i="859" s="1"/>
  <c r="D29" i="859" s="1"/>
  <c r="D30" i="859" s="1"/>
  <c r="D31" i="859" s="1"/>
  <c r="D32" i="859" s="1"/>
  <c r="D33" i="859" s="1"/>
  <c r="D34" i="859" s="1"/>
  <c r="D35" i="859" s="1"/>
  <c r="D36" i="859" s="1"/>
  <c r="D37" i="859" s="1"/>
  <c r="D38" i="859" s="1"/>
  <c r="C27" i="859"/>
  <c r="C28" i="859" s="1"/>
  <c r="C29" i="859" s="1"/>
  <c r="C30" i="859" s="1"/>
  <c r="C31" i="859" s="1"/>
  <c r="C32" i="859" s="1"/>
  <c r="C33" i="859" s="1"/>
  <c r="C34" i="859" s="1"/>
  <c r="C35" i="859" s="1"/>
  <c r="C36" i="859" s="1"/>
  <c r="C37" i="859" s="1"/>
  <c r="C38" i="859" s="1"/>
  <c r="CP37" i="702" l="1"/>
  <c r="CP55" i="702"/>
  <c r="CP86" i="702"/>
  <c r="CP78" i="702"/>
  <c r="CP97" i="702"/>
  <c r="CP121" i="702"/>
  <c r="CP57" i="702"/>
  <c r="CN20" i="702"/>
  <c r="CP20" i="702" s="1"/>
  <c r="CE20" i="702"/>
  <c r="CO8" i="702"/>
  <c r="CP8" i="702" s="1"/>
  <c r="CO48" i="702"/>
  <c r="CP48" i="702" s="1"/>
  <c r="CO9" i="702"/>
  <c r="CP9" i="702" s="1"/>
  <c r="CO12" i="702"/>
  <c r="CP12" i="702" s="1"/>
  <c r="CP43" i="702"/>
  <c r="CN11" i="702"/>
  <c r="CP11" i="702" s="1"/>
  <c r="CE11" i="702"/>
  <c r="CP25" i="702"/>
  <c r="CN114" i="702"/>
  <c r="CP114" i="702" s="1"/>
  <c r="CE114" i="702"/>
  <c r="CN124" i="702"/>
  <c r="CP124" i="702" s="1"/>
  <c r="CE124" i="702"/>
  <c r="CP130" i="702"/>
  <c r="CP49" i="702"/>
  <c r="CP18" i="702"/>
  <c r="CP31" i="702"/>
  <c r="CP28" i="702"/>
  <c r="CP54" i="702"/>
  <c r="CP115" i="702"/>
  <c r="CP68" i="702"/>
  <c r="CP35" i="702"/>
  <c r="CP110" i="702"/>
  <c r="CP75" i="702"/>
  <c r="CP109" i="702"/>
  <c r="CP53" i="702"/>
  <c r="CP69" i="702"/>
  <c r="CP91" i="702"/>
  <c r="CP123" i="702"/>
  <c r="CP39" i="702"/>
  <c r="CP102" i="702"/>
  <c r="CP7" i="702"/>
  <c r="CP26" i="702"/>
  <c r="CP127" i="702"/>
  <c r="CP94" i="702"/>
  <c r="CP30" i="702"/>
  <c r="CP98" i="702"/>
  <c r="CP67" i="702"/>
  <c r="CP103" i="702"/>
  <c r="CP112" i="702"/>
  <c r="CP60" i="702"/>
  <c r="CP38" i="702"/>
  <c r="CP51" i="702"/>
  <c r="CP17" i="702"/>
  <c r="CP89" i="702"/>
  <c r="CP107" i="702"/>
  <c r="CP77" i="702"/>
  <c r="CP14" i="702"/>
  <c r="CP15" i="702"/>
  <c r="CP90" i="702"/>
  <c r="CP81" i="702"/>
  <c r="CP119" i="702"/>
  <c r="CP42" i="702"/>
  <c r="CP93" i="702"/>
  <c r="CP106" i="702"/>
  <c r="CP71" i="702"/>
  <c r="CP29" i="702"/>
  <c r="CP132" i="702"/>
  <c r="CP95" i="702"/>
  <c r="CP118" i="702"/>
  <c r="CP122" i="702"/>
  <c r="CP62" i="702"/>
  <c r="CP74" i="702"/>
  <c r="CP96" i="702"/>
  <c r="CP33" i="702"/>
  <c r="CP113" i="702"/>
  <c r="CP23" i="702"/>
  <c r="CP45" i="702"/>
  <c r="CP44" i="702"/>
  <c r="CP82" i="702"/>
  <c r="CP131" i="702"/>
  <c r="CP79" i="702"/>
  <c r="CP126" i="702"/>
  <c r="CP52" i="702"/>
  <c r="CP27" i="702"/>
  <c r="CP105" i="702"/>
  <c r="CP32" i="702"/>
  <c r="CP92" i="702"/>
  <c r="CP128" i="702"/>
  <c r="CP72" i="702"/>
  <c r="CP83" i="702"/>
  <c r="CP84" i="702"/>
  <c r="CP47" i="702"/>
  <c r="CP16" i="702"/>
  <c r="CP64" i="702"/>
  <c r="CP116" i="702"/>
  <c r="CP99" i="702"/>
  <c r="CP125" i="702"/>
  <c r="CP21" i="702"/>
  <c r="CP120" i="702"/>
  <c r="CP70" i="702"/>
  <c r="CP104" i="702"/>
  <c r="CP85" i="702"/>
  <c r="CP100" i="702"/>
  <c r="CP80" i="702"/>
  <c r="CP65" i="702"/>
  <c r="CP101" i="702"/>
  <c r="CP36" i="702"/>
  <c r="CP61" i="702"/>
  <c r="CP34" i="702"/>
  <c r="CP24" i="702"/>
  <c r="CP50" i="702"/>
  <c r="CP108" i="702"/>
  <c r="CP41" i="702"/>
  <c r="CP13" i="702"/>
  <c r="CP87" i="702"/>
  <c r="CP58" i="702"/>
  <c r="CP76" i="702"/>
  <c r="CP22" i="702"/>
  <c r="CE66" i="702"/>
  <c r="CE68" i="702"/>
  <c r="CE121" i="702"/>
  <c r="CE72" i="702"/>
  <c r="CE10" i="702"/>
  <c r="CE17" i="702"/>
  <c r="CE97" i="702"/>
  <c r="CE131" i="702"/>
  <c r="CE64" i="702"/>
  <c r="CE44" i="702"/>
  <c r="CE24" i="702"/>
  <c r="CE43" i="702"/>
  <c r="CE102" i="702"/>
  <c r="CE80" i="702"/>
  <c r="CE105" i="702"/>
  <c r="CE32" i="702"/>
  <c r="CP6" i="702"/>
  <c r="CE79" i="702"/>
  <c r="CE83" i="702"/>
  <c r="CO56" i="702"/>
  <c r="CP56" i="702" s="1"/>
  <c r="CE41" i="702"/>
  <c r="CE35" i="702"/>
  <c r="CE31" i="702"/>
  <c r="CE130" i="702"/>
  <c r="CE81" i="702"/>
  <c r="CE106" i="702"/>
  <c r="CE110" i="702"/>
  <c r="CE77" i="702"/>
  <c r="CE111" i="702"/>
  <c r="CE49" i="702"/>
  <c r="B34" i="860"/>
  <c r="CE16" i="702"/>
  <c r="CE14" i="702"/>
  <c r="CE65" i="702"/>
  <c r="CE53" i="702"/>
  <c r="CE12" i="702"/>
  <c r="CE39" i="702"/>
  <c r="CE91" i="702"/>
  <c r="CE93" i="702"/>
  <c r="CE101" i="702"/>
  <c r="CE88" i="702"/>
  <c r="CE62" i="702"/>
  <c r="CE92" i="702"/>
  <c r="CE125" i="702"/>
  <c r="CE78" i="702"/>
  <c r="CE104" i="702"/>
  <c r="CE115" i="702"/>
  <c r="CE36" i="702"/>
  <c r="CE117" i="702"/>
  <c r="CE48" i="702"/>
  <c r="CE30" i="702"/>
  <c r="CE34" i="702"/>
  <c r="CE37" i="702"/>
  <c r="CE25" i="702"/>
  <c r="CE127" i="702"/>
  <c r="CE28" i="702"/>
  <c r="CE69" i="702"/>
  <c r="CE46" i="702"/>
  <c r="CE107" i="702"/>
  <c r="CE27" i="702"/>
  <c r="CE58" i="702"/>
  <c r="CE85" i="702"/>
  <c r="CE84" i="702"/>
  <c r="CE42" i="702"/>
  <c r="CE118" i="702"/>
  <c r="CE90" i="702"/>
  <c r="CE122" i="702"/>
  <c r="CE120" i="702"/>
  <c r="CE7" i="702"/>
  <c r="CE98" i="702"/>
  <c r="CE8" i="702"/>
  <c r="CE109" i="702"/>
  <c r="CE89" i="702"/>
  <c r="CE52" i="702"/>
  <c r="I22" i="860"/>
  <c r="B32" i="860" s="1"/>
  <c r="CE99" i="702"/>
  <c r="CE55" i="702"/>
  <c r="CE9" i="702"/>
  <c r="CE47" i="702"/>
  <c r="CE103" i="702"/>
  <c r="J22" i="859"/>
  <c r="B33" i="859" s="1"/>
  <c r="CE61" i="702"/>
  <c r="CE96" i="702"/>
  <c r="CE21" i="702"/>
  <c r="CE15" i="702"/>
  <c r="CE86" i="702"/>
  <c r="CE119" i="702"/>
  <c r="CE19" i="702"/>
  <c r="CE60" i="702"/>
  <c r="CE108" i="702"/>
  <c r="CD40" i="702"/>
  <c r="CE126" i="702"/>
  <c r="C23" i="862"/>
  <c r="O23" i="862" s="1"/>
  <c r="CC40" i="702"/>
  <c r="CN40" i="702" s="1"/>
  <c r="CE50" i="702"/>
  <c r="CE116" i="702"/>
  <c r="CE87" i="702"/>
  <c r="CE54" i="702"/>
  <c r="C22" i="862"/>
  <c r="CE22" i="702"/>
  <c r="CI22" i="702" s="1"/>
  <c r="CE51" i="702"/>
  <c r="CE33" i="702"/>
  <c r="B32" i="859"/>
  <c r="CE13" i="702"/>
  <c r="CE38" i="702"/>
  <c r="CE132" i="702"/>
  <c r="CE26" i="702"/>
  <c r="CE6" i="702"/>
  <c r="CE100" i="702"/>
  <c r="B34" i="859"/>
  <c r="CE71" i="702"/>
  <c r="CE23" i="702"/>
  <c r="CE95" i="702"/>
  <c r="CE18" i="702"/>
  <c r="CE75" i="702"/>
  <c r="CE113" i="702"/>
  <c r="CE57" i="702"/>
  <c r="CE74" i="702"/>
  <c r="CE76" i="702"/>
  <c r="CE70" i="702"/>
  <c r="CE82" i="702"/>
  <c r="CE112" i="702"/>
  <c r="CE67" i="702"/>
  <c r="CE94" i="702"/>
  <c r="CE29" i="702"/>
  <c r="CE63" i="702"/>
  <c r="CE45" i="702"/>
  <c r="CE123" i="702"/>
  <c r="CE128" i="702"/>
  <c r="C22" i="859"/>
  <c r="D22" i="859"/>
  <c r="E22" i="859"/>
  <c r="F22" i="859"/>
  <c r="G22" i="859"/>
  <c r="H22" i="859"/>
  <c r="C23" i="859"/>
  <c r="D23" i="859"/>
  <c r="E23" i="859"/>
  <c r="F23" i="859"/>
  <c r="G23" i="859"/>
  <c r="H23" i="859"/>
  <c r="C22" i="860"/>
  <c r="D22" i="860"/>
  <c r="E22" i="860"/>
  <c r="F22" i="860"/>
  <c r="G22" i="860"/>
  <c r="H22" i="860"/>
  <c r="C23" i="860"/>
  <c r="D23" i="860"/>
  <c r="E23" i="860"/>
  <c r="F23" i="860"/>
  <c r="G23" i="860"/>
  <c r="H23" i="860"/>
  <c r="H23" i="722"/>
  <c r="CO40" i="702" l="1"/>
  <c r="CP40" i="702" s="1"/>
  <c r="CE56" i="702"/>
  <c r="B26" i="862"/>
  <c r="O22" i="862"/>
  <c r="B38" i="862" s="1"/>
  <c r="CE40" i="702"/>
  <c r="B30" i="860"/>
  <c r="B28" i="860"/>
  <c r="B31" i="860"/>
  <c r="B29" i="860"/>
  <c r="B27" i="860"/>
  <c r="B26" i="860"/>
  <c r="B30" i="859"/>
  <c r="B31" i="859"/>
  <c r="O23" i="859"/>
  <c r="B29" i="859"/>
  <c r="B28" i="859"/>
  <c r="B27" i="859"/>
  <c r="O22" i="859"/>
  <c r="B26" i="859"/>
  <c r="A51" i="709"/>
  <c r="A51" i="707"/>
  <c r="B38" i="860" l="1"/>
  <c r="B38" i="859"/>
  <c r="E22" i="718"/>
  <c r="C6" i="665"/>
  <c r="A51" i="665"/>
  <c r="A45" i="818"/>
  <c r="C7" i="817"/>
  <c r="A45" i="773"/>
  <c r="A51" i="773"/>
  <c r="C12" i="767"/>
  <c r="C10" i="741"/>
  <c r="A41" i="713"/>
  <c r="F10" i="804" l="1"/>
  <c r="F10" i="724" l="1"/>
  <c r="A51" i="856"/>
  <c r="C6" i="756"/>
  <c r="C7" i="756"/>
  <c r="A63" i="826"/>
  <c r="A61" i="826"/>
  <c r="A59" i="826"/>
  <c r="A57" i="826"/>
  <c r="A55" i="826"/>
  <c r="A53" i="826"/>
  <c r="A51" i="826"/>
  <c r="A49" i="826"/>
  <c r="A47" i="826"/>
  <c r="A45" i="826"/>
  <c r="A43" i="826"/>
  <c r="A41" i="826"/>
  <c r="A63" i="825"/>
  <c r="A61" i="825"/>
  <c r="A59" i="825"/>
  <c r="A57" i="825"/>
  <c r="A55" i="825"/>
  <c r="A53" i="825"/>
  <c r="A51" i="825"/>
  <c r="A49" i="825"/>
  <c r="A47" i="825"/>
  <c r="A45" i="825"/>
  <c r="A43" i="825"/>
  <c r="A41" i="825"/>
  <c r="A63" i="824"/>
  <c r="A61" i="824"/>
  <c r="A59" i="824"/>
  <c r="A57" i="824"/>
  <c r="A55" i="824"/>
  <c r="A53" i="824"/>
  <c r="A51" i="824"/>
  <c r="A49" i="824"/>
  <c r="A47" i="824"/>
  <c r="A45" i="824"/>
  <c r="A43" i="824"/>
  <c r="A41" i="824"/>
  <c r="A63" i="822"/>
  <c r="A61" i="822"/>
  <c r="A59" i="822"/>
  <c r="A57" i="822"/>
  <c r="A55" i="822"/>
  <c r="A53" i="822"/>
  <c r="A51" i="822"/>
  <c r="A49" i="822"/>
  <c r="A47" i="822"/>
  <c r="A45" i="822"/>
  <c r="A43" i="822"/>
  <c r="A41" i="822"/>
  <c r="A63" i="821"/>
  <c r="A61" i="821"/>
  <c r="A59" i="821"/>
  <c r="A57" i="821"/>
  <c r="A55" i="821"/>
  <c r="A53" i="821"/>
  <c r="A51" i="821"/>
  <c r="A49" i="821"/>
  <c r="A47" i="821"/>
  <c r="A45" i="821"/>
  <c r="A43" i="821"/>
  <c r="A41" i="821"/>
  <c r="A63" i="820"/>
  <c r="A61" i="820"/>
  <c r="A59" i="820"/>
  <c r="A57" i="820"/>
  <c r="A55" i="820"/>
  <c r="A53" i="820"/>
  <c r="A51" i="820"/>
  <c r="A49" i="820"/>
  <c r="A47" i="820"/>
  <c r="A45" i="820"/>
  <c r="A43" i="820"/>
  <c r="A41" i="820"/>
  <c r="A63" i="819"/>
  <c r="A61" i="819"/>
  <c r="A59" i="819"/>
  <c r="A57" i="819"/>
  <c r="A55" i="819"/>
  <c r="A53" i="819"/>
  <c r="A51" i="819"/>
  <c r="A49" i="819"/>
  <c r="A47" i="819"/>
  <c r="A45" i="819"/>
  <c r="A43" i="819"/>
  <c r="A41" i="819"/>
  <c r="A63" i="818"/>
  <c r="A61" i="818"/>
  <c r="A59" i="818"/>
  <c r="A57" i="818"/>
  <c r="A55" i="818"/>
  <c r="A53" i="818"/>
  <c r="A51" i="818"/>
  <c r="A49" i="818"/>
  <c r="A47" i="818"/>
  <c r="A43" i="818"/>
  <c r="A41" i="818"/>
  <c r="A63" i="817"/>
  <c r="A61" i="817"/>
  <c r="A59" i="817"/>
  <c r="A57" i="817"/>
  <c r="A55" i="817"/>
  <c r="A53" i="817"/>
  <c r="A51" i="817"/>
  <c r="A49" i="817"/>
  <c r="A47" i="817"/>
  <c r="A45" i="817"/>
  <c r="A43" i="817"/>
  <c r="A41" i="817"/>
  <c r="A63" i="816"/>
  <c r="A61" i="816"/>
  <c r="A59" i="816"/>
  <c r="A57" i="816"/>
  <c r="A55" i="816"/>
  <c r="A53" i="816"/>
  <c r="A51" i="816"/>
  <c r="A49" i="816"/>
  <c r="A47" i="816"/>
  <c r="A45" i="816"/>
  <c r="A43" i="816"/>
  <c r="A41" i="816"/>
  <c r="A63" i="815"/>
  <c r="A61" i="815"/>
  <c r="A59" i="815"/>
  <c r="A57" i="815"/>
  <c r="A55" i="815"/>
  <c r="A53" i="815"/>
  <c r="A51" i="815"/>
  <c r="A49" i="815"/>
  <c r="A47" i="815"/>
  <c r="A45" i="815"/>
  <c r="A43" i="815"/>
  <c r="A41" i="815"/>
  <c r="A63" i="814"/>
  <c r="A61" i="814"/>
  <c r="A59" i="814"/>
  <c r="A57" i="814"/>
  <c r="A55" i="814"/>
  <c r="A53" i="814"/>
  <c r="A51" i="814"/>
  <c r="A49" i="814"/>
  <c r="A47" i="814"/>
  <c r="A45" i="814"/>
  <c r="A43" i="814"/>
  <c r="A41" i="814"/>
  <c r="A63" i="813"/>
  <c r="A61" i="813"/>
  <c r="A59" i="813"/>
  <c r="A57" i="813"/>
  <c r="A55" i="813"/>
  <c r="A53" i="813"/>
  <c r="A51" i="813"/>
  <c r="A49" i="813"/>
  <c r="A47" i="813"/>
  <c r="A45" i="813"/>
  <c r="A43" i="813"/>
  <c r="A41" i="813"/>
  <c r="A63" i="812"/>
  <c r="A61" i="812"/>
  <c r="A59" i="812"/>
  <c r="A57" i="812"/>
  <c r="A55" i="812"/>
  <c r="A53" i="812"/>
  <c r="A51" i="812"/>
  <c r="A49" i="812"/>
  <c r="A47" i="812"/>
  <c r="A45" i="812"/>
  <c r="A43" i="812"/>
  <c r="A41" i="812"/>
  <c r="A63" i="811"/>
  <c r="A61" i="811"/>
  <c r="A59" i="811"/>
  <c r="A57" i="811"/>
  <c r="A55" i="811"/>
  <c r="A53" i="811"/>
  <c r="A51" i="811"/>
  <c r="A49" i="811"/>
  <c r="A47" i="811"/>
  <c r="A45" i="811"/>
  <c r="A43" i="811"/>
  <c r="A41" i="811"/>
  <c r="A63" i="810"/>
  <c r="A61" i="810"/>
  <c r="A59" i="810"/>
  <c r="A57" i="810"/>
  <c r="A55" i="810"/>
  <c r="A53" i="810"/>
  <c r="A51" i="810"/>
  <c r="A49" i="810"/>
  <c r="A47" i="810"/>
  <c r="A45" i="810"/>
  <c r="A43" i="810"/>
  <c r="A41" i="810"/>
  <c r="A63" i="809"/>
  <c r="A61" i="809"/>
  <c r="A59" i="809"/>
  <c r="A57" i="809"/>
  <c r="A55" i="809"/>
  <c r="A53" i="809"/>
  <c r="A51" i="809"/>
  <c r="A49" i="809"/>
  <c r="A47" i="809"/>
  <c r="A45" i="809"/>
  <c r="A43" i="809"/>
  <c r="A41" i="809"/>
  <c r="A63" i="808"/>
  <c r="A61" i="808"/>
  <c r="A59" i="808"/>
  <c r="A57" i="808"/>
  <c r="A55" i="808"/>
  <c r="A53" i="808"/>
  <c r="A51" i="808"/>
  <c r="A49" i="808"/>
  <c r="A47" i="808"/>
  <c r="A45" i="808"/>
  <c r="A43" i="808"/>
  <c r="A41" i="808"/>
  <c r="A63" i="807"/>
  <c r="A61" i="807"/>
  <c r="A59" i="807"/>
  <c r="A57" i="807"/>
  <c r="A55" i="807"/>
  <c r="A53" i="807"/>
  <c r="A51" i="807"/>
  <c r="A49" i="807"/>
  <c r="A47" i="807"/>
  <c r="A45" i="807"/>
  <c r="A43" i="807"/>
  <c r="A41" i="807"/>
  <c r="A63" i="806"/>
  <c r="A61" i="806"/>
  <c r="A59" i="806"/>
  <c r="A57" i="806"/>
  <c r="A55" i="806"/>
  <c r="A53" i="806"/>
  <c r="A51" i="806"/>
  <c r="A49" i="806"/>
  <c r="A47" i="806"/>
  <c r="A45" i="806"/>
  <c r="A43" i="806"/>
  <c r="A41" i="806"/>
  <c r="A63" i="805"/>
  <c r="A61" i="805"/>
  <c r="A59" i="805"/>
  <c r="A57" i="805"/>
  <c r="A55" i="805"/>
  <c r="A53" i="805"/>
  <c r="A51" i="805"/>
  <c r="A49" i="805"/>
  <c r="A47" i="805"/>
  <c r="A45" i="805"/>
  <c r="A43" i="805"/>
  <c r="A41" i="805"/>
  <c r="A63" i="804"/>
  <c r="A61" i="804"/>
  <c r="A59" i="804"/>
  <c r="A57" i="804"/>
  <c r="A55" i="804"/>
  <c r="A53" i="804"/>
  <c r="A51" i="804"/>
  <c r="A49" i="804"/>
  <c r="A47" i="804"/>
  <c r="A45" i="804"/>
  <c r="A43" i="804"/>
  <c r="A41" i="804"/>
  <c r="A63" i="803"/>
  <c r="A61" i="803"/>
  <c r="A59" i="803"/>
  <c r="A57" i="803"/>
  <c r="A55" i="803"/>
  <c r="A53" i="803"/>
  <c r="A51" i="803"/>
  <c r="A49" i="803"/>
  <c r="A47" i="803"/>
  <c r="A45" i="803"/>
  <c r="A43" i="803"/>
  <c r="A41" i="803"/>
  <c r="A63" i="802"/>
  <c r="A61" i="802"/>
  <c r="A59" i="802"/>
  <c r="A57" i="802"/>
  <c r="A55" i="802"/>
  <c r="A53" i="802"/>
  <c r="A51" i="802"/>
  <c r="A49" i="802"/>
  <c r="A47" i="802"/>
  <c r="A45" i="802"/>
  <c r="A43" i="802"/>
  <c r="A41" i="802"/>
  <c r="A63" i="801"/>
  <c r="A61" i="801"/>
  <c r="A59" i="801"/>
  <c r="A57" i="801"/>
  <c r="A55" i="801"/>
  <c r="A53" i="801"/>
  <c r="A51" i="801"/>
  <c r="A49" i="801"/>
  <c r="A47" i="801"/>
  <c r="A45" i="801"/>
  <c r="A43" i="801"/>
  <c r="A41" i="801"/>
  <c r="A63" i="800"/>
  <c r="A61" i="800"/>
  <c r="A59" i="800"/>
  <c r="A57" i="800"/>
  <c r="A55" i="800"/>
  <c r="A53" i="800"/>
  <c r="A51" i="800"/>
  <c r="A49" i="800"/>
  <c r="A47" i="800"/>
  <c r="A45" i="800"/>
  <c r="A43" i="800"/>
  <c r="A41" i="800"/>
  <c r="A63" i="799"/>
  <c r="A61" i="799"/>
  <c r="A59" i="799"/>
  <c r="A57" i="799"/>
  <c r="A55" i="799"/>
  <c r="A53" i="799"/>
  <c r="A51" i="799"/>
  <c r="A49" i="799"/>
  <c r="A47" i="799"/>
  <c r="A45" i="799"/>
  <c r="A43" i="799"/>
  <c r="A41" i="799"/>
  <c r="A63" i="798"/>
  <c r="A61" i="798"/>
  <c r="A59" i="798"/>
  <c r="A57" i="798"/>
  <c r="A55" i="798"/>
  <c r="A53" i="798"/>
  <c r="A51" i="798"/>
  <c r="A49" i="798"/>
  <c r="A47" i="798"/>
  <c r="A45" i="798"/>
  <c r="A43" i="798"/>
  <c r="A41" i="798"/>
  <c r="A63" i="797"/>
  <c r="A61" i="797"/>
  <c r="A59" i="797"/>
  <c r="A57" i="797"/>
  <c r="A55" i="797"/>
  <c r="A53" i="797"/>
  <c r="A51" i="797"/>
  <c r="A49" i="797"/>
  <c r="A47" i="797"/>
  <c r="A45" i="797"/>
  <c r="A43" i="797"/>
  <c r="A41" i="797"/>
  <c r="A63" i="796"/>
  <c r="A61" i="796"/>
  <c r="A59" i="796"/>
  <c r="A57" i="796"/>
  <c r="A55" i="796"/>
  <c r="A53" i="796"/>
  <c r="A51" i="796"/>
  <c r="A49" i="796"/>
  <c r="A47" i="796"/>
  <c r="A45" i="796"/>
  <c r="A43" i="796"/>
  <c r="A41" i="796"/>
  <c r="A63" i="858"/>
  <c r="A61" i="858"/>
  <c r="A59" i="858"/>
  <c r="A57" i="858"/>
  <c r="A55" i="858"/>
  <c r="A53" i="858"/>
  <c r="A51" i="858"/>
  <c r="A49" i="858"/>
  <c r="A47" i="858"/>
  <c r="A45" i="858"/>
  <c r="A43" i="858"/>
  <c r="A41" i="858"/>
  <c r="A63" i="795"/>
  <c r="A61" i="795"/>
  <c r="A59" i="795"/>
  <c r="A57" i="795"/>
  <c r="A55" i="795"/>
  <c r="A53" i="795"/>
  <c r="A51" i="795"/>
  <c r="A49" i="795"/>
  <c r="A47" i="795"/>
  <c r="A45" i="795"/>
  <c r="A43" i="795"/>
  <c r="A41" i="795"/>
  <c r="A63" i="794"/>
  <c r="A61" i="794"/>
  <c r="A59" i="794"/>
  <c r="A57" i="794"/>
  <c r="A55" i="794"/>
  <c r="A53" i="794"/>
  <c r="A51" i="794"/>
  <c r="A49" i="794"/>
  <c r="A47" i="794"/>
  <c r="A45" i="794"/>
  <c r="A43" i="794"/>
  <c r="A41" i="794"/>
  <c r="A63" i="793"/>
  <c r="A61" i="793"/>
  <c r="A59" i="793"/>
  <c r="A57" i="793"/>
  <c r="A55" i="793"/>
  <c r="A53" i="793"/>
  <c r="A51" i="793"/>
  <c r="A49" i="793"/>
  <c r="A47" i="793"/>
  <c r="A45" i="793"/>
  <c r="A43" i="793"/>
  <c r="A41" i="793"/>
  <c r="A63" i="792"/>
  <c r="A61" i="792"/>
  <c r="A59" i="792"/>
  <c r="A57" i="792"/>
  <c r="A53" i="792"/>
  <c r="A51" i="792"/>
  <c r="A49" i="792"/>
  <c r="A47" i="792"/>
  <c r="A45" i="792"/>
  <c r="A43" i="792"/>
  <c r="A41" i="792"/>
  <c r="A63" i="791"/>
  <c r="A61" i="791"/>
  <c r="A59" i="791"/>
  <c r="A57" i="791"/>
  <c r="A55" i="791"/>
  <c r="A53" i="791"/>
  <c r="A51" i="791"/>
  <c r="A49" i="791"/>
  <c r="A47" i="791"/>
  <c r="A45" i="791"/>
  <c r="A43" i="791"/>
  <c r="A41" i="791"/>
  <c r="A63" i="790"/>
  <c r="A61" i="790"/>
  <c r="A59" i="790"/>
  <c r="A57" i="790"/>
  <c r="A55" i="790"/>
  <c r="A53" i="790"/>
  <c r="A51" i="790"/>
  <c r="A49" i="790"/>
  <c r="A47" i="790"/>
  <c r="A45" i="790"/>
  <c r="A43" i="790"/>
  <c r="A41" i="790"/>
  <c r="A63" i="789"/>
  <c r="A61" i="789"/>
  <c r="A59" i="789"/>
  <c r="A57" i="789"/>
  <c r="A55" i="789"/>
  <c r="A53" i="789"/>
  <c r="A51" i="789"/>
  <c r="A49" i="789"/>
  <c r="A47" i="789"/>
  <c r="A45" i="789"/>
  <c r="A43" i="789"/>
  <c r="A41" i="789"/>
  <c r="A63" i="788"/>
  <c r="A61" i="788"/>
  <c r="A59" i="788"/>
  <c r="A57" i="788"/>
  <c r="A55" i="788"/>
  <c r="A53" i="788"/>
  <c r="A51" i="788"/>
  <c r="A49" i="788"/>
  <c r="A47" i="788"/>
  <c r="A45" i="788"/>
  <c r="A43" i="788"/>
  <c r="A41" i="788"/>
  <c r="A63" i="787"/>
  <c r="A61" i="787"/>
  <c r="A59" i="787"/>
  <c r="A57" i="787"/>
  <c r="A55" i="787"/>
  <c r="A53" i="787"/>
  <c r="A51" i="787"/>
  <c r="A49" i="787"/>
  <c r="A47" i="787"/>
  <c r="A45" i="787"/>
  <c r="A43" i="787"/>
  <c r="A41" i="787"/>
  <c r="A63" i="786"/>
  <c r="A61" i="786"/>
  <c r="A59" i="786"/>
  <c r="A57" i="786"/>
  <c r="A55" i="786"/>
  <c r="A53" i="786"/>
  <c r="A51" i="786"/>
  <c r="A49" i="786"/>
  <c r="A47" i="786"/>
  <c r="A45" i="786"/>
  <c r="A43" i="786"/>
  <c r="A41" i="786"/>
  <c r="A63" i="785"/>
  <c r="A61" i="785"/>
  <c r="A59" i="785"/>
  <c r="A57" i="785"/>
  <c r="A55" i="785"/>
  <c r="A53" i="785"/>
  <c r="A51" i="785"/>
  <c r="A49" i="785"/>
  <c r="A47" i="785"/>
  <c r="A45" i="785"/>
  <c r="A43" i="785"/>
  <c r="A41" i="785"/>
  <c r="A63" i="784"/>
  <c r="A61" i="784"/>
  <c r="A59" i="784"/>
  <c r="A57" i="784"/>
  <c r="A55" i="784"/>
  <c r="A53" i="784"/>
  <c r="A51" i="784"/>
  <c r="A49" i="784"/>
  <c r="A47" i="784"/>
  <c r="A45" i="784"/>
  <c r="A43" i="784"/>
  <c r="A41" i="784"/>
  <c r="A63" i="783"/>
  <c r="A61" i="783"/>
  <c r="A59" i="783"/>
  <c r="A57" i="783"/>
  <c r="A55" i="783"/>
  <c r="A53" i="783"/>
  <c r="A51" i="783"/>
  <c r="A49" i="783"/>
  <c r="A47" i="783"/>
  <c r="A45" i="783"/>
  <c r="A43" i="783"/>
  <c r="A41" i="783"/>
  <c r="A63" i="857"/>
  <c r="A61" i="857"/>
  <c r="A59" i="857"/>
  <c r="A57" i="857"/>
  <c r="A55" i="857"/>
  <c r="A53" i="857"/>
  <c r="A51" i="857"/>
  <c r="A49" i="857"/>
  <c r="A47" i="857"/>
  <c r="A45" i="857"/>
  <c r="A43" i="857"/>
  <c r="A41" i="857"/>
  <c r="A63" i="782"/>
  <c r="A61" i="782"/>
  <c r="A59" i="782"/>
  <c r="A57" i="782"/>
  <c r="A55" i="782"/>
  <c r="A53" i="782"/>
  <c r="A51" i="782"/>
  <c r="A49" i="782"/>
  <c r="A47" i="782"/>
  <c r="A45" i="782"/>
  <c r="A43" i="782"/>
  <c r="A41" i="782"/>
  <c r="A63" i="781"/>
  <c r="A61" i="781"/>
  <c r="A59" i="781"/>
  <c r="A57" i="781"/>
  <c r="A55" i="781"/>
  <c r="A53" i="781"/>
  <c r="A51" i="781"/>
  <c r="A49" i="781"/>
  <c r="A47" i="781"/>
  <c r="A45" i="781"/>
  <c r="A43" i="781"/>
  <c r="A41" i="781"/>
  <c r="A63" i="780"/>
  <c r="A61" i="780"/>
  <c r="A59" i="780"/>
  <c r="A57" i="780"/>
  <c r="A55" i="780"/>
  <c r="A53" i="780"/>
  <c r="A51" i="780"/>
  <c r="A49" i="780"/>
  <c r="A47" i="780"/>
  <c r="A45" i="780"/>
  <c r="A43" i="780"/>
  <c r="A41" i="780"/>
  <c r="A63" i="779"/>
  <c r="A61" i="779"/>
  <c r="A59" i="779"/>
  <c r="A57" i="779"/>
  <c r="A55" i="779"/>
  <c r="A53" i="779"/>
  <c r="A51" i="779"/>
  <c r="A49" i="779"/>
  <c r="A47" i="779"/>
  <c r="A45" i="779"/>
  <c r="A43" i="779"/>
  <c r="A41" i="779"/>
  <c r="A63" i="778"/>
  <c r="A61" i="778"/>
  <c r="A59" i="778"/>
  <c r="A57" i="778"/>
  <c r="A55" i="778"/>
  <c r="A53" i="778"/>
  <c r="A51" i="778"/>
  <c r="A49" i="778"/>
  <c r="A47" i="778"/>
  <c r="A45" i="778"/>
  <c r="A43" i="778"/>
  <c r="A41" i="778"/>
  <c r="A63" i="777"/>
  <c r="A61" i="777"/>
  <c r="A59" i="777"/>
  <c r="A57" i="777"/>
  <c r="A55" i="777"/>
  <c r="A53" i="777"/>
  <c r="A51" i="777"/>
  <c r="A49" i="777"/>
  <c r="A47" i="777"/>
  <c r="A45" i="777"/>
  <c r="A43" i="777"/>
  <c r="A41" i="777"/>
  <c r="A63" i="776"/>
  <c r="A61" i="776"/>
  <c r="A59" i="776"/>
  <c r="A57" i="776"/>
  <c r="A55" i="776"/>
  <c r="A53" i="776"/>
  <c r="A51" i="776"/>
  <c r="A49" i="776"/>
  <c r="A47" i="776"/>
  <c r="A45" i="776"/>
  <c r="A43" i="776"/>
  <c r="A41" i="776"/>
  <c r="A63" i="775"/>
  <c r="A61" i="775"/>
  <c r="A59" i="775"/>
  <c r="A57" i="775"/>
  <c r="A55" i="775"/>
  <c r="A53" i="775"/>
  <c r="A51" i="775"/>
  <c r="A49" i="775"/>
  <c r="A47" i="775"/>
  <c r="A45" i="775"/>
  <c r="A43" i="775"/>
  <c r="A41" i="775"/>
  <c r="A63" i="774"/>
  <c r="A61" i="774"/>
  <c r="A59" i="774"/>
  <c r="A57" i="774"/>
  <c r="A55" i="774"/>
  <c r="A53" i="774"/>
  <c r="A51" i="774"/>
  <c r="A49" i="774"/>
  <c r="A47" i="774"/>
  <c r="A45" i="774"/>
  <c r="A43" i="774"/>
  <c r="A41" i="774"/>
  <c r="A63" i="856"/>
  <c r="A61" i="856"/>
  <c r="A59" i="856"/>
  <c r="A57" i="856"/>
  <c r="A55" i="856"/>
  <c r="A53" i="856"/>
  <c r="A49" i="856"/>
  <c r="A47" i="856"/>
  <c r="A45" i="856"/>
  <c r="A43" i="856"/>
  <c r="A41" i="856"/>
  <c r="A63" i="773"/>
  <c r="A61" i="773"/>
  <c r="A59" i="773"/>
  <c r="A57" i="773"/>
  <c r="A55" i="773"/>
  <c r="A53" i="773"/>
  <c r="A49" i="773"/>
  <c r="A47" i="773"/>
  <c r="A43" i="773"/>
  <c r="A41" i="773"/>
  <c r="A63" i="772"/>
  <c r="A61" i="772"/>
  <c r="A59" i="772"/>
  <c r="A57" i="772"/>
  <c r="A55" i="772"/>
  <c r="A53" i="772"/>
  <c r="A51" i="772"/>
  <c r="A49" i="772"/>
  <c r="A47" i="772"/>
  <c r="A45" i="772"/>
  <c r="A43" i="772"/>
  <c r="A41" i="772"/>
  <c r="A63" i="771"/>
  <c r="A61" i="771"/>
  <c r="A59" i="771"/>
  <c r="A57" i="771"/>
  <c r="A55" i="771"/>
  <c r="A53" i="771"/>
  <c r="A51" i="771"/>
  <c r="A49" i="771"/>
  <c r="A47" i="771"/>
  <c r="A45" i="771"/>
  <c r="A43" i="771"/>
  <c r="A41" i="771"/>
  <c r="A63" i="770"/>
  <c r="A61" i="770"/>
  <c r="A59" i="770"/>
  <c r="A57" i="770"/>
  <c r="A55" i="770"/>
  <c r="A53" i="770"/>
  <c r="A51" i="770"/>
  <c r="A49" i="770"/>
  <c r="A47" i="770"/>
  <c r="A45" i="770"/>
  <c r="A43" i="770"/>
  <c r="A41" i="770"/>
  <c r="A63" i="769"/>
  <c r="A61" i="769"/>
  <c r="A59" i="769"/>
  <c r="A57" i="769"/>
  <c r="A55" i="769"/>
  <c r="A53" i="769"/>
  <c r="A51" i="769"/>
  <c r="A49" i="769"/>
  <c r="A47" i="769"/>
  <c r="A45" i="769"/>
  <c r="A43" i="769"/>
  <c r="A41" i="769"/>
  <c r="A63" i="768"/>
  <c r="A61" i="768"/>
  <c r="A59" i="768"/>
  <c r="A57" i="768"/>
  <c r="A55" i="768"/>
  <c r="A53" i="768"/>
  <c r="A51" i="768"/>
  <c r="A49" i="768"/>
  <c r="A47" i="768"/>
  <c r="A45" i="768"/>
  <c r="A43" i="768"/>
  <c r="A41" i="768"/>
  <c r="A63" i="767"/>
  <c r="A61" i="767"/>
  <c r="A59" i="767"/>
  <c r="A57" i="767"/>
  <c r="A55" i="767"/>
  <c r="A53" i="767"/>
  <c r="A51" i="767"/>
  <c r="A49" i="767"/>
  <c r="A47" i="767"/>
  <c r="A45" i="767"/>
  <c r="A43" i="767"/>
  <c r="A41" i="767"/>
  <c r="A63" i="766"/>
  <c r="A61" i="766"/>
  <c r="A59" i="766"/>
  <c r="A57" i="766"/>
  <c r="A55" i="766"/>
  <c r="A53" i="766"/>
  <c r="A51" i="766"/>
  <c r="A49" i="766"/>
  <c r="A47" i="766"/>
  <c r="A45" i="766"/>
  <c r="A43" i="766"/>
  <c r="A41" i="766"/>
  <c r="A63" i="765"/>
  <c r="A61" i="765"/>
  <c r="A59" i="765"/>
  <c r="A57" i="765"/>
  <c r="A55" i="765"/>
  <c r="A53" i="765"/>
  <c r="A51" i="765"/>
  <c r="A49" i="765"/>
  <c r="A47" i="765"/>
  <c r="A45" i="765"/>
  <c r="A43" i="765"/>
  <c r="A41" i="765"/>
  <c r="A63" i="764"/>
  <c r="A61" i="764"/>
  <c r="A59" i="764"/>
  <c r="A57" i="764"/>
  <c r="A55" i="764"/>
  <c r="A53" i="764"/>
  <c r="A51" i="764"/>
  <c r="A49" i="764"/>
  <c r="A47" i="764"/>
  <c r="A45" i="764"/>
  <c r="A43" i="764"/>
  <c r="A41" i="764"/>
  <c r="A63" i="763"/>
  <c r="A61" i="763"/>
  <c r="A59" i="763"/>
  <c r="A57" i="763"/>
  <c r="A55" i="763"/>
  <c r="A53" i="763"/>
  <c r="A51" i="763"/>
  <c r="A49" i="763"/>
  <c r="A47" i="763"/>
  <c r="A45" i="763"/>
  <c r="A43" i="763"/>
  <c r="A41" i="763"/>
  <c r="A63" i="762"/>
  <c r="A61" i="762"/>
  <c r="A59" i="762"/>
  <c r="A57" i="762"/>
  <c r="A55" i="762"/>
  <c r="A53" i="762"/>
  <c r="A51" i="762"/>
  <c r="A49" i="762"/>
  <c r="A47" i="762"/>
  <c r="A45" i="762"/>
  <c r="A43" i="762"/>
  <c r="A41" i="762"/>
  <c r="A63" i="761"/>
  <c r="A61" i="761"/>
  <c r="A59" i="761"/>
  <c r="A57" i="761"/>
  <c r="A55" i="761"/>
  <c r="A53" i="761"/>
  <c r="A51" i="761"/>
  <c r="A49" i="761"/>
  <c r="A47" i="761"/>
  <c r="A45" i="761"/>
  <c r="A43" i="761"/>
  <c r="A41" i="761"/>
  <c r="A63" i="760"/>
  <c r="A61" i="760"/>
  <c r="A59" i="760"/>
  <c r="A57" i="760"/>
  <c r="A55" i="760"/>
  <c r="A53" i="760"/>
  <c r="A51" i="760"/>
  <c r="A49" i="760"/>
  <c r="A47" i="760"/>
  <c r="A45" i="760"/>
  <c r="A43" i="760"/>
  <c r="A41" i="760"/>
  <c r="A63" i="759"/>
  <c r="A61" i="759"/>
  <c r="A59" i="759"/>
  <c r="A57" i="759"/>
  <c r="A55" i="759"/>
  <c r="A53" i="759"/>
  <c r="A51" i="759"/>
  <c r="A49" i="759"/>
  <c r="A47" i="759"/>
  <c r="A45" i="759"/>
  <c r="A43" i="759"/>
  <c r="A41" i="759"/>
  <c r="A63" i="758"/>
  <c r="A61" i="758"/>
  <c r="A59" i="758"/>
  <c r="A57" i="758"/>
  <c r="A55" i="758"/>
  <c r="A53" i="758"/>
  <c r="A51" i="758"/>
  <c r="A49" i="758"/>
  <c r="A47" i="758"/>
  <c r="A45" i="758"/>
  <c r="A43" i="758"/>
  <c r="A41" i="758"/>
  <c r="A63" i="757"/>
  <c r="A61" i="757"/>
  <c r="A59" i="757"/>
  <c r="A57" i="757"/>
  <c r="A55" i="757"/>
  <c r="A53" i="757"/>
  <c r="A51" i="757"/>
  <c r="A49" i="757"/>
  <c r="A47" i="757"/>
  <c r="A45" i="757"/>
  <c r="A43" i="757"/>
  <c r="A41" i="757"/>
  <c r="A63" i="756"/>
  <c r="A61" i="756"/>
  <c r="A59" i="756"/>
  <c r="A57" i="756"/>
  <c r="A55" i="756"/>
  <c r="A53" i="756"/>
  <c r="A51" i="756"/>
  <c r="A49" i="756"/>
  <c r="A47" i="756"/>
  <c r="A45" i="756"/>
  <c r="A43" i="756"/>
  <c r="A41" i="756"/>
  <c r="A63" i="755"/>
  <c r="A61" i="755"/>
  <c r="A59" i="755"/>
  <c r="A57" i="755"/>
  <c r="A55" i="755"/>
  <c r="A53" i="755"/>
  <c r="A51" i="755"/>
  <c r="A49" i="755"/>
  <c r="A47" i="755"/>
  <c r="A45" i="755"/>
  <c r="A43" i="755"/>
  <c r="A41" i="755"/>
  <c r="A63" i="754"/>
  <c r="A61" i="754"/>
  <c r="A59" i="754"/>
  <c r="A57" i="754"/>
  <c r="A55" i="754"/>
  <c r="A53" i="754"/>
  <c r="A51" i="754"/>
  <c r="A49" i="754"/>
  <c r="A47" i="754"/>
  <c r="A45" i="754"/>
  <c r="A43" i="754"/>
  <c r="A41" i="754"/>
  <c r="A63" i="753"/>
  <c r="A61" i="753"/>
  <c r="A59" i="753"/>
  <c r="A57" i="753"/>
  <c r="A55" i="753"/>
  <c r="A53" i="753"/>
  <c r="A51" i="753"/>
  <c r="A49" i="753"/>
  <c r="A47" i="753"/>
  <c r="A45" i="753"/>
  <c r="A43" i="753"/>
  <c r="A41" i="753"/>
  <c r="A63" i="752"/>
  <c r="A61" i="752"/>
  <c r="A59" i="752"/>
  <c r="A57" i="752"/>
  <c r="A55" i="752"/>
  <c r="A53" i="752"/>
  <c r="A51" i="752"/>
  <c r="A49" i="752"/>
  <c r="A47" i="752"/>
  <c r="A45" i="752"/>
  <c r="A43" i="752"/>
  <c r="A41" i="752"/>
  <c r="A63" i="751"/>
  <c r="A61" i="751"/>
  <c r="A59" i="751"/>
  <c r="A57" i="751"/>
  <c r="A55" i="751"/>
  <c r="A53" i="751"/>
  <c r="A51" i="751"/>
  <c r="A49" i="751"/>
  <c r="A47" i="751"/>
  <c r="A45" i="751"/>
  <c r="A43" i="751"/>
  <c r="A41" i="751"/>
  <c r="A63" i="855"/>
  <c r="A61" i="855"/>
  <c r="A59" i="855"/>
  <c r="A57" i="855"/>
  <c r="A55" i="855"/>
  <c r="A53" i="855"/>
  <c r="A51" i="855"/>
  <c r="A49" i="855"/>
  <c r="A47" i="855"/>
  <c r="A45" i="855"/>
  <c r="A43" i="855"/>
  <c r="A41" i="855"/>
  <c r="A63" i="750"/>
  <c r="A61" i="750"/>
  <c r="A59" i="750"/>
  <c r="A57" i="750"/>
  <c r="A55" i="750"/>
  <c r="A53" i="750"/>
  <c r="A51" i="750"/>
  <c r="A49" i="750"/>
  <c r="A47" i="750"/>
  <c r="A45" i="750"/>
  <c r="A43" i="750"/>
  <c r="A41" i="750"/>
  <c r="A63" i="749"/>
  <c r="A61" i="749"/>
  <c r="A59" i="749"/>
  <c r="A57" i="749"/>
  <c r="A55" i="749"/>
  <c r="A53" i="749"/>
  <c r="A51" i="749"/>
  <c r="A49" i="749"/>
  <c r="A47" i="749"/>
  <c r="A45" i="749"/>
  <c r="A43" i="749"/>
  <c r="A41" i="749"/>
  <c r="A63" i="748"/>
  <c r="A61" i="748"/>
  <c r="A59" i="748"/>
  <c r="A57" i="748"/>
  <c r="A55" i="748"/>
  <c r="A53" i="748"/>
  <c r="A51" i="748"/>
  <c r="A49" i="748"/>
  <c r="A47" i="748"/>
  <c r="A45" i="748"/>
  <c r="A43" i="748"/>
  <c r="A41" i="748"/>
  <c r="A63" i="747"/>
  <c r="A61" i="747"/>
  <c r="A59" i="747"/>
  <c r="A57" i="747"/>
  <c r="A55" i="747"/>
  <c r="A53" i="747"/>
  <c r="A51" i="747"/>
  <c r="A49" i="747"/>
  <c r="A47" i="747"/>
  <c r="A45" i="747"/>
  <c r="A43" i="747"/>
  <c r="A41" i="747"/>
  <c r="A63" i="746"/>
  <c r="A61" i="746"/>
  <c r="A59" i="746"/>
  <c r="A57" i="746"/>
  <c r="A55" i="746"/>
  <c r="A53" i="746"/>
  <c r="A51" i="746"/>
  <c r="A49" i="746"/>
  <c r="A47" i="746"/>
  <c r="A45" i="746"/>
  <c r="A43" i="746"/>
  <c r="A41" i="746"/>
  <c r="A63" i="745"/>
  <c r="A61" i="745"/>
  <c r="A59" i="745"/>
  <c r="A57" i="745"/>
  <c r="A55" i="745"/>
  <c r="A53" i="745"/>
  <c r="A51" i="745"/>
  <c r="A49" i="745"/>
  <c r="A47" i="745"/>
  <c r="A45" i="745"/>
  <c r="A43" i="745"/>
  <c r="A41" i="745"/>
  <c r="A63" i="854"/>
  <c r="A61" i="854"/>
  <c r="A59" i="854"/>
  <c r="A57" i="854"/>
  <c r="A55" i="854"/>
  <c r="A53" i="854"/>
  <c r="A51" i="854"/>
  <c r="A49" i="854"/>
  <c r="A47" i="854"/>
  <c r="A45" i="854"/>
  <c r="A43" i="854"/>
  <c r="A41" i="854"/>
  <c r="A63" i="744"/>
  <c r="A61" i="744"/>
  <c r="A59" i="744"/>
  <c r="A57" i="744"/>
  <c r="A55" i="744"/>
  <c r="A53" i="744"/>
  <c r="A51" i="744"/>
  <c r="A49" i="744"/>
  <c r="A47" i="744"/>
  <c r="A45" i="744"/>
  <c r="A43" i="744"/>
  <c r="A41" i="744"/>
  <c r="A63" i="743"/>
  <c r="A61" i="743"/>
  <c r="A59" i="743"/>
  <c r="A57" i="743"/>
  <c r="A55" i="743"/>
  <c r="A53" i="743"/>
  <c r="A51" i="743"/>
  <c r="A49" i="743"/>
  <c r="A47" i="743"/>
  <c r="A45" i="743"/>
  <c r="A43" i="743"/>
  <c r="A41" i="743"/>
  <c r="A63" i="742"/>
  <c r="A61" i="742"/>
  <c r="A59" i="742"/>
  <c r="A57" i="742"/>
  <c r="A55" i="742"/>
  <c r="A53" i="742"/>
  <c r="A51" i="742"/>
  <c r="A49" i="742"/>
  <c r="A47" i="742"/>
  <c r="A45" i="742"/>
  <c r="A43" i="742"/>
  <c r="A41" i="742"/>
  <c r="A63" i="741"/>
  <c r="A61" i="741"/>
  <c r="A59" i="741"/>
  <c r="A57" i="741"/>
  <c r="A55" i="741"/>
  <c r="A53" i="741"/>
  <c r="A51" i="741"/>
  <c r="A49" i="741"/>
  <c r="A47" i="741"/>
  <c r="A45" i="741"/>
  <c r="A43" i="741"/>
  <c r="A41" i="741"/>
  <c r="A63" i="740"/>
  <c r="A61" i="740"/>
  <c r="A59" i="740"/>
  <c r="A57" i="740"/>
  <c r="A55" i="740"/>
  <c r="A53" i="740"/>
  <c r="A51" i="740"/>
  <c r="A49" i="740"/>
  <c r="A47" i="740"/>
  <c r="A45" i="740"/>
  <c r="A43" i="740"/>
  <c r="A41" i="740"/>
  <c r="A63" i="739"/>
  <c r="A61" i="739"/>
  <c r="A59" i="739"/>
  <c r="A57" i="739"/>
  <c r="A55" i="739"/>
  <c r="A53" i="739"/>
  <c r="A51" i="739"/>
  <c r="A49" i="739"/>
  <c r="A47" i="739"/>
  <c r="A45" i="739"/>
  <c r="A43" i="739"/>
  <c r="A41" i="739"/>
  <c r="A63" i="738"/>
  <c r="A61" i="738"/>
  <c r="A59" i="738"/>
  <c r="A57" i="738"/>
  <c r="A55" i="738"/>
  <c r="A53" i="738"/>
  <c r="A51" i="738"/>
  <c r="A49" i="738"/>
  <c r="A47" i="738"/>
  <c r="A45" i="738"/>
  <c r="A43" i="738"/>
  <c r="A41" i="738"/>
  <c r="A63" i="737"/>
  <c r="A61" i="737"/>
  <c r="A59" i="737"/>
  <c r="A57" i="737"/>
  <c r="A55" i="737"/>
  <c r="A53" i="737"/>
  <c r="A51" i="737"/>
  <c r="A49" i="737"/>
  <c r="A47" i="737"/>
  <c r="A45" i="737"/>
  <c r="A43" i="737"/>
  <c r="A41" i="737"/>
  <c r="A63" i="735"/>
  <c r="A61" i="735"/>
  <c r="A59" i="735"/>
  <c r="A57" i="735"/>
  <c r="A55" i="735"/>
  <c r="A53" i="735"/>
  <c r="A51" i="735"/>
  <c r="A49" i="735"/>
  <c r="A47" i="735"/>
  <c r="A45" i="735"/>
  <c r="A43" i="735"/>
  <c r="A41" i="735"/>
  <c r="A63" i="734"/>
  <c r="A61" i="734"/>
  <c r="A59" i="734"/>
  <c r="A57" i="734"/>
  <c r="A55" i="734"/>
  <c r="A53" i="734"/>
  <c r="A51" i="734"/>
  <c r="A49" i="734"/>
  <c r="A47" i="734"/>
  <c r="A45" i="734"/>
  <c r="A43" i="734"/>
  <c r="A41" i="734"/>
  <c r="A63" i="733"/>
  <c r="A61" i="733"/>
  <c r="A59" i="733"/>
  <c r="A57" i="733"/>
  <c r="A55" i="733"/>
  <c r="A53" i="733"/>
  <c r="A51" i="733"/>
  <c r="A49" i="733"/>
  <c r="A47" i="733"/>
  <c r="A45" i="733"/>
  <c r="A43" i="733"/>
  <c r="A41" i="733"/>
  <c r="A63" i="732"/>
  <c r="A61" i="732"/>
  <c r="A59" i="732"/>
  <c r="A57" i="732"/>
  <c r="A55" i="732"/>
  <c r="A53" i="732"/>
  <c r="A51" i="732"/>
  <c r="A49" i="732"/>
  <c r="A47" i="732"/>
  <c r="A45" i="732"/>
  <c r="A43" i="732"/>
  <c r="A41" i="732"/>
  <c r="A63" i="731"/>
  <c r="A61" i="731"/>
  <c r="A59" i="731"/>
  <c r="A57" i="731"/>
  <c r="A55" i="731"/>
  <c r="A53" i="731"/>
  <c r="A51" i="731"/>
  <c r="A49" i="731"/>
  <c r="A47" i="731"/>
  <c r="A45" i="731"/>
  <c r="A43" i="731"/>
  <c r="A41" i="731"/>
  <c r="A63" i="730"/>
  <c r="A61" i="730"/>
  <c r="A59" i="730"/>
  <c r="A57" i="730"/>
  <c r="A55" i="730"/>
  <c r="A53" i="730"/>
  <c r="A51" i="730"/>
  <c r="A49" i="730"/>
  <c r="A47" i="730"/>
  <c r="A45" i="730"/>
  <c r="A43" i="730"/>
  <c r="A41" i="730"/>
  <c r="A63" i="729"/>
  <c r="A61" i="729"/>
  <c r="A59" i="729"/>
  <c r="A57" i="729"/>
  <c r="A55" i="729"/>
  <c r="A53" i="729"/>
  <c r="A51" i="729"/>
  <c r="A49" i="729"/>
  <c r="A47" i="729"/>
  <c r="A45" i="729"/>
  <c r="A43" i="729"/>
  <c r="A41" i="729"/>
  <c r="A63" i="728"/>
  <c r="A61" i="728"/>
  <c r="A59" i="728"/>
  <c r="A57" i="728"/>
  <c r="A55" i="728"/>
  <c r="A53" i="728"/>
  <c r="A51" i="728"/>
  <c r="A49" i="728"/>
  <c r="A47" i="728"/>
  <c r="A45" i="728"/>
  <c r="A43" i="728"/>
  <c r="A41" i="728"/>
  <c r="A63" i="727"/>
  <c r="A61" i="727"/>
  <c r="A59" i="727"/>
  <c r="A57" i="727"/>
  <c r="A55" i="727"/>
  <c r="A53" i="727"/>
  <c r="A51" i="727"/>
  <c r="A49" i="727"/>
  <c r="A47" i="727"/>
  <c r="A45" i="727"/>
  <c r="A43" i="727"/>
  <c r="A41" i="727"/>
  <c r="A63" i="726"/>
  <c r="A61" i="726"/>
  <c r="A59" i="726"/>
  <c r="A57" i="726"/>
  <c r="A55" i="726"/>
  <c r="A53" i="726"/>
  <c r="A51" i="726"/>
  <c r="A49" i="726"/>
  <c r="A47" i="726"/>
  <c r="A45" i="726"/>
  <c r="A43" i="726"/>
  <c r="A41" i="726"/>
  <c r="A63" i="725"/>
  <c r="A61" i="725"/>
  <c r="A59" i="725"/>
  <c r="A57" i="725"/>
  <c r="A55" i="725"/>
  <c r="A53" i="725"/>
  <c r="A51" i="725"/>
  <c r="A49" i="725"/>
  <c r="A47" i="725"/>
  <c r="A45" i="725"/>
  <c r="A43" i="725"/>
  <c r="A41" i="725"/>
  <c r="A63" i="853"/>
  <c r="A61" i="853"/>
  <c r="A59" i="853"/>
  <c r="A57" i="853"/>
  <c r="A55" i="853"/>
  <c r="A53" i="853"/>
  <c r="A51" i="853"/>
  <c r="A49" i="853"/>
  <c r="A47" i="853"/>
  <c r="A45" i="853"/>
  <c r="A43" i="853"/>
  <c r="A41" i="853"/>
  <c r="A63" i="724"/>
  <c r="A61" i="724"/>
  <c r="A59" i="724"/>
  <c r="A57" i="724"/>
  <c r="A55" i="724"/>
  <c r="A53" i="724"/>
  <c r="A51" i="724"/>
  <c r="A49" i="724"/>
  <c r="A47" i="724"/>
  <c r="A45" i="724"/>
  <c r="A43" i="724"/>
  <c r="A41" i="724"/>
  <c r="A63" i="723"/>
  <c r="A61" i="723"/>
  <c r="A59" i="723"/>
  <c r="A57" i="723"/>
  <c r="A55" i="723"/>
  <c r="A53" i="723"/>
  <c r="A51" i="723"/>
  <c r="A49" i="723"/>
  <c r="A47" i="723"/>
  <c r="A45" i="723"/>
  <c r="A43" i="723"/>
  <c r="A41" i="723"/>
  <c r="A63" i="722"/>
  <c r="A61" i="722"/>
  <c r="A59" i="722"/>
  <c r="A57" i="722"/>
  <c r="A55" i="722"/>
  <c r="A53" i="722"/>
  <c r="A51" i="722"/>
  <c r="A49" i="722"/>
  <c r="A47" i="722"/>
  <c r="A45" i="722"/>
  <c r="A43" i="722"/>
  <c r="A41" i="722"/>
  <c r="A63" i="721"/>
  <c r="A61" i="721"/>
  <c r="A59" i="721"/>
  <c r="A57" i="721"/>
  <c r="A55" i="721"/>
  <c r="A53" i="721"/>
  <c r="A51" i="721"/>
  <c r="A49" i="721"/>
  <c r="A47" i="721"/>
  <c r="A45" i="721"/>
  <c r="A43" i="721"/>
  <c r="A41" i="721"/>
  <c r="A63" i="720"/>
  <c r="A61" i="720"/>
  <c r="A59" i="720"/>
  <c r="A57" i="720"/>
  <c r="A55" i="720"/>
  <c r="A53" i="720"/>
  <c r="A51" i="720"/>
  <c r="A49" i="720"/>
  <c r="A47" i="720"/>
  <c r="A45" i="720"/>
  <c r="A43" i="720"/>
  <c r="A41" i="720"/>
  <c r="A63" i="719"/>
  <c r="A61" i="719"/>
  <c r="A59" i="719"/>
  <c r="A57" i="719"/>
  <c r="A55" i="719"/>
  <c r="A53" i="719"/>
  <c r="A51" i="719"/>
  <c r="A49" i="719"/>
  <c r="A47" i="719"/>
  <c r="A45" i="719"/>
  <c r="A43" i="719"/>
  <c r="A41" i="719"/>
  <c r="A63" i="718"/>
  <c r="A61" i="718"/>
  <c r="A59" i="718"/>
  <c r="A57" i="718"/>
  <c r="A55" i="718"/>
  <c r="A53" i="718"/>
  <c r="A51" i="718"/>
  <c r="A49" i="718"/>
  <c r="A47" i="718"/>
  <c r="A45" i="718"/>
  <c r="A43" i="718"/>
  <c r="A41" i="718"/>
  <c r="A63" i="717"/>
  <c r="A61" i="717"/>
  <c r="A59" i="717"/>
  <c r="A57" i="717"/>
  <c r="A55" i="717"/>
  <c r="A53" i="717"/>
  <c r="A51" i="717"/>
  <c r="A49" i="717"/>
  <c r="A47" i="717"/>
  <c r="A45" i="717"/>
  <c r="A43" i="717"/>
  <c r="A41" i="717"/>
  <c r="A63" i="716"/>
  <c r="A61" i="716"/>
  <c r="A59" i="716"/>
  <c r="A57" i="716"/>
  <c r="A55" i="716"/>
  <c r="A53" i="716"/>
  <c r="A51" i="716"/>
  <c r="A49" i="716"/>
  <c r="A47" i="716"/>
  <c r="A45" i="716"/>
  <c r="A43" i="716"/>
  <c r="A41" i="716"/>
  <c r="A63" i="715"/>
  <c r="A61" i="715"/>
  <c r="A59" i="715"/>
  <c r="A57" i="715"/>
  <c r="A55" i="715"/>
  <c r="A53" i="715"/>
  <c r="A51" i="715"/>
  <c r="A49" i="715"/>
  <c r="A47" i="715"/>
  <c r="A45" i="715"/>
  <c r="A43" i="715"/>
  <c r="A41" i="715"/>
  <c r="A63" i="714"/>
  <c r="A61" i="714"/>
  <c r="A59" i="714"/>
  <c r="A57" i="714"/>
  <c r="A55" i="714"/>
  <c r="A53" i="714"/>
  <c r="A51" i="714"/>
  <c r="A49" i="714"/>
  <c r="A47" i="714"/>
  <c r="A45" i="714"/>
  <c r="A43" i="714"/>
  <c r="A41" i="714"/>
  <c r="A63" i="713"/>
  <c r="A61" i="713"/>
  <c r="A59" i="713"/>
  <c r="A57" i="713"/>
  <c r="A55" i="713"/>
  <c r="A53" i="713"/>
  <c r="A51" i="713"/>
  <c r="A49" i="713"/>
  <c r="A47" i="713"/>
  <c r="A45" i="713"/>
  <c r="A43" i="713"/>
  <c r="A63" i="712"/>
  <c r="A61" i="712"/>
  <c r="A59" i="712"/>
  <c r="A57" i="712"/>
  <c r="A55" i="712"/>
  <c r="A53" i="712"/>
  <c r="A51" i="712"/>
  <c r="A49" i="712"/>
  <c r="A47" i="712"/>
  <c r="A45" i="712"/>
  <c r="A43" i="712"/>
  <c r="A41" i="712"/>
  <c r="A63" i="711"/>
  <c r="A61" i="711"/>
  <c r="A59" i="711"/>
  <c r="A57" i="711"/>
  <c r="A55" i="711"/>
  <c r="A53" i="711"/>
  <c r="A51" i="711"/>
  <c r="A49" i="711"/>
  <c r="A47" i="711"/>
  <c r="A45" i="711"/>
  <c r="A43" i="711"/>
  <c r="A41" i="711"/>
  <c r="A63" i="710"/>
  <c r="A61" i="710"/>
  <c r="A59" i="710"/>
  <c r="A57" i="710"/>
  <c r="A55" i="710"/>
  <c r="A53" i="710"/>
  <c r="A51" i="710"/>
  <c r="A49" i="710"/>
  <c r="A47" i="710"/>
  <c r="A45" i="710"/>
  <c r="A43" i="710"/>
  <c r="A41" i="710"/>
  <c r="A63" i="709"/>
  <c r="A61" i="709"/>
  <c r="A59" i="709"/>
  <c r="A57" i="709"/>
  <c r="A55" i="709"/>
  <c r="A53" i="709"/>
  <c r="A49" i="709"/>
  <c r="A47" i="709"/>
  <c r="A45" i="709"/>
  <c r="A43" i="709"/>
  <c r="A41" i="709"/>
  <c r="A63" i="707"/>
  <c r="A61" i="707"/>
  <c r="A59" i="707"/>
  <c r="A57" i="707"/>
  <c r="A55" i="707"/>
  <c r="A53" i="707"/>
  <c r="A49" i="707"/>
  <c r="A47" i="707"/>
  <c r="A45" i="707"/>
  <c r="A43" i="707"/>
  <c r="A41" i="707"/>
  <c r="A63" i="706"/>
  <c r="A61" i="706"/>
  <c r="A59" i="706"/>
  <c r="A57" i="706"/>
  <c r="A55" i="706"/>
  <c r="A53" i="706"/>
  <c r="A51" i="706"/>
  <c r="A49" i="706"/>
  <c r="A47" i="706"/>
  <c r="A45" i="706"/>
  <c r="A43" i="706"/>
  <c r="A41" i="706"/>
  <c r="A63" i="705"/>
  <c r="A61" i="705"/>
  <c r="A59" i="705"/>
  <c r="A57" i="705"/>
  <c r="A55" i="705"/>
  <c r="A53" i="705"/>
  <c r="A49" i="705"/>
  <c r="A47" i="705"/>
  <c r="A45" i="705"/>
  <c r="A43" i="705"/>
  <c r="A41" i="705"/>
  <c r="A61" i="665"/>
  <c r="A59" i="665"/>
  <c r="A57" i="665"/>
  <c r="A55" i="665"/>
  <c r="A53" i="665"/>
  <c r="A49" i="665"/>
  <c r="A47" i="665"/>
  <c r="A45" i="665"/>
  <c r="A43" i="665"/>
  <c r="A41" i="665"/>
  <c r="E67" i="826"/>
  <c r="E67" i="825"/>
  <c r="E67" i="824"/>
  <c r="E67" i="822"/>
  <c r="E67" i="821"/>
  <c r="E67" i="820"/>
  <c r="E67" i="819"/>
  <c r="E67" i="818"/>
  <c r="E67" i="817"/>
  <c r="E67" i="816"/>
  <c r="E67" i="815"/>
  <c r="E67" i="814"/>
  <c r="E67" i="813"/>
  <c r="E67" i="812"/>
  <c r="E67" i="811"/>
  <c r="E67" i="810"/>
  <c r="E67" i="809"/>
  <c r="E67" i="808"/>
  <c r="E67" i="807"/>
  <c r="E67" i="806"/>
  <c r="E67" i="805"/>
  <c r="E67" i="804"/>
  <c r="E67" i="803"/>
  <c r="E67" i="802"/>
  <c r="E67" i="801"/>
  <c r="E67" i="800"/>
  <c r="E67" i="799"/>
  <c r="E67" i="798"/>
  <c r="E67" i="797"/>
  <c r="E67" i="796"/>
  <c r="E67" i="858"/>
  <c r="E67" i="795"/>
  <c r="E67" i="794"/>
  <c r="E67" i="793"/>
  <c r="E67" i="792"/>
  <c r="E67" i="791"/>
  <c r="E67" i="790"/>
  <c r="E67" i="789"/>
  <c r="E67" i="788"/>
  <c r="E67" i="787"/>
  <c r="E67" i="786"/>
  <c r="E67" i="785"/>
  <c r="E67" i="784"/>
  <c r="E67" i="783"/>
  <c r="E67" i="857"/>
  <c r="E67" i="782"/>
  <c r="E67" i="781"/>
  <c r="E67" i="780"/>
  <c r="E67" i="779"/>
  <c r="E67" i="778"/>
  <c r="E67" i="777"/>
  <c r="E67" i="776"/>
  <c r="E67" i="775"/>
  <c r="E67" i="774"/>
  <c r="E67" i="856"/>
  <c r="E67" i="773"/>
  <c r="E67" i="772"/>
  <c r="E67" i="771"/>
  <c r="E67" i="770"/>
  <c r="E67" i="769"/>
  <c r="E67" i="768"/>
  <c r="E67" i="767"/>
  <c r="E67" i="766"/>
  <c r="E67" i="765"/>
  <c r="E67" i="764"/>
  <c r="E67" i="763"/>
  <c r="E67" i="762"/>
  <c r="E67" i="761"/>
  <c r="E67" i="760"/>
  <c r="E67" i="759"/>
  <c r="E67" i="758"/>
  <c r="E67" i="757"/>
  <c r="E67" i="756"/>
  <c r="E67" i="755"/>
  <c r="E67" i="754"/>
  <c r="E67" i="753"/>
  <c r="E67" i="752"/>
  <c r="E67" i="751"/>
  <c r="E67" i="855"/>
  <c r="E67" i="750"/>
  <c r="E67" i="749"/>
  <c r="E67" i="748"/>
  <c r="E67" i="747"/>
  <c r="E67" i="746"/>
  <c r="E67" i="745"/>
  <c r="E67" i="854"/>
  <c r="E67" i="744"/>
  <c r="E67" i="743"/>
  <c r="E67" i="742"/>
  <c r="E67" i="741"/>
  <c r="E67" i="740"/>
  <c r="E67" i="739"/>
  <c r="E67" i="738"/>
  <c r="E67" i="737"/>
  <c r="E67" i="735"/>
  <c r="E67" i="734"/>
  <c r="E67" i="733"/>
  <c r="E67" i="732"/>
  <c r="E67" i="731"/>
  <c r="E67" i="730"/>
  <c r="E67" i="729"/>
  <c r="E67" i="728"/>
  <c r="E67" i="727"/>
  <c r="E67" i="726"/>
  <c r="E67" i="725"/>
  <c r="E67" i="853"/>
  <c r="E67" i="724"/>
  <c r="E67" i="723"/>
  <c r="E67" i="722"/>
  <c r="E67" i="721"/>
  <c r="E67" i="720"/>
  <c r="E67" i="719"/>
  <c r="E67" i="718"/>
  <c r="E67" i="717"/>
  <c r="E67" i="716"/>
  <c r="E67" i="715"/>
  <c r="E67" i="714"/>
  <c r="E67" i="713"/>
  <c r="E67" i="712"/>
  <c r="E67" i="711"/>
  <c r="E67" i="710"/>
  <c r="E67" i="709"/>
  <c r="E67" i="707"/>
  <c r="E67" i="706"/>
  <c r="E67" i="705"/>
  <c r="C6" i="722"/>
  <c r="C5" i="665"/>
  <c r="E67" i="665"/>
  <c r="M15" i="858" l="1"/>
  <c r="F15" i="858"/>
  <c r="C15" i="858"/>
  <c r="C26" i="858" s="1"/>
  <c r="C27" i="858" s="1"/>
  <c r="C28" i="858" s="1"/>
  <c r="C29" i="858" s="1"/>
  <c r="C30" i="858" s="1"/>
  <c r="C31" i="858" s="1"/>
  <c r="C32" i="858" s="1"/>
  <c r="C33" i="858" s="1"/>
  <c r="C34" i="858" s="1"/>
  <c r="C35" i="858" s="1"/>
  <c r="C36" i="858" s="1"/>
  <c r="C37" i="858" s="1"/>
  <c r="C38" i="858" s="1"/>
  <c r="A15" i="858"/>
  <c r="J12" i="858"/>
  <c r="C12" i="858"/>
  <c r="A19" i="858" s="1"/>
  <c r="F10" i="858"/>
  <c r="C10" i="858"/>
  <c r="C8" i="858"/>
  <c r="C7" i="858"/>
  <c r="C6" i="858"/>
  <c r="C5" i="858"/>
  <c r="M15" i="857"/>
  <c r="F15" i="857"/>
  <c r="C15" i="857"/>
  <c r="C26" i="857" s="1"/>
  <c r="A15" i="857"/>
  <c r="J12" i="857"/>
  <c r="C12" i="857"/>
  <c r="A19" i="857" s="1"/>
  <c r="F10" i="857"/>
  <c r="C10" i="857"/>
  <c r="C8" i="857"/>
  <c r="C7" i="857"/>
  <c r="C6" i="857"/>
  <c r="C5" i="857"/>
  <c r="M15" i="856"/>
  <c r="F15" i="856"/>
  <c r="C15" i="856"/>
  <c r="C26" i="856" s="1"/>
  <c r="A15" i="856"/>
  <c r="J12" i="856"/>
  <c r="C12" i="856"/>
  <c r="A19" i="856" s="1"/>
  <c r="F10" i="856"/>
  <c r="C10" i="856"/>
  <c r="C8" i="856"/>
  <c r="C7" i="856"/>
  <c r="C6" i="856"/>
  <c r="C5" i="856"/>
  <c r="M15" i="855"/>
  <c r="F15" i="855"/>
  <c r="C15" i="855"/>
  <c r="C26" i="855" s="1"/>
  <c r="A15" i="855"/>
  <c r="J12" i="855"/>
  <c r="C12" i="855"/>
  <c r="A19" i="855" s="1"/>
  <c r="F10" i="855"/>
  <c r="C10" i="855"/>
  <c r="C8" i="855"/>
  <c r="C7" i="855"/>
  <c r="C6" i="855"/>
  <c r="C5" i="855"/>
  <c r="M15" i="854"/>
  <c r="F15" i="854"/>
  <c r="C15" i="854"/>
  <c r="C26" i="854" s="1"/>
  <c r="A15" i="854"/>
  <c r="J12" i="854"/>
  <c r="C12" i="854"/>
  <c r="A19" i="854" s="1"/>
  <c r="F10" i="854"/>
  <c r="C10" i="854"/>
  <c r="C8" i="854"/>
  <c r="C7" i="854"/>
  <c r="C6" i="854"/>
  <c r="C5" i="854"/>
  <c r="M15" i="853"/>
  <c r="F15" i="853"/>
  <c r="C15" i="853"/>
  <c r="C26" i="853" s="1"/>
  <c r="A15" i="853"/>
  <c r="J12" i="853"/>
  <c r="C12" i="853"/>
  <c r="A19" i="853" s="1"/>
  <c r="F10" i="853"/>
  <c r="C10" i="853"/>
  <c r="C8" i="853"/>
  <c r="C7" i="853"/>
  <c r="C6" i="853"/>
  <c r="C5" i="853"/>
  <c r="D26" i="858" l="1"/>
  <c r="D27" i="858" s="1"/>
  <c r="D28" i="858" s="1"/>
  <c r="D29" i="858" s="1"/>
  <c r="D30" i="858" s="1"/>
  <c r="D31" i="858" s="1"/>
  <c r="D32" i="858" s="1"/>
  <c r="D33" i="858" s="1"/>
  <c r="D34" i="858" s="1"/>
  <c r="D35" i="858" s="1"/>
  <c r="D36" i="858" s="1"/>
  <c r="D37" i="858" s="1"/>
  <c r="D38" i="858" s="1"/>
  <c r="C27" i="857"/>
  <c r="C28" i="857" s="1"/>
  <c r="C29" i="857" s="1"/>
  <c r="C30" i="857" s="1"/>
  <c r="C31" i="857" s="1"/>
  <c r="C32" i="857" s="1"/>
  <c r="C33" i="857" s="1"/>
  <c r="C34" i="857" s="1"/>
  <c r="C35" i="857" s="1"/>
  <c r="C36" i="857" s="1"/>
  <c r="C37" i="857" s="1"/>
  <c r="C38" i="857" s="1"/>
  <c r="D26" i="857"/>
  <c r="D27" i="857" s="1"/>
  <c r="D28" i="857" s="1"/>
  <c r="D29" i="857" s="1"/>
  <c r="D30" i="857" s="1"/>
  <c r="D31" i="857" s="1"/>
  <c r="D32" i="857" s="1"/>
  <c r="D33" i="857" s="1"/>
  <c r="D34" i="857" s="1"/>
  <c r="D35" i="857" s="1"/>
  <c r="D36" i="857" s="1"/>
  <c r="D37" i="857" s="1"/>
  <c r="D38" i="857" s="1"/>
  <c r="C27" i="856"/>
  <c r="C28" i="856" s="1"/>
  <c r="C29" i="856" s="1"/>
  <c r="C30" i="856" s="1"/>
  <c r="C31" i="856" s="1"/>
  <c r="C32" i="856" s="1"/>
  <c r="C33" i="856" s="1"/>
  <c r="C34" i="856" s="1"/>
  <c r="C35" i="856" s="1"/>
  <c r="C36" i="856" s="1"/>
  <c r="C37" i="856" s="1"/>
  <c r="C38" i="856" s="1"/>
  <c r="D26" i="856"/>
  <c r="D27" i="856" s="1"/>
  <c r="D28" i="856" s="1"/>
  <c r="D29" i="856" s="1"/>
  <c r="D30" i="856" s="1"/>
  <c r="D31" i="856" s="1"/>
  <c r="D32" i="856" s="1"/>
  <c r="D33" i="856" s="1"/>
  <c r="D34" i="856" s="1"/>
  <c r="D35" i="856" s="1"/>
  <c r="D36" i="856" s="1"/>
  <c r="D37" i="856" s="1"/>
  <c r="D38" i="856" s="1"/>
  <c r="D26" i="855"/>
  <c r="D27" i="855" s="1"/>
  <c r="D28" i="855" s="1"/>
  <c r="D29" i="855" s="1"/>
  <c r="D30" i="855" s="1"/>
  <c r="D31" i="855" s="1"/>
  <c r="D32" i="855" s="1"/>
  <c r="D33" i="855" s="1"/>
  <c r="D34" i="855" s="1"/>
  <c r="D35" i="855" s="1"/>
  <c r="D36" i="855" s="1"/>
  <c r="D37" i="855" s="1"/>
  <c r="D38" i="855" s="1"/>
  <c r="C27" i="855"/>
  <c r="C28" i="855" s="1"/>
  <c r="C29" i="855" s="1"/>
  <c r="C30" i="855" s="1"/>
  <c r="C31" i="855" s="1"/>
  <c r="C32" i="855" s="1"/>
  <c r="C33" i="855" s="1"/>
  <c r="C34" i="855" s="1"/>
  <c r="C35" i="855" s="1"/>
  <c r="C36" i="855" s="1"/>
  <c r="C37" i="855" s="1"/>
  <c r="C38" i="855" s="1"/>
  <c r="C27" i="854"/>
  <c r="C28" i="854" s="1"/>
  <c r="C29" i="854" s="1"/>
  <c r="C30" i="854" s="1"/>
  <c r="C31" i="854" s="1"/>
  <c r="C32" i="854" s="1"/>
  <c r="C33" i="854" s="1"/>
  <c r="C34" i="854" s="1"/>
  <c r="C35" i="854" s="1"/>
  <c r="C36" i="854" s="1"/>
  <c r="C37" i="854" s="1"/>
  <c r="C38" i="854" s="1"/>
  <c r="D26" i="854"/>
  <c r="D27" i="854" s="1"/>
  <c r="D28" i="854" s="1"/>
  <c r="D29" i="854" s="1"/>
  <c r="D30" i="854" s="1"/>
  <c r="D31" i="854" s="1"/>
  <c r="D32" i="854" s="1"/>
  <c r="D33" i="854" s="1"/>
  <c r="D34" i="854" s="1"/>
  <c r="D35" i="854" s="1"/>
  <c r="D36" i="854" s="1"/>
  <c r="D37" i="854" s="1"/>
  <c r="D38" i="854" s="1"/>
  <c r="C27" i="853"/>
  <c r="C28" i="853" s="1"/>
  <c r="C29" i="853" s="1"/>
  <c r="C30" i="853" s="1"/>
  <c r="C31" i="853" s="1"/>
  <c r="C32" i="853" s="1"/>
  <c r="C33" i="853" s="1"/>
  <c r="C34" i="853" s="1"/>
  <c r="C35" i="853" s="1"/>
  <c r="C36" i="853" s="1"/>
  <c r="C37" i="853" s="1"/>
  <c r="C38" i="853" s="1"/>
  <c r="D26" i="853"/>
  <c r="D27" i="853" s="1"/>
  <c r="D28" i="853" s="1"/>
  <c r="D29" i="853" s="1"/>
  <c r="D30" i="853" s="1"/>
  <c r="D31" i="853" s="1"/>
  <c r="D32" i="853" s="1"/>
  <c r="D33" i="853" s="1"/>
  <c r="D34" i="853" s="1"/>
  <c r="D35" i="853" s="1"/>
  <c r="D36" i="853" s="1"/>
  <c r="D37" i="853" s="1"/>
  <c r="D38" i="853" s="1"/>
  <c r="C7" i="821"/>
  <c r="M15" i="826"/>
  <c r="F15" i="826"/>
  <c r="C15" i="826"/>
  <c r="C26" i="826" s="1"/>
  <c r="A15" i="826"/>
  <c r="J12" i="826"/>
  <c r="C12" i="826"/>
  <c r="A19" i="826" s="1"/>
  <c r="F10" i="826"/>
  <c r="C10" i="826"/>
  <c r="C8" i="826"/>
  <c r="C7" i="826"/>
  <c r="C6" i="826"/>
  <c r="C5" i="826"/>
  <c r="M15" i="825"/>
  <c r="F15" i="825"/>
  <c r="C15" i="825"/>
  <c r="C26" i="825" s="1"/>
  <c r="A15" i="825"/>
  <c r="J12" i="825"/>
  <c r="C12" i="825"/>
  <c r="A19" i="825" s="1"/>
  <c r="F10" i="825"/>
  <c r="C10" i="825"/>
  <c r="C8" i="825"/>
  <c r="C7" i="825"/>
  <c r="C6" i="825"/>
  <c r="C5" i="825"/>
  <c r="M15" i="824"/>
  <c r="F15" i="824"/>
  <c r="C15" i="824"/>
  <c r="C26" i="824" s="1"/>
  <c r="A15" i="824"/>
  <c r="J12" i="824"/>
  <c r="C12" i="824"/>
  <c r="A19" i="824" s="1"/>
  <c r="F10" i="824"/>
  <c r="C10" i="824"/>
  <c r="C8" i="824"/>
  <c r="C7" i="824"/>
  <c r="C6" i="824"/>
  <c r="C5" i="824"/>
  <c r="M15" i="822"/>
  <c r="F15" i="822"/>
  <c r="C15" i="822"/>
  <c r="C26" i="822" s="1"/>
  <c r="C27" i="822" s="1"/>
  <c r="C28" i="822" s="1"/>
  <c r="C29" i="822" s="1"/>
  <c r="C30" i="822" s="1"/>
  <c r="C31" i="822" s="1"/>
  <c r="C32" i="822" s="1"/>
  <c r="C33" i="822" s="1"/>
  <c r="C34" i="822" s="1"/>
  <c r="C35" i="822" s="1"/>
  <c r="C36" i="822" s="1"/>
  <c r="C37" i="822" s="1"/>
  <c r="C38" i="822" s="1"/>
  <c r="A15" i="822"/>
  <c r="J12" i="822"/>
  <c r="C12" i="822"/>
  <c r="A19" i="822" s="1"/>
  <c r="F10" i="822"/>
  <c r="C10" i="822"/>
  <c r="C8" i="822"/>
  <c r="C7" i="822"/>
  <c r="C6" i="822"/>
  <c r="C5" i="822"/>
  <c r="M15" i="821"/>
  <c r="F15" i="821"/>
  <c r="C15" i="821"/>
  <c r="C26" i="821" s="1"/>
  <c r="C27" i="821" s="1"/>
  <c r="C28" i="821" s="1"/>
  <c r="C29" i="821" s="1"/>
  <c r="C30" i="821" s="1"/>
  <c r="C31" i="821" s="1"/>
  <c r="C32" i="821" s="1"/>
  <c r="C33" i="821" s="1"/>
  <c r="C34" i="821" s="1"/>
  <c r="C35" i="821" s="1"/>
  <c r="C36" i="821" s="1"/>
  <c r="C37" i="821" s="1"/>
  <c r="C38" i="821" s="1"/>
  <c r="A15" i="821"/>
  <c r="J12" i="821"/>
  <c r="C12" i="821"/>
  <c r="A19" i="821" s="1"/>
  <c r="F10" i="821"/>
  <c r="C10" i="821"/>
  <c r="C8" i="821"/>
  <c r="C6" i="821"/>
  <c r="C5" i="821"/>
  <c r="M15" i="820"/>
  <c r="F15" i="820"/>
  <c r="C15" i="820"/>
  <c r="C26" i="820" s="1"/>
  <c r="C27" i="820" s="1"/>
  <c r="C28" i="820" s="1"/>
  <c r="C29" i="820" s="1"/>
  <c r="C30" i="820" s="1"/>
  <c r="C31" i="820" s="1"/>
  <c r="C32" i="820" s="1"/>
  <c r="C33" i="820" s="1"/>
  <c r="C34" i="820" s="1"/>
  <c r="C35" i="820" s="1"/>
  <c r="C36" i="820" s="1"/>
  <c r="C37" i="820" s="1"/>
  <c r="C38" i="820" s="1"/>
  <c r="A15" i="820"/>
  <c r="J12" i="820"/>
  <c r="C12" i="820"/>
  <c r="A19" i="820" s="1"/>
  <c r="F10" i="820"/>
  <c r="C10" i="820"/>
  <c r="C8" i="820"/>
  <c r="C7" i="820"/>
  <c r="C6" i="820"/>
  <c r="C5" i="820"/>
  <c r="M15" i="819"/>
  <c r="F15" i="819"/>
  <c r="C15" i="819"/>
  <c r="C26" i="819" s="1"/>
  <c r="A15" i="819"/>
  <c r="J12" i="819"/>
  <c r="C12" i="819"/>
  <c r="A19" i="819" s="1"/>
  <c r="F10" i="819"/>
  <c r="C10" i="819"/>
  <c r="C8" i="819"/>
  <c r="C7" i="819"/>
  <c r="C6" i="819"/>
  <c r="C5" i="819"/>
  <c r="M15" i="818"/>
  <c r="F15" i="818"/>
  <c r="C15" i="818"/>
  <c r="C26" i="818" s="1"/>
  <c r="A15" i="818"/>
  <c r="J12" i="818"/>
  <c r="C12" i="818"/>
  <c r="A19" i="818" s="1"/>
  <c r="F10" i="818"/>
  <c r="C10" i="818"/>
  <c r="C8" i="818"/>
  <c r="C7" i="818"/>
  <c r="C6" i="818"/>
  <c r="C5" i="818"/>
  <c r="M15" i="817"/>
  <c r="F15" i="817"/>
  <c r="C15" i="817"/>
  <c r="C26" i="817" s="1"/>
  <c r="A15" i="817"/>
  <c r="J12" i="817"/>
  <c r="C12" i="817"/>
  <c r="A19" i="817" s="1"/>
  <c r="F10" i="817"/>
  <c r="C10" i="817"/>
  <c r="C8" i="817"/>
  <c r="C6" i="817"/>
  <c r="C5" i="817"/>
  <c r="M15" i="816"/>
  <c r="F15" i="816"/>
  <c r="C15" i="816"/>
  <c r="C26" i="816" s="1"/>
  <c r="C27" i="816" s="1"/>
  <c r="C28" i="816" s="1"/>
  <c r="C29" i="816" s="1"/>
  <c r="C30" i="816" s="1"/>
  <c r="C31" i="816" s="1"/>
  <c r="C32" i="816" s="1"/>
  <c r="C33" i="816" s="1"/>
  <c r="C34" i="816" s="1"/>
  <c r="C35" i="816" s="1"/>
  <c r="C36" i="816" s="1"/>
  <c r="C37" i="816" s="1"/>
  <c r="C38" i="816" s="1"/>
  <c r="A15" i="816"/>
  <c r="J12" i="816"/>
  <c r="C12" i="816"/>
  <c r="A19" i="816" s="1"/>
  <c r="F10" i="816"/>
  <c r="C10" i="816"/>
  <c r="C8" i="816"/>
  <c r="C7" i="816"/>
  <c r="C6" i="816"/>
  <c r="C5" i="816"/>
  <c r="M15" i="815"/>
  <c r="F15" i="815"/>
  <c r="C15" i="815"/>
  <c r="C26" i="815" s="1"/>
  <c r="A15" i="815"/>
  <c r="J12" i="815"/>
  <c r="C12" i="815"/>
  <c r="A19" i="815" s="1"/>
  <c r="F10" i="815"/>
  <c r="C10" i="815"/>
  <c r="C8" i="815"/>
  <c r="C7" i="815"/>
  <c r="C6" i="815"/>
  <c r="C5" i="815"/>
  <c r="M15" i="814"/>
  <c r="F15" i="814"/>
  <c r="C15" i="814"/>
  <c r="C26" i="814" s="1"/>
  <c r="A15" i="814"/>
  <c r="J12" i="814"/>
  <c r="C12" i="814"/>
  <c r="A19" i="814" s="1"/>
  <c r="F10" i="814"/>
  <c r="C10" i="814"/>
  <c r="C8" i="814"/>
  <c r="C7" i="814"/>
  <c r="C6" i="814"/>
  <c r="C5" i="814"/>
  <c r="M15" i="813"/>
  <c r="F15" i="813"/>
  <c r="C15" i="813"/>
  <c r="C26" i="813" s="1"/>
  <c r="A15" i="813"/>
  <c r="J12" i="813"/>
  <c r="C12" i="813"/>
  <c r="A19" i="813" s="1"/>
  <c r="F10" i="813"/>
  <c r="C10" i="813"/>
  <c r="C8" i="813"/>
  <c r="C7" i="813"/>
  <c r="C6" i="813"/>
  <c r="C5" i="813"/>
  <c r="M15" i="812"/>
  <c r="F15" i="812"/>
  <c r="C15" i="812"/>
  <c r="C26" i="812" s="1"/>
  <c r="A15" i="812"/>
  <c r="J12" i="812"/>
  <c r="C12" i="812"/>
  <c r="A19" i="812" s="1"/>
  <c r="F10" i="812"/>
  <c r="C10" i="812"/>
  <c r="C8" i="812"/>
  <c r="C7" i="812"/>
  <c r="C6" i="812"/>
  <c r="C5" i="812"/>
  <c r="M15" i="811"/>
  <c r="F15" i="811"/>
  <c r="C15" i="811"/>
  <c r="C26" i="811" s="1"/>
  <c r="A15" i="811"/>
  <c r="J12" i="811"/>
  <c r="C12" i="811"/>
  <c r="A19" i="811" s="1"/>
  <c r="F10" i="811"/>
  <c r="C10" i="811"/>
  <c r="C8" i="811"/>
  <c r="C7" i="811"/>
  <c r="C6" i="811"/>
  <c r="C5" i="811"/>
  <c r="M15" i="810"/>
  <c r="F15" i="810"/>
  <c r="C15" i="810"/>
  <c r="C26" i="810" s="1"/>
  <c r="A15" i="810"/>
  <c r="J12" i="810"/>
  <c r="C12" i="810"/>
  <c r="A19" i="810" s="1"/>
  <c r="F10" i="810"/>
  <c r="C10" i="810"/>
  <c r="C8" i="810"/>
  <c r="C7" i="810"/>
  <c r="C6" i="810"/>
  <c r="C5" i="810"/>
  <c r="M15" i="809"/>
  <c r="F15" i="809"/>
  <c r="C15" i="809"/>
  <c r="C26" i="809" s="1"/>
  <c r="A15" i="809"/>
  <c r="J12" i="809"/>
  <c r="C12" i="809"/>
  <c r="A19" i="809" s="1"/>
  <c r="F10" i="809"/>
  <c r="C10" i="809"/>
  <c r="C8" i="809"/>
  <c r="C7" i="809"/>
  <c r="C6" i="809"/>
  <c r="C5" i="809"/>
  <c r="M15" i="808"/>
  <c r="F15" i="808"/>
  <c r="C15" i="808"/>
  <c r="C26" i="808" s="1"/>
  <c r="C27" i="808" s="1"/>
  <c r="C28" i="808" s="1"/>
  <c r="C29" i="808" s="1"/>
  <c r="C30" i="808" s="1"/>
  <c r="C31" i="808" s="1"/>
  <c r="C32" i="808" s="1"/>
  <c r="C33" i="808" s="1"/>
  <c r="C34" i="808" s="1"/>
  <c r="C35" i="808" s="1"/>
  <c r="C36" i="808" s="1"/>
  <c r="C37" i="808" s="1"/>
  <c r="C38" i="808" s="1"/>
  <c r="A15" i="808"/>
  <c r="J12" i="808"/>
  <c r="C12" i="808"/>
  <c r="A19" i="808" s="1"/>
  <c r="F10" i="808"/>
  <c r="C10" i="808"/>
  <c r="C8" i="808"/>
  <c r="C7" i="808"/>
  <c r="C6" i="808"/>
  <c r="C5" i="808"/>
  <c r="M15" i="807"/>
  <c r="F15" i="807"/>
  <c r="C15" i="807"/>
  <c r="C26" i="807" s="1"/>
  <c r="A15" i="807"/>
  <c r="J12" i="807"/>
  <c r="C12" i="807"/>
  <c r="A19" i="807" s="1"/>
  <c r="F10" i="807"/>
  <c r="C10" i="807"/>
  <c r="C8" i="807"/>
  <c r="C7" i="807"/>
  <c r="C6" i="807"/>
  <c r="C5" i="807"/>
  <c r="M15" i="806"/>
  <c r="F15" i="806"/>
  <c r="C15" i="806"/>
  <c r="C26" i="806" s="1"/>
  <c r="A15" i="806"/>
  <c r="J12" i="806"/>
  <c r="C12" i="806"/>
  <c r="A19" i="806" s="1"/>
  <c r="F10" i="806"/>
  <c r="C10" i="806"/>
  <c r="C8" i="806"/>
  <c r="C7" i="806"/>
  <c r="C6" i="806"/>
  <c r="C5" i="806"/>
  <c r="M15" i="805"/>
  <c r="F15" i="805"/>
  <c r="C15" i="805"/>
  <c r="C26" i="805" s="1"/>
  <c r="A15" i="805"/>
  <c r="J12" i="805"/>
  <c r="C12" i="805"/>
  <c r="A19" i="805" s="1"/>
  <c r="F10" i="805"/>
  <c r="C10" i="805"/>
  <c r="C8" i="805"/>
  <c r="C7" i="805"/>
  <c r="C6" i="805"/>
  <c r="C5" i="805"/>
  <c r="M15" i="804"/>
  <c r="F15" i="804"/>
  <c r="C15" i="804"/>
  <c r="C26" i="804" s="1"/>
  <c r="C27" i="804" s="1"/>
  <c r="C28" i="804" s="1"/>
  <c r="C29" i="804" s="1"/>
  <c r="C30" i="804" s="1"/>
  <c r="C31" i="804" s="1"/>
  <c r="C32" i="804" s="1"/>
  <c r="C33" i="804" s="1"/>
  <c r="C34" i="804" s="1"/>
  <c r="C35" i="804" s="1"/>
  <c r="C36" i="804" s="1"/>
  <c r="C37" i="804" s="1"/>
  <c r="C38" i="804" s="1"/>
  <c r="A15" i="804"/>
  <c r="J12" i="804"/>
  <c r="C12" i="804"/>
  <c r="A19" i="804" s="1"/>
  <c r="C10" i="804"/>
  <c r="C8" i="804"/>
  <c r="C7" i="804"/>
  <c r="C6" i="804"/>
  <c r="C5" i="804"/>
  <c r="M15" i="803"/>
  <c r="F15" i="803"/>
  <c r="C15" i="803"/>
  <c r="C26" i="803" s="1"/>
  <c r="A15" i="803"/>
  <c r="J12" i="803"/>
  <c r="C12" i="803"/>
  <c r="A19" i="803" s="1"/>
  <c r="F10" i="803"/>
  <c r="C10" i="803"/>
  <c r="C8" i="803"/>
  <c r="C7" i="803"/>
  <c r="C6" i="803"/>
  <c r="C5" i="803"/>
  <c r="M15" i="802"/>
  <c r="F15" i="802"/>
  <c r="C15" i="802"/>
  <c r="C26" i="802" s="1"/>
  <c r="C27" i="802" s="1"/>
  <c r="C28" i="802" s="1"/>
  <c r="C29" i="802" s="1"/>
  <c r="C30" i="802" s="1"/>
  <c r="C31" i="802" s="1"/>
  <c r="C32" i="802" s="1"/>
  <c r="C33" i="802" s="1"/>
  <c r="C34" i="802" s="1"/>
  <c r="C35" i="802" s="1"/>
  <c r="C36" i="802" s="1"/>
  <c r="C37" i="802" s="1"/>
  <c r="C38" i="802" s="1"/>
  <c r="A15" i="802"/>
  <c r="J12" i="802"/>
  <c r="C12" i="802"/>
  <c r="A19" i="802" s="1"/>
  <c r="F10" i="802"/>
  <c r="C10" i="802"/>
  <c r="C8" i="802"/>
  <c r="C7" i="802"/>
  <c r="C6" i="802"/>
  <c r="C5" i="802"/>
  <c r="M15" i="801"/>
  <c r="F15" i="801"/>
  <c r="C15" i="801"/>
  <c r="C26" i="801" s="1"/>
  <c r="C27" i="801" s="1"/>
  <c r="C28" i="801" s="1"/>
  <c r="C29" i="801" s="1"/>
  <c r="C30" i="801" s="1"/>
  <c r="C31" i="801" s="1"/>
  <c r="C32" i="801" s="1"/>
  <c r="C33" i="801" s="1"/>
  <c r="C34" i="801" s="1"/>
  <c r="C35" i="801" s="1"/>
  <c r="C36" i="801" s="1"/>
  <c r="C37" i="801" s="1"/>
  <c r="C38" i="801" s="1"/>
  <c r="A15" i="801"/>
  <c r="J12" i="801"/>
  <c r="C12" i="801"/>
  <c r="A19" i="801" s="1"/>
  <c r="F10" i="801"/>
  <c r="C10" i="801"/>
  <c r="C8" i="801"/>
  <c r="C7" i="801"/>
  <c r="C6" i="801"/>
  <c r="C5" i="801"/>
  <c r="M15" i="800"/>
  <c r="F15" i="800"/>
  <c r="C15" i="800"/>
  <c r="C26" i="800" s="1"/>
  <c r="C27" i="800" s="1"/>
  <c r="C28" i="800" s="1"/>
  <c r="C29" i="800" s="1"/>
  <c r="C30" i="800" s="1"/>
  <c r="C31" i="800" s="1"/>
  <c r="C32" i="800" s="1"/>
  <c r="C33" i="800" s="1"/>
  <c r="C34" i="800" s="1"/>
  <c r="C35" i="800" s="1"/>
  <c r="C36" i="800" s="1"/>
  <c r="C37" i="800" s="1"/>
  <c r="C38" i="800" s="1"/>
  <c r="A15" i="800"/>
  <c r="J12" i="800"/>
  <c r="C12" i="800"/>
  <c r="A19" i="800" s="1"/>
  <c r="F10" i="800"/>
  <c r="C10" i="800"/>
  <c r="C8" i="800"/>
  <c r="C7" i="800"/>
  <c r="C6" i="800"/>
  <c r="C5" i="800"/>
  <c r="M15" i="799"/>
  <c r="F15" i="799"/>
  <c r="C15" i="799"/>
  <c r="C26" i="799" s="1"/>
  <c r="C27" i="799" s="1"/>
  <c r="C28" i="799" s="1"/>
  <c r="C29" i="799" s="1"/>
  <c r="C30" i="799" s="1"/>
  <c r="C31" i="799" s="1"/>
  <c r="C32" i="799" s="1"/>
  <c r="C33" i="799" s="1"/>
  <c r="C34" i="799" s="1"/>
  <c r="C35" i="799" s="1"/>
  <c r="C36" i="799" s="1"/>
  <c r="C37" i="799" s="1"/>
  <c r="C38" i="799" s="1"/>
  <c r="A15" i="799"/>
  <c r="J12" i="799"/>
  <c r="C12" i="799"/>
  <c r="A19" i="799" s="1"/>
  <c r="F10" i="799"/>
  <c r="C10" i="799"/>
  <c r="C8" i="799"/>
  <c r="C7" i="799"/>
  <c r="C6" i="799"/>
  <c r="C5" i="799"/>
  <c r="M15" i="798"/>
  <c r="F15" i="798"/>
  <c r="C15" i="798"/>
  <c r="C26" i="798" s="1"/>
  <c r="A15" i="798"/>
  <c r="J12" i="798"/>
  <c r="C12" i="798"/>
  <c r="A19" i="798" s="1"/>
  <c r="F10" i="798"/>
  <c r="C10" i="798"/>
  <c r="C8" i="798"/>
  <c r="C7" i="798"/>
  <c r="C6" i="798"/>
  <c r="C5" i="798"/>
  <c r="M15" i="797"/>
  <c r="F15" i="797"/>
  <c r="C15" i="797"/>
  <c r="C26" i="797" s="1"/>
  <c r="D26" i="797" s="1"/>
  <c r="D27" i="797" s="1"/>
  <c r="D28" i="797" s="1"/>
  <c r="D29" i="797" s="1"/>
  <c r="D30" i="797" s="1"/>
  <c r="D31" i="797" s="1"/>
  <c r="D32" i="797" s="1"/>
  <c r="D33" i="797" s="1"/>
  <c r="D34" i="797" s="1"/>
  <c r="D35" i="797" s="1"/>
  <c r="D36" i="797" s="1"/>
  <c r="D37" i="797" s="1"/>
  <c r="D38" i="797" s="1"/>
  <c r="A15" i="797"/>
  <c r="J12" i="797"/>
  <c r="C12" i="797"/>
  <c r="A19" i="797" s="1"/>
  <c r="F10" i="797"/>
  <c r="C10" i="797"/>
  <c r="C8" i="797"/>
  <c r="C7" i="797"/>
  <c r="C6" i="797"/>
  <c r="C5" i="797"/>
  <c r="M15" i="796"/>
  <c r="F15" i="796"/>
  <c r="C15" i="796"/>
  <c r="C26" i="796" s="1"/>
  <c r="A15" i="796"/>
  <c r="J12" i="796"/>
  <c r="C12" i="796"/>
  <c r="A19" i="796" s="1"/>
  <c r="F10" i="796"/>
  <c r="C10" i="796"/>
  <c r="C8" i="796"/>
  <c r="C7" i="796"/>
  <c r="C6" i="796"/>
  <c r="C5" i="796"/>
  <c r="M15" i="795"/>
  <c r="F15" i="795"/>
  <c r="C15" i="795"/>
  <c r="C26" i="795" s="1"/>
  <c r="A15" i="795"/>
  <c r="J12" i="795"/>
  <c r="C12" i="795"/>
  <c r="A19" i="795" s="1"/>
  <c r="F10" i="795"/>
  <c r="C10" i="795"/>
  <c r="C8" i="795"/>
  <c r="C7" i="795"/>
  <c r="C6" i="795"/>
  <c r="C5" i="795"/>
  <c r="M15" i="794"/>
  <c r="F15" i="794"/>
  <c r="C15" i="794"/>
  <c r="C26" i="794" s="1"/>
  <c r="C27" i="794" s="1"/>
  <c r="C28" i="794" s="1"/>
  <c r="C29" i="794" s="1"/>
  <c r="C30" i="794" s="1"/>
  <c r="C31" i="794" s="1"/>
  <c r="C32" i="794" s="1"/>
  <c r="C33" i="794" s="1"/>
  <c r="C34" i="794" s="1"/>
  <c r="C35" i="794" s="1"/>
  <c r="C36" i="794" s="1"/>
  <c r="C37" i="794" s="1"/>
  <c r="C38" i="794" s="1"/>
  <c r="A15" i="794"/>
  <c r="J12" i="794"/>
  <c r="C12" i="794"/>
  <c r="A19" i="794" s="1"/>
  <c r="F10" i="794"/>
  <c r="C10" i="794"/>
  <c r="C8" i="794"/>
  <c r="C7" i="794"/>
  <c r="C6" i="794"/>
  <c r="C5" i="794"/>
  <c r="M15" i="793"/>
  <c r="F15" i="793"/>
  <c r="C15" i="793"/>
  <c r="C26" i="793" s="1"/>
  <c r="C27" i="793" s="1"/>
  <c r="C28" i="793" s="1"/>
  <c r="C29" i="793" s="1"/>
  <c r="C30" i="793" s="1"/>
  <c r="C31" i="793" s="1"/>
  <c r="C32" i="793" s="1"/>
  <c r="C33" i="793" s="1"/>
  <c r="C34" i="793" s="1"/>
  <c r="C35" i="793" s="1"/>
  <c r="C36" i="793" s="1"/>
  <c r="C37" i="793" s="1"/>
  <c r="C38" i="793" s="1"/>
  <c r="A15" i="793"/>
  <c r="J12" i="793"/>
  <c r="C12" i="793"/>
  <c r="A19" i="793" s="1"/>
  <c r="F10" i="793"/>
  <c r="C10" i="793"/>
  <c r="C8" i="793"/>
  <c r="C7" i="793"/>
  <c r="C6" i="793"/>
  <c r="C5" i="793"/>
  <c r="M15" i="792"/>
  <c r="F15" i="792"/>
  <c r="C15" i="792"/>
  <c r="C26" i="792" s="1"/>
  <c r="C27" i="792" s="1"/>
  <c r="C28" i="792" s="1"/>
  <c r="C29" i="792" s="1"/>
  <c r="C30" i="792" s="1"/>
  <c r="C31" i="792" s="1"/>
  <c r="C32" i="792" s="1"/>
  <c r="C33" i="792" s="1"/>
  <c r="C34" i="792" s="1"/>
  <c r="C35" i="792" s="1"/>
  <c r="C36" i="792" s="1"/>
  <c r="C37" i="792" s="1"/>
  <c r="C38" i="792" s="1"/>
  <c r="A15" i="792"/>
  <c r="J12" i="792"/>
  <c r="C12" i="792"/>
  <c r="A19" i="792" s="1"/>
  <c r="F10" i="792"/>
  <c r="C10" i="792"/>
  <c r="C8" i="792"/>
  <c r="C7" i="792"/>
  <c r="C6" i="792"/>
  <c r="C5" i="792"/>
  <c r="M15" i="791"/>
  <c r="F15" i="791"/>
  <c r="C15" i="791"/>
  <c r="C26" i="791" s="1"/>
  <c r="C27" i="791" s="1"/>
  <c r="C28" i="791" s="1"/>
  <c r="C29" i="791" s="1"/>
  <c r="C30" i="791" s="1"/>
  <c r="C31" i="791" s="1"/>
  <c r="C32" i="791" s="1"/>
  <c r="C33" i="791" s="1"/>
  <c r="C34" i="791" s="1"/>
  <c r="C35" i="791" s="1"/>
  <c r="C36" i="791" s="1"/>
  <c r="C37" i="791" s="1"/>
  <c r="C38" i="791" s="1"/>
  <c r="A15" i="791"/>
  <c r="J12" i="791"/>
  <c r="C12" i="791"/>
  <c r="A19" i="791" s="1"/>
  <c r="F10" i="791"/>
  <c r="C10" i="791"/>
  <c r="C8" i="791"/>
  <c r="C7" i="791"/>
  <c r="C6" i="791"/>
  <c r="C5" i="791"/>
  <c r="M15" i="790"/>
  <c r="F15" i="790"/>
  <c r="C15" i="790"/>
  <c r="A15" i="790"/>
  <c r="J12" i="790"/>
  <c r="C12" i="790"/>
  <c r="A19" i="790" s="1"/>
  <c r="F10" i="790"/>
  <c r="C10" i="790"/>
  <c r="C8" i="790"/>
  <c r="C7" i="790"/>
  <c r="C6" i="790"/>
  <c r="C5" i="790"/>
  <c r="M15" i="789"/>
  <c r="F15" i="789"/>
  <c r="C15" i="789"/>
  <c r="C26" i="789" s="1"/>
  <c r="A15" i="789"/>
  <c r="J12" i="789"/>
  <c r="C12" i="789"/>
  <c r="A19" i="789" s="1"/>
  <c r="F10" i="789"/>
  <c r="C10" i="789"/>
  <c r="C8" i="789"/>
  <c r="C7" i="789"/>
  <c r="C6" i="789"/>
  <c r="C5" i="789"/>
  <c r="M15" i="788"/>
  <c r="F15" i="788"/>
  <c r="C15" i="788"/>
  <c r="C26" i="788" s="1"/>
  <c r="A15" i="788"/>
  <c r="J12" i="788"/>
  <c r="C12" i="788"/>
  <c r="A19" i="788" s="1"/>
  <c r="F10" i="788"/>
  <c r="C10" i="788"/>
  <c r="C8" i="788"/>
  <c r="C7" i="788"/>
  <c r="C6" i="788"/>
  <c r="C5" i="788"/>
  <c r="M15" i="787"/>
  <c r="F15" i="787"/>
  <c r="C15" i="787"/>
  <c r="C26" i="787" s="1"/>
  <c r="A15" i="787"/>
  <c r="J12" i="787"/>
  <c r="C12" i="787"/>
  <c r="A19" i="787" s="1"/>
  <c r="F10" i="787"/>
  <c r="C10" i="787"/>
  <c r="C8" i="787"/>
  <c r="C7" i="787"/>
  <c r="C6" i="787"/>
  <c r="C5" i="787"/>
  <c r="M15" i="786"/>
  <c r="F15" i="786"/>
  <c r="C15" i="786"/>
  <c r="C26" i="786" s="1"/>
  <c r="A15" i="786"/>
  <c r="J12" i="786"/>
  <c r="C12" i="786"/>
  <c r="A19" i="786" s="1"/>
  <c r="F10" i="786"/>
  <c r="C10" i="786"/>
  <c r="C8" i="786"/>
  <c r="C7" i="786"/>
  <c r="C6" i="786"/>
  <c r="C5" i="786"/>
  <c r="M15" i="785"/>
  <c r="F15" i="785"/>
  <c r="C15" i="785"/>
  <c r="C26" i="785" s="1"/>
  <c r="A15" i="785"/>
  <c r="J12" i="785"/>
  <c r="C12" i="785"/>
  <c r="A19" i="785" s="1"/>
  <c r="F10" i="785"/>
  <c r="C10" i="785"/>
  <c r="C8" i="785"/>
  <c r="C7" i="785"/>
  <c r="C6" i="785"/>
  <c r="C5" i="785"/>
  <c r="M15" i="784"/>
  <c r="F15" i="784"/>
  <c r="C15" i="784"/>
  <c r="C26" i="784" s="1"/>
  <c r="C27" i="784" s="1"/>
  <c r="C28" i="784" s="1"/>
  <c r="C29" i="784" s="1"/>
  <c r="C30" i="784" s="1"/>
  <c r="C31" i="784" s="1"/>
  <c r="C32" i="784" s="1"/>
  <c r="C33" i="784" s="1"/>
  <c r="C34" i="784" s="1"/>
  <c r="C35" i="784" s="1"/>
  <c r="C36" i="784" s="1"/>
  <c r="C37" i="784" s="1"/>
  <c r="C38" i="784" s="1"/>
  <c r="A15" i="784"/>
  <c r="J12" i="784"/>
  <c r="C12" i="784"/>
  <c r="A19" i="784" s="1"/>
  <c r="F10" i="784"/>
  <c r="C10" i="784"/>
  <c r="C8" i="784"/>
  <c r="C7" i="784"/>
  <c r="C6" i="784"/>
  <c r="C5" i="784"/>
  <c r="M15" i="783"/>
  <c r="F15" i="783"/>
  <c r="C15" i="783"/>
  <c r="C26" i="783" s="1"/>
  <c r="A15" i="783"/>
  <c r="J12" i="783"/>
  <c r="C12" i="783"/>
  <c r="A19" i="783" s="1"/>
  <c r="F10" i="783"/>
  <c r="C10" i="783"/>
  <c r="C8" i="783"/>
  <c r="C7" i="783"/>
  <c r="C6" i="783"/>
  <c r="C5" i="783"/>
  <c r="M15" i="782"/>
  <c r="F15" i="782"/>
  <c r="C15" i="782"/>
  <c r="C26" i="782" s="1"/>
  <c r="A15" i="782"/>
  <c r="J12" i="782"/>
  <c r="C12" i="782"/>
  <c r="A19" i="782" s="1"/>
  <c r="F10" i="782"/>
  <c r="C10" i="782"/>
  <c r="C8" i="782"/>
  <c r="C7" i="782"/>
  <c r="C6" i="782"/>
  <c r="C5" i="782"/>
  <c r="M15" i="781"/>
  <c r="F15" i="781"/>
  <c r="C15" i="781"/>
  <c r="C26" i="781" s="1"/>
  <c r="A15" i="781"/>
  <c r="J12" i="781"/>
  <c r="C12" i="781"/>
  <c r="A19" i="781" s="1"/>
  <c r="F10" i="781"/>
  <c r="C10" i="781"/>
  <c r="C8" i="781"/>
  <c r="C7" i="781"/>
  <c r="C6" i="781"/>
  <c r="C5" i="781"/>
  <c r="M15" i="780"/>
  <c r="F15" i="780"/>
  <c r="C15" i="780"/>
  <c r="C26" i="780" s="1"/>
  <c r="C27" i="780" s="1"/>
  <c r="C28" i="780" s="1"/>
  <c r="C29" i="780" s="1"/>
  <c r="C30" i="780" s="1"/>
  <c r="C31" i="780" s="1"/>
  <c r="C32" i="780" s="1"/>
  <c r="C33" i="780" s="1"/>
  <c r="C34" i="780" s="1"/>
  <c r="C35" i="780" s="1"/>
  <c r="C36" i="780" s="1"/>
  <c r="C37" i="780" s="1"/>
  <c r="C38" i="780" s="1"/>
  <c r="A15" i="780"/>
  <c r="J12" i="780"/>
  <c r="C12" i="780"/>
  <c r="A19" i="780" s="1"/>
  <c r="F10" i="780"/>
  <c r="C10" i="780"/>
  <c r="C8" i="780"/>
  <c r="C7" i="780"/>
  <c r="C6" i="780"/>
  <c r="C5" i="780"/>
  <c r="M15" i="779"/>
  <c r="F15" i="779"/>
  <c r="C15" i="779"/>
  <c r="C26" i="779" s="1"/>
  <c r="A15" i="779"/>
  <c r="J12" i="779"/>
  <c r="C12" i="779"/>
  <c r="A19" i="779" s="1"/>
  <c r="F10" i="779"/>
  <c r="C10" i="779"/>
  <c r="C8" i="779"/>
  <c r="C7" i="779"/>
  <c r="C6" i="779"/>
  <c r="C5" i="779"/>
  <c r="M15" i="778"/>
  <c r="F15" i="778"/>
  <c r="C15" i="778"/>
  <c r="C26" i="778" s="1"/>
  <c r="A15" i="778"/>
  <c r="J12" i="778"/>
  <c r="C12" i="778"/>
  <c r="A19" i="778" s="1"/>
  <c r="F10" i="778"/>
  <c r="C10" i="778"/>
  <c r="C8" i="778"/>
  <c r="C7" i="778"/>
  <c r="C6" i="778"/>
  <c r="C5" i="778"/>
  <c r="M15" i="777"/>
  <c r="F15" i="777"/>
  <c r="C15" i="777"/>
  <c r="C26" i="777" s="1"/>
  <c r="C27" i="777" s="1"/>
  <c r="C28" i="777" s="1"/>
  <c r="C29" i="777" s="1"/>
  <c r="C30" i="777" s="1"/>
  <c r="C31" i="777" s="1"/>
  <c r="C32" i="777" s="1"/>
  <c r="C33" i="777" s="1"/>
  <c r="C34" i="777" s="1"/>
  <c r="C35" i="777" s="1"/>
  <c r="C36" i="777" s="1"/>
  <c r="C37" i="777" s="1"/>
  <c r="C38" i="777" s="1"/>
  <c r="A15" i="777"/>
  <c r="J12" i="777"/>
  <c r="C12" i="777"/>
  <c r="A19" i="777" s="1"/>
  <c r="F10" i="777"/>
  <c r="C10" i="777"/>
  <c r="C8" i="777"/>
  <c r="C7" i="777"/>
  <c r="C6" i="777"/>
  <c r="C5" i="777"/>
  <c r="M15" i="776"/>
  <c r="F15" i="776"/>
  <c r="C15" i="776"/>
  <c r="C26" i="776" s="1"/>
  <c r="A15" i="776"/>
  <c r="J12" i="776"/>
  <c r="C12" i="776"/>
  <c r="A19" i="776" s="1"/>
  <c r="F10" i="776"/>
  <c r="C10" i="776"/>
  <c r="C8" i="776"/>
  <c r="C7" i="776"/>
  <c r="C6" i="776"/>
  <c r="C5" i="776"/>
  <c r="M15" i="775"/>
  <c r="F15" i="775"/>
  <c r="C15" i="775"/>
  <c r="C26" i="775" s="1"/>
  <c r="A15" i="775"/>
  <c r="J12" i="775"/>
  <c r="C12" i="775"/>
  <c r="A19" i="775" s="1"/>
  <c r="F10" i="775"/>
  <c r="C10" i="775"/>
  <c r="C8" i="775"/>
  <c r="C7" i="775"/>
  <c r="C6" i="775"/>
  <c r="C5" i="775"/>
  <c r="M15" i="774"/>
  <c r="F15" i="774"/>
  <c r="C15" i="774"/>
  <c r="C26" i="774" s="1"/>
  <c r="D26" i="774" s="1"/>
  <c r="D27" i="774" s="1"/>
  <c r="D28" i="774" s="1"/>
  <c r="D29" i="774" s="1"/>
  <c r="D30" i="774" s="1"/>
  <c r="D31" i="774" s="1"/>
  <c r="D32" i="774" s="1"/>
  <c r="D33" i="774" s="1"/>
  <c r="D34" i="774" s="1"/>
  <c r="D35" i="774" s="1"/>
  <c r="D36" i="774" s="1"/>
  <c r="D37" i="774" s="1"/>
  <c r="D38" i="774" s="1"/>
  <c r="A15" i="774"/>
  <c r="J12" i="774"/>
  <c r="C12" i="774"/>
  <c r="A19" i="774" s="1"/>
  <c r="F10" i="774"/>
  <c r="C10" i="774"/>
  <c r="C8" i="774"/>
  <c r="C7" i="774"/>
  <c r="C6" i="774"/>
  <c r="C5" i="774"/>
  <c r="M15" i="773"/>
  <c r="F15" i="773"/>
  <c r="C15" i="773"/>
  <c r="C26" i="773" s="1"/>
  <c r="C27" i="773" s="1"/>
  <c r="C28" i="773" s="1"/>
  <c r="C29" i="773" s="1"/>
  <c r="C30" i="773" s="1"/>
  <c r="C31" i="773" s="1"/>
  <c r="C32" i="773" s="1"/>
  <c r="C33" i="773" s="1"/>
  <c r="C34" i="773" s="1"/>
  <c r="C35" i="773" s="1"/>
  <c r="C36" i="773" s="1"/>
  <c r="C37" i="773" s="1"/>
  <c r="C38" i="773" s="1"/>
  <c r="A15" i="773"/>
  <c r="J12" i="773"/>
  <c r="C12" i="773"/>
  <c r="A19" i="773" s="1"/>
  <c r="F10" i="773"/>
  <c r="C10" i="773"/>
  <c r="C8" i="773"/>
  <c r="C7" i="773"/>
  <c r="C6" i="773"/>
  <c r="C5" i="773"/>
  <c r="M15" i="772"/>
  <c r="F15" i="772"/>
  <c r="C15" i="772"/>
  <c r="C26" i="772" s="1"/>
  <c r="A15" i="772"/>
  <c r="J12" i="772"/>
  <c r="C12" i="772"/>
  <c r="A19" i="772" s="1"/>
  <c r="F10" i="772"/>
  <c r="C10" i="772"/>
  <c r="C8" i="772"/>
  <c r="C7" i="772"/>
  <c r="C6" i="772"/>
  <c r="C5" i="772"/>
  <c r="M15" i="771"/>
  <c r="F15" i="771"/>
  <c r="C15" i="771"/>
  <c r="C26" i="771" s="1"/>
  <c r="A15" i="771"/>
  <c r="J12" i="771"/>
  <c r="C12" i="771"/>
  <c r="A19" i="771" s="1"/>
  <c r="F10" i="771"/>
  <c r="C10" i="771"/>
  <c r="C8" i="771"/>
  <c r="C7" i="771"/>
  <c r="C6" i="771"/>
  <c r="C5" i="771"/>
  <c r="M15" i="770"/>
  <c r="F15" i="770"/>
  <c r="C15" i="770"/>
  <c r="C26" i="770" s="1"/>
  <c r="A15" i="770"/>
  <c r="J12" i="770"/>
  <c r="C12" i="770"/>
  <c r="A19" i="770" s="1"/>
  <c r="F10" i="770"/>
  <c r="C10" i="770"/>
  <c r="C8" i="770"/>
  <c r="C7" i="770"/>
  <c r="C6" i="770"/>
  <c r="C5" i="770"/>
  <c r="M15" i="769"/>
  <c r="F15" i="769"/>
  <c r="C15" i="769"/>
  <c r="C26" i="769" s="1"/>
  <c r="A15" i="769"/>
  <c r="J12" i="769"/>
  <c r="A19" i="769"/>
  <c r="F10" i="769"/>
  <c r="C10" i="769"/>
  <c r="C8" i="769"/>
  <c r="C7" i="769"/>
  <c r="C6" i="769"/>
  <c r="C5" i="769"/>
  <c r="M15" i="768"/>
  <c r="F15" i="768"/>
  <c r="C15" i="768"/>
  <c r="C26" i="768" s="1"/>
  <c r="A15" i="768"/>
  <c r="J12" i="768"/>
  <c r="C12" i="768"/>
  <c r="A19" i="768" s="1"/>
  <c r="F10" i="768"/>
  <c r="C10" i="768"/>
  <c r="C8" i="768"/>
  <c r="C7" i="768"/>
  <c r="C6" i="768"/>
  <c r="C5" i="768"/>
  <c r="M15" i="767"/>
  <c r="F15" i="767"/>
  <c r="C15" i="767"/>
  <c r="C26" i="767" s="1"/>
  <c r="A15" i="767"/>
  <c r="J12" i="767"/>
  <c r="A19" i="767"/>
  <c r="F10" i="767"/>
  <c r="C10" i="767"/>
  <c r="C8" i="767"/>
  <c r="C7" i="767"/>
  <c r="C6" i="767"/>
  <c r="C5" i="767"/>
  <c r="M15" i="766"/>
  <c r="F15" i="766"/>
  <c r="C15" i="766"/>
  <c r="C26" i="766" s="1"/>
  <c r="A15" i="766"/>
  <c r="J12" i="766"/>
  <c r="C12" i="766"/>
  <c r="A19" i="766" s="1"/>
  <c r="F10" i="766"/>
  <c r="C10" i="766"/>
  <c r="C8" i="766"/>
  <c r="C7" i="766"/>
  <c r="C6" i="766"/>
  <c r="C5" i="766"/>
  <c r="M15" i="765"/>
  <c r="F15" i="765"/>
  <c r="C15" i="765"/>
  <c r="C26" i="765" s="1"/>
  <c r="A15" i="765"/>
  <c r="J12" i="765"/>
  <c r="C12" i="765"/>
  <c r="A19" i="765" s="1"/>
  <c r="F10" i="765"/>
  <c r="C10" i="765"/>
  <c r="C8" i="765"/>
  <c r="C7" i="765"/>
  <c r="C6" i="765"/>
  <c r="C5" i="765"/>
  <c r="M15" i="764"/>
  <c r="F15" i="764"/>
  <c r="C15" i="764"/>
  <c r="C26" i="764" s="1"/>
  <c r="A15" i="764"/>
  <c r="J12" i="764"/>
  <c r="C12" i="764"/>
  <c r="A19" i="764" s="1"/>
  <c r="F10" i="764"/>
  <c r="C10" i="764"/>
  <c r="C8" i="764"/>
  <c r="C7" i="764"/>
  <c r="C6" i="764"/>
  <c r="C5" i="764"/>
  <c r="M15" i="763"/>
  <c r="F15" i="763"/>
  <c r="C15" i="763"/>
  <c r="C26" i="763" s="1"/>
  <c r="A15" i="763"/>
  <c r="J12" i="763"/>
  <c r="C12" i="763"/>
  <c r="A19" i="763" s="1"/>
  <c r="F10" i="763"/>
  <c r="C10" i="763"/>
  <c r="C8" i="763"/>
  <c r="C7" i="763"/>
  <c r="C6" i="763"/>
  <c r="C5" i="763"/>
  <c r="M15" i="762"/>
  <c r="F15" i="762"/>
  <c r="C15" i="762"/>
  <c r="C26" i="762" s="1"/>
  <c r="A15" i="762"/>
  <c r="J12" i="762"/>
  <c r="C12" i="762"/>
  <c r="A19" i="762" s="1"/>
  <c r="F10" i="762"/>
  <c r="C10" i="762"/>
  <c r="C8" i="762"/>
  <c r="C7" i="762"/>
  <c r="C6" i="762"/>
  <c r="C5" i="762"/>
  <c r="M15" i="761"/>
  <c r="F15" i="761"/>
  <c r="C15" i="761"/>
  <c r="C26" i="761" s="1"/>
  <c r="A15" i="761"/>
  <c r="J12" i="761"/>
  <c r="C12" i="761"/>
  <c r="A19" i="761" s="1"/>
  <c r="F10" i="761"/>
  <c r="C10" i="761"/>
  <c r="C8" i="761"/>
  <c r="C7" i="761"/>
  <c r="C6" i="761"/>
  <c r="C5" i="761"/>
  <c r="M15" i="760"/>
  <c r="F15" i="760"/>
  <c r="C15" i="760"/>
  <c r="C26" i="760" s="1"/>
  <c r="A15" i="760"/>
  <c r="J12" i="760"/>
  <c r="C12" i="760"/>
  <c r="A19" i="760" s="1"/>
  <c r="F10" i="760"/>
  <c r="C10" i="760"/>
  <c r="C8" i="760"/>
  <c r="C7" i="760"/>
  <c r="C6" i="760"/>
  <c r="C5" i="760"/>
  <c r="M15" i="759"/>
  <c r="F15" i="759"/>
  <c r="C15" i="759"/>
  <c r="C26" i="759" s="1"/>
  <c r="C27" i="759" s="1"/>
  <c r="C28" i="759" s="1"/>
  <c r="C29" i="759" s="1"/>
  <c r="C30" i="759" s="1"/>
  <c r="C31" i="759" s="1"/>
  <c r="C32" i="759" s="1"/>
  <c r="C33" i="759" s="1"/>
  <c r="C34" i="759" s="1"/>
  <c r="C35" i="759" s="1"/>
  <c r="C36" i="759" s="1"/>
  <c r="C37" i="759" s="1"/>
  <c r="C38" i="759" s="1"/>
  <c r="A15" i="759"/>
  <c r="J12" i="759"/>
  <c r="C12" i="759"/>
  <c r="A19" i="759" s="1"/>
  <c r="F10" i="759"/>
  <c r="C10" i="759"/>
  <c r="C8" i="759"/>
  <c r="C7" i="759"/>
  <c r="C6" i="759"/>
  <c r="C5" i="759"/>
  <c r="M15" i="758"/>
  <c r="F15" i="758"/>
  <c r="C15" i="758"/>
  <c r="C26" i="758" s="1"/>
  <c r="D26" i="758" s="1"/>
  <c r="D27" i="758" s="1"/>
  <c r="D28" i="758" s="1"/>
  <c r="D29" i="758" s="1"/>
  <c r="D30" i="758" s="1"/>
  <c r="D31" i="758" s="1"/>
  <c r="D32" i="758" s="1"/>
  <c r="D33" i="758" s="1"/>
  <c r="D34" i="758" s="1"/>
  <c r="D35" i="758" s="1"/>
  <c r="D36" i="758" s="1"/>
  <c r="D37" i="758" s="1"/>
  <c r="D38" i="758" s="1"/>
  <c r="A15" i="758"/>
  <c r="J12" i="758"/>
  <c r="C12" i="758"/>
  <c r="A19" i="758" s="1"/>
  <c r="F10" i="758"/>
  <c r="C10" i="758"/>
  <c r="C8" i="758"/>
  <c r="C7" i="758"/>
  <c r="C6" i="758"/>
  <c r="C5" i="758"/>
  <c r="M15" i="757"/>
  <c r="F15" i="757"/>
  <c r="C15" i="757"/>
  <c r="C26" i="757" s="1"/>
  <c r="A15" i="757"/>
  <c r="J12" i="757"/>
  <c r="C12" i="757"/>
  <c r="A19" i="757" s="1"/>
  <c r="F10" i="757"/>
  <c r="C10" i="757"/>
  <c r="C8" i="757"/>
  <c r="C7" i="757"/>
  <c r="C6" i="757"/>
  <c r="C5" i="757"/>
  <c r="M15" i="756"/>
  <c r="F15" i="756"/>
  <c r="C15" i="756"/>
  <c r="C26" i="756" s="1"/>
  <c r="A15" i="756"/>
  <c r="J12" i="756"/>
  <c r="C12" i="756"/>
  <c r="A19" i="756" s="1"/>
  <c r="F10" i="756"/>
  <c r="C10" i="756"/>
  <c r="C8" i="756"/>
  <c r="C5" i="756"/>
  <c r="M15" i="755"/>
  <c r="F15" i="755"/>
  <c r="C15" i="755"/>
  <c r="C26" i="755" s="1"/>
  <c r="A15" i="755"/>
  <c r="J12" i="755"/>
  <c r="C12" i="755"/>
  <c r="A19" i="755" s="1"/>
  <c r="F10" i="755"/>
  <c r="C10" i="755"/>
  <c r="C8" i="755"/>
  <c r="C7" i="755"/>
  <c r="C6" i="755"/>
  <c r="C5" i="755"/>
  <c r="M15" i="754"/>
  <c r="F15" i="754"/>
  <c r="C15" i="754"/>
  <c r="C26" i="754" s="1"/>
  <c r="D26" i="754" s="1"/>
  <c r="D27" i="754" s="1"/>
  <c r="D28" i="754" s="1"/>
  <c r="D29" i="754" s="1"/>
  <c r="D30" i="754" s="1"/>
  <c r="D31" i="754" s="1"/>
  <c r="D32" i="754" s="1"/>
  <c r="D33" i="754" s="1"/>
  <c r="D34" i="754" s="1"/>
  <c r="D35" i="754" s="1"/>
  <c r="D36" i="754" s="1"/>
  <c r="D37" i="754" s="1"/>
  <c r="D38" i="754" s="1"/>
  <c r="A15" i="754"/>
  <c r="J12" i="754"/>
  <c r="C12" i="754"/>
  <c r="A19" i="754" s="1"/>
  <c r="F10" i="754"/>
  <c r="C10" i="754"/>
  <c r="C8" i="754"/>
  <c r="C7" i="754"/>
  <c r="C6" i="754"/>
  <c r="C5" i="754"/>
  <c r="M15" i="753"/>
  <c r="F15" i="753"/>
  <c r="C15" i="753"/>
  <c r="C26" i="753" s="1"/>
  <c r="D26" i="753" s="1"/>
  <c r="D27" i="753" s="1"/>
  <c r="D28" i="753" s="1"/>
  <c r="D29" i="753" s="1"/>
  <c r="D30" i="753" s="1"/>
  <c r="D31" i="753" s="1"/>
  <c r="D32" i="753" s="1"/>
  <c r="D33" i="753" s="1"/>
  <c r="D34" i="753" s="1"/>
  <c r="D35" i="753" s="1"/>
  <c r="D36" i="753" s="1"/>
  <c r="D37" i="753" s="1"/>
  <c r="D38" i="753" s="1"/>
  <c r="A15" i="753"/>
  <c r="J12" i="753"/>
  <c r="C12" i="753"/>
  <c r="A19" i="753" s="1"/>
  <c r="F10" i="753"/>
  <c r="C10" i="753"/>
  <c r="C8" i="753"/>
  <c r="C7" i="753"/>
  <c r="C6" i="753"/>
  <c r="C5" i="753"/>
  <c r="M15" i="752"/>
  <c r="F15" i="752"/>
  <c r="C15" i="752"/>
  <c r="C26" i="752" s="1"/>
  <c r="C27" i="752" s="1"/>
  <c r="C28" i="752" s="1"/>
  <c r="C29" i="752" s="1"/>
  <c r="C30" i="752" s="1"/>
  <c r="C31" i="752" s="1"/>
  <c r="C32" i="752" s="1"/>
  <c r="C33" i="752" s="1"/>
  <c r="C34" i="752" s="1"/>
  <c r="C35" i="752" s="1"/>
  <c r="C36" i="752" s="1"/>
  <c r="C37" i="752" s="1"/>
  <c r="C38" i="752" s="1"/>
  <c r="A15" i="752"/>
  <c r="J12" i="752"/>
  <c r="C12" i="752"/>
  <c r="A19" i="752" s="1"/>
  <c r="F10" i="752"/>
  <c r="C10" i="752"/>
  <c r="C8" i="752"/>
  <c r="C7" i="752"/>
  <c r="C6" i="752"/>
  <c r="C5" i="752"/>
  <c r="M15" i="751"/>
  <c r="F15" i="751"/>
  <c r="C15" i="751"/>
  <c r="C26" i="751" s="1"/>
  <c r="C27" i="751" s="1"/>
  <c r="C28" i="751" s="1"/>
  <c r="C29" i="751" s="1"/>
  <c r="C30" i="751" s="1"/>
  <c r="C31" i="751" s="1"/>
  <c r="C32" i="751" s="1"/>
  <c r="C33" i="751" s="1"/>
  <c r="C34" i="751" s="1"/>
  <c r="C35" i="751" s="1"/>
  <c r="C36" i="751" s="1"/>
  <c r="C37" i="751" s="1"/>
  <c r="C38" i="751" s="1"/>
  <c r="A15" i="751"/>
  <c r="J12" i="751"/>
  <c r="C12" i="751"/>
  <c r="A19" i="751" s="1"/>
  <c r="F10" i="751"/>
  <c r="C10" i="751"/>
  <c r="C8" i="751"/>
  <c r="C7" i="751"/>
  <c r="C6" i="751"/>
  <c r="C5" i="751"/>
  <c r="M15" i="750"/>
  <c r="F15" i="750"/>
  <c r="C15" i="750"/>
  <c r="C26" i="750" s="1"/>
  <c r="A15" i="750"/>
  <c r="J12" i="750"/>
  <c r="C12" i="750"/>
  <c r="A19" i="750" s="1"/>
  <c r="F10" i="750"/>
  <c r="C10" i="750"/>
  <c r="C8" i="750"/>
  <c r="C7" i="750"/>
  <c r="C6" i="750"/>
  <c r="C5" i="750"/>
  <c r="M15" i="749"/>
  <c r="F15" i="749"/>
  <c r="C15" i="749"/>
  <c r="C26" i="749" s="1"/>
  <c r="A15" i="749"/>
  <c r="J12" i="749"/>
  <c r="C12" i="749"/>
  <c r="A19" i="749" s="1"/>
  <c r="F10" i="749"/>
  <c r="C10" i="749"/>
  <c r="C8" i="749"/>
  <c r="C7" i="749"/>
  <c r="C6" i="749"/>
  <c r="C5" i="749"/>
  <c r="M15" i="748"/>
  <c r="F15" i="748"/>
  <c r="C15" i="748"/>
  <c r="C26" i="748" s="1"/>
  <c r="A15" i="748"/>
  <c r="J12" i="748"/>
  <c r="C12" i="748"/>
  <c r="A19" i="748" s="1"/>
  <c r="F10" i="748"/>
  <c r="C10" i="748"/>
  <c r="C8" i="748"/>
  <c r="C7" i="748"/>
  <c r="C6" i="748"/>
  <c r="C5" i="748"/>
  <c r="M15" i="747"/>
  <c r="F15" i="747"/>
  <c r="C15" i="747"/>
  <c r="C26" i="747" s="1"/>
  <c r="A15" i="747"/>
  <c r="J12" i="747"/>
  <c r="C12" i="747"/>
  <c r="A19" i="747" s="1"/>
  <c r="F10" i="747"/>
  <c r="C10" i="747"/>
  <c r="C8" i="747"/>
  <c r="C7" i="747"/>
  <c r="C6" i="747"/>
  <c r="C5" i="747"/>
  <c r="M15" i="746"/>
  <c r="F15" i="746"/>
  <c r="C15" i="746"/>
  <c r="C26" i="746" s="1"/>
  <c r="A15" i="746"/>
  <c r="J12" i="746"/>
  <c r="C12" i="746"/>
  <c r="A19" i="746" s="1"/>
  <c r="F10" i="746"/>
  <c r="C10" i="746"/>
  <c r="C8" i="746"/>
  <c r="C7" i="746"/>
  <c r="C6" i="746"/>
  <c r="C5" i="746"/>
  <c r="M15" i="745"/>
  <c r="F15" i="745"/>
  <c r="C15" i="745"/>
  <c r="C26" i="745" s="1"/>
  <c r="A15" i="745"/>
  <c r="J12" i="745"/>
  <c r="C12" i="745"/>
  <c r="A19" i="745" s="1"/>
  <c r="F10" i="745"/>
  <c r="C10" i="745"/>
  <c r="C8" i="745"/>
  <c r="C7" i="745"/>
  <c r="C6" i="745"/>
  <c r="C5" i="745"/>
  <c r="M15" i="744"/>
  <c r="F15" i="744"/>
  <c r="C15" i="744"/>
  <c r="C26" i="744" s="1"/>
  <c r="A15" i="744"/>
  <c r="J12" i="744"/>
  <c r="C12" i="744"/>
  <c r="A19" i="744" s="1"/>
  <c r="F10" i="744"/>
  <c r="C10" i="744"/>
  <c r="C8" i="744"/>
  <c r="C7" i="744"/>
  <c r="C6" i="744"/>
  <c r="C5" i="744"/>
  <c r="M15" i="743"/>
  <c r="F15" i="743"/>
  <c r="C15" i="743"/>
  <c r="C26" i="743" s="1"/>
  <c r="A15" i="743"/>
  <c r="J12" i="743"/>
  <c r="C12" i="743"/>
  <c r="A19" i="743" s="1"/>
  <c r="F10" i="743"/>
  <c r="C10" i="743"/>
  <c r="C8" i="743"/>
  <c r="C7" i="743"/>
  <c r="C6" i="743"/>
  <c r="C5" i="743"/>
  <c r="M15" i="742"/>
  <c r="F15" i="742"/>
  <c r="C15" i="742"/>
  <c r="C26" i="742" s="1"/>
  <c r="A15" i="742"/>
  <c r="J12" i="742"/>
  <c r="C12" i="742"/>
  <c r="A19" i="742" s="1"/>
  <c r="F10" i="742"/>
  <c r="C10" i="742"/>
  <c r="C8" i="742"/>
  <c r="C7" i="742"/>
  <c r="C6" i="742"/>
  <c r="C5" i="742"/>
  <c r="M15" i="741"/>
  <c r="F15" i="741"/>
  <c r="C15" i="741"/>
  <c r="C26" i="741" s="1"/>
  <c r="A15" i="741"/>
  <c r="J12" i="741"/>
  <c r="C12" i="741"/>
  <c r="A19" i="741" s="1"/>
  <c r="F10" i="741"/>
  <c r="C8" i="741"/>
  <c r="C7" i="741"/>
  <c r="C6" i="741"/>
  <c r="C5" i="741"/>
  <c r="M15" i="740"/>
  <c r="F15" i="740"/>
  <c r="C15" i="740"/>
  <c r="C26" i="740" s="1"/>
  <c r="A15" i="740"/>
  <c r="J12" i="740"/>
  <c r="C12" i="740"/>
  <c r="A19" i="740" s="1"/>
  <c r="F10" i="740"/>
  <c r="C10" i="740"/>
  <c r="C8" i="740"/>
  <c r="C7" i="740"/>
  <c r="C6" i="740"/>
  <c r="C5" i="740"/>
  <c r="M15" i="739"/>
  <c r="F15" i="739"/>
  <c r="C15" i="739"/>
  <c r="C26" i="739" s="1"/>
  <c r="A15" i="739"/>
  <c r="J12" i="739"/>
  <c r="C12" i="739"/>
  <c r="A19" i="739" s="1"/>
  <c r="F10" i="739"/>
  <c r="C10" i="739"/>
  <c r="C8" i="739"/>
  <c r="C7" i="739"/>
  <c r="C6" i="739"/>
  <c r="C5" i="739"/>
  <c r="M15" i="738"/>
  <c r="F15" i="738"/>
  <c r="C15" i="738"/>
  <c r="C26" i="738" s="1"/>
  <c r="A15" i="738"/>
  <c r="J12" i="738"/>
  <c r="C12" i="738"/>
  <c r="A19" i="738" s="1"/>
  <c r="F10" i="738"/>
  <c r="C10" i="738"/>
  <c r="C8" i="738"/>
  <c r="C7" i="738"/>
  <c r="C6" i="738"/>
  <c r="C5" i="738"/>
  <c r="M15" i="737"/>
  <c r="F15" i="737"/>
  <c r="C15" i="737"/>
  <c r="C26" i="737" s="1"/>
  <c r="A15" i="737"/>
  <c r="J12" i="737"/>
  <c r="C12" i="737"/>
  <c r="A19" i="737" s="1"/>
  <c r="F10" i="737"/>
  <c r="C10" i="737"/>
  <c r="C8" i="737"/>
  <c r="C7" i="737"/>
  <c r="C6" i="737"/>
  <c r="C5" i="737"/>
  <c r="M15" i="735"/>
  <c r="F15" i="735"/>
  <c r="C15" i="735"/>
  <c r="C26" i="735" s="1"/>
  <c r="A15" i="735"/>
  <c r="J12" i="735"/>
  <c r="C12" i="735"/>
  <c r="A19" i="735" s="1"/>
  <c r="F10" i="735"/>
  <c r="C10" i="735"/>
  <c r="C8" i="735"/>
  <c r="C7" i="735"/>
  <c r="C6" i="735"/>
  <c r="C5" i="735"/>
  <c r="M15" i="734"/>
  <c r="F15" i="734"/>
  <c r="C15" i="734"/>
  <c r="C26" i="734" s="1"/>
  <c r="A15" i="734"/>
  <c r="J12" i="734"/>
  <c r="C12" i="734"/>
  <c r="A19" i="734" s="1"/>
  <c r="F10" i="734"/>
  <c r="C10" i="734"/>
  <c r="C8" i="734"/>
  <c r="C7" i="734"/>
  <c r="C6" i="734"/>
  <c r="C5" i="734"/>
  <c r="M15" i="733"/>
  <c r="F15" i="733"/>
  <c r="C15" i="733"/>
  <c r="C26" i="733" s="1"/>
  <c r="A15" i="733"/>
  <c r="J12" i="733"/>
  <c r="C12" i="733"/>
  <c r="A19" i="733" s="1"/>
  <c r="F10" i="733"/>
  <c r="C10" i="733"/>
  <c r="C8" i="733"/>
  <c r="C7" i="733"/>
  <c r="C6" i="733"/>
  <c r="C5" i="733"/>
  <c r="M15" i="732"/>
  <c r="F15" i="732"/>
  <c r="C15" i="732"/>
  <c r="C26" i="732" s="1"/>
  <c r="A15" i="732"/>
  <c r="J12" i="732"/>
  <c r="C12" i="732"/>
  <c r="A19" i="732" s="1"/>
  <c r="F10" i="732"/>
  <c r="C10" i="732"/>
  <c r="C8" i="732"/>
  <c r="C7" i="732"/>
  <c r="C6" i="732"/>
  <c r="C5" i="732"/>
  <c r="M15" i="731"/>
  <c r="F15" i="731"/>
  <c r="C15" i="731"/>
  <c r="C26" i="731" s="1"/>
  <c r="A15" i="731"/>
  <c r="J12" i="731"/>
  <c r="C12" i="731"/>
  <c r="A19" i="731" s="1"/>
  <c r="F10" i="731"/>
  <c r="C10" i="731"/>
  <c r="C8" i="731"/>
  <c r="C7" i="731"/>
  <c r="C6" i="731"/>
  <c r="C5" i="731"/>
  <c r="M15" i="730"/>
  <c r="F15" i="730"/>
  <c r="C15" i="730"/>
  <c r="C26" i="730" s="1"/>
  <c r="A15" i="730"/>
  <c r="J12" i="730"/>
  <c r="C12" i="730"/>
  <c r="A19" i="730" s="1"/>
  <c r="F10" i="730"/>
  <c r="C10" i="730"/>
  <c r="C8" i="730"/>
  <c r="C7" i="730"/>
  <c r="C6" i="730"/>
  <c r="C5" i="730"/>
  <c r="M15" i="729"/>
  <c r="F15" i="729"/>
  <c r="C15" i="729"/>
  <c r="C26" i="729" s="1"/>
  <c r="A15" i="729"/>
  <c r="J12" i="729"/>
  <c r="C12" i="729"/>
  <c r="A19" i="729" s="1"/>
  <c r="F10" i="729"/>
  <c r="C10" i="729"/>
  <c r="C8" i="729"/>
  <c r="C7" i="729"/>
  <c r="C6" i="729"/>
  <c r="C5" i="729"/>
  <c r="M15" i="728"/>
  <c r="F15" i="728"/>
  <c r="C15" i="728"/>
  <c r="C26" i="728" s="1"/>
  <c r="A15" i="728"/>
  <c r="J12" i="728"/>
  <c r="C12" i="728"/>
  <c r="A19" i="728" s="1"/>
  <c r="F10" i="728"/>
  <c r="C10" i="728"/>
  <c r="C8" i="728"/>
  <c r="C7" i="728"/>
  <c r="C6" i="728"/>
  <c r="C5" i="728"/>
  <c r="M15" i="727"/>
  <c r="F15" i="727"/>
  <c r="C15" i="727"/>
  <c r="C26" i="727" s="1"/>
  <c r="A15" i="727"/>
  <c r="J12" i="727"/>
  <c r="C12" i="727"/>
  <c r="A19" i="727" s="1"/>
  <c r="F10" i="727"/>
  <c r="C10" i="727"/>
  <c r="C8" i="727"/>
  <c r="C7" i="727"/>
  <c r="C6" i="727"/>
  <c r="C5" i="727"/>
  <c r="M15" i="726"/>
  <c r="F15" i="726"/>
  <c r="C15" i="726"/>
  <c r="C26" i="726" s="1"/>
  <c r="A15" i="726"/>
  <c r="J12" i="726"/>
  <c r="C12" i="726"/>
  <c r="A19" i="726" s="1"/>
  <c r="F10" i="726"/>
  <c r="C10" i="726"/>
  <c r="C8" i="726"/>
  <c r="C7" i="726"/>
  <c r="C6" i="726"/>
  <c r="C5" i="726"/>
  <c r="M15" i="725"/>
  <c r="F15" i="725"/>
  <c r="C15" i="725"/>
  <c r="C26" i="725" s="1"/>
  <c r="A15" i="725"/>
  <c r="J12" i="725"/>
  <c r="C12" i="725"/>
  <c r="A19" i="725" s="1"/>
  <c r="F10" i="725"/>
  <c r="C10" i="725"/>
  <c r="C8" i="725"/>
  <c r="C7" i="725"/>
  <c r="C6" i="725"/>
  <c r="C5" i="725"/>
  <c r="M15" i="724"/>
  <c r="F15" i="724"/>
  <c r="C15" i="724"/>
  <c r="C26" i="724" s="1"/>
  <c r="A15" i="724"/>
  <c r="J12" i="724"/>
  <c r="C12" i="724"/>
  <c r="A19" i="724" s="1"/>
  <c r="C10" i="724"/>
  <c r="C8" i="724"/>
  <c r="C7" i="724"/>
  <c r="C6" i="724"/>
  <c r="C5" i="724"/>
  <c r="M15" i="723"/>
  <c r="F15" i="723"/>
  <c r="C15" i="723"/>
  <c r="C26" i="723" s="1"/>
  <c r="A15" i="723"/>
  <c r="J12" i="723"/>
  <c r="C12" i="723"/>
  <c r="A19" i="723" s="1"/>
  <c r="F10" i="723"/>
  <c r="C10" i="723"/>
  <c r="C8" i="723"/>
  <c r="C7" i="723"/>
  <c r="C6" i="723"/>
  <c r="C5" i="723"/>
  <c r="M15" i="722"/>
  <c r="F15" i="722"/>
  <c r="C15" i="722"/>
  <c r="C26" i="722" s="1"/>
  <c r="A15" i="722"/>
  <c r="J12" i="722"/>
  <c r="C12" i="722"/>
  <c r="A19" i="722" s="1"/>
  <c r="F10" i="722"/>
  <c r="C10" i="722"/>
  <c r="C8" i="722"/>
  <c r="C7" i="722"/>
  <c r="C5" i="722"/>
  <c r="M15" i="721"/>
  <c r="F15" i="721"/>
  <c r="C15" i="721"/>
  <c r="C26" i="721" s="1"/>
  <c r="A15" i="721"/>
  <c r="J12" i="721"/>
  <c r="C12" i="721"/>
  <c r="A19" i="721" s="1"/>
  <c r="F10" i="721"/>
  <c r="C10" i="721"/>
  <c r="C8" i="721"/>
  <c r="C7" i="721"/>
  <c r="C6" i="721"/>
  <c r="C5" i="721"/>
  <c r="M15" i="720"/>
  <c r="F15" i="720"/>
  <c r="C15" i="720"/>
  <c r="C26" i="720" s="1"/>
  <c r="C27" i="720" s="1"/>
  <c r="C28" i="720" s="1"/>
  <c r="C29" i="720" s="1"/>
  <c r="C30" i="720" s="1"/>
  <c r="C31" i="720" s="1"/>
  <c r="C32" i="720" s="1"/>
  <c r="C33" i="720" s="1"/>
  <c r="C34" i="720" s="1"/>
  <c r="C35" i="720" s="1"/>
  <c r="C36" i="720" s="1"/>
  <c r="C37" i="720" s="1"/>
  <c r="C38" i="720" s="1"/>
  <c r="A15" i="720"/>
  <c r="J12" i="720"/>
  <c r="C12" i="720"/>
  <c r="A19" i="720" s="1"/>
  <c r="F10" i="720"/>
  <c r="C10" i="720"/>
  <c r="C8" i="720"/>
  <c r="C7" i="720"/>
  <c r="C6" i="720"/>
  <c r="C5" i="720"/>
  <c r="M15" i="719"/>
  <c r="F15" i="719"/>
  <c r="C15" i="719"/>
  <c r="C26" i="719" s="1"/>
  <c r="A15" i="719"/>
  <c r="J12" i="719"/>
  <c r="C12" i="719"/>
  <c r="A19" i="719" s="1"/>
  <c r="F10" i="719"/>
  <c r="C10" i="719"/>
  <c r="C8" i="719"/>
  <c r="C7" i="719"/>
  <c r="C6" i="719"/>
  <c r="C5" i="719"/>
  <c r="M15" i="718"/>
  <c r="F15" i="718"/>
  <c r="C15" i="718"/>
  <c r="C26" i="718" s="1"/>
  <c r="A15" i="718"/>
  <c r="J12" i="718"/>
  <c r="C12" i="718"/>
  <c r="A19" i="718" s="1"/>
  <c r="F10" i="718"/>
  <c r="C10" i="718"/>
  <c r="C8" i="718"/>
  <c r="C7" i="718"/>
  <c r="C6" i="718"/>
  <c r="C5" i="718"/>
  <c r="M15" i="717"/>
  <c r="F15" i="717"/>
  <c r="C15" i="717"/>
  <c r="C26" i="717" s="1"/>
  <c r="A15" i="717"/>
  <c r="J12" i="717"/>
  <c r="C12" i="717"/>
  <c r="A19" i="717" s="1"/>
  <c r="F10" i="717"/>
  <c r="C10" i="717"/>
  <c r="C8" i="717"/>
  <c r="C7" i="717"/>
  <c r="C6" i="717"/>
  <c r="C5" i="717"/>
  <c r="M15" i="716"/>
  <c r="F15" i="716"/>
  <c r="C15" i="716"/>
  <c r="C26" i="716" s="1"/>
  <c r="A15" i="716"/>
  <c r="J12" i="716"/>
  <c r="C12" i="716"/>
  <c r="A19" i="716" s="1"/>
  <c r="F10" i="716"/>
  <c r="C10" i="716"/>
  <c r="C8" i="716"/>
  <c r="C7" i="716"/>
  <c r="C6" i="716"/>
  <c r="C5" i="716"/>
  <c r="M15" i="715"/>
  <c r="F15" i="715"/>
  <c r="C15" i="715"/>
  <c r="C26" i="715" s="1"/>
  <c r="A15" i="715"/>
  <c r="J12" i="715"/>
  <c r="C12" i="715"/>
  <c r="A19" i="715" s="1"/>
  <c r="F10" i="715"/>
  <c r="C10" i="715"/>
  <c r="C8" i="715"/>
  <c r="C7" i="715"/>
  <c r="C6" i="715"/>
  <c r="C5" i="715"/>
  <c r="M15" i="714"/>
  <c r="F15" i="714"/>
  <c r="C15" i="714"/>
  <c r="C26" i="714" s="1"/>
  <c r="A15" i="714"/>
  <c r="C12" i="714"/>
  <c r="A19" i="714" s="1"/>
  <c r="F10" i="714"/>
  <c r="C10" i="714"/>
  <c r="C8" i="714"/>
  <c r="C7" i="714"/>
  <c r="C6" i="714"/>
  <c r="C5" i="714"/>
  <c r="M15" i="713"/>
  <c r="F15" i="713"/>
  <c r="C15" i="713"/>
  <c r="C26" i="713" s="1"/>
  <c r="A15" i="713"/>
  <c r="J12" i="713"/>
  <c r="C12" i="713"/>
  <c r="A19" i="713" s="1"/>
  <c r="F10" i="713"/>
  <c r="C10" i="713"/>
  <c r="C8" i="713"/>
  <c r="C7" i="713"/>
  <c r="C6" i="713"/>
  <c r="C5" i="713"/>
  <c r="M15" i="712"/>
  <c r="F15" i="712"/>
  <c r="C15" i="712"/>
  <c r="C26" i="712" s="1"/>
  <c r="A15" i="712"/>
  <c r="J12" i="712"/>
  <c r="C12" i="712"/>
  <c r="A19" i="712" s="1"/>
  <c r="F10" i="712"/>
  <c r="C10" i="712"/>
  <c r="C8" i="712"/>
  <c r="C7" i="712"/>
  <c r="C6" i="712"/>
  <c r="C5" i="712"/>
  <c r="M15" i="711"/>
  <c r="F15" i="711"/>
  <c r="C15" i="711"/>
  <c r="C26" i="711" s="1"/>
  <c r="A15" i="711"/>
  <c r="J12" i="711"/>
  <c r="C12" i="711"/>
  <c r="A19" i="711" s="1"/>
  <c r="F10" i="711"/>
  <c r="C10" i="711"/>
  <c r="C8" i="711"/>
  <c r="C7" i="711"/>
  <c r="C6" i="711"/>
  <c r="C5" i="711"/>
  <c r="M15" i="710"/>
  <c r="F15" i="710"/>
  <c r="C15" i="710"/>
  <c r="C26" i="710" s="1"/>
  <c r="A15" i="710"/>
  <c r="J12" i="710"/>
  <c r="C12" i="710"/>
  <c r="A19" i="710" s="1"/>
  <c r="F10" i="710"/>
  <c r="C10" i="710"/>
  <c r="C8" i="710"/>
  <c r="C7" i="710"/>
  <c r="C6" i="710"/>
  <c r="C5" i="710"/>
  <c r="M15" i="709"/>
  <c r="F15" i="709"/>
  <c r="C15" i="709"/>
  <c r="C26" i="709" s="1"/>
  <c r="A15" i="709"/>
  <c r="J12" i="709"/>
  <c r="C12" i="709"/>
  <c r="A19" i="709" s="1"/>
  <c r="F10" i="709"/>
  <c r="C10" i="709"/>
  <c r="C8" i="709"/>
  <c r="C7" i="709"/>
  <c r="C6" i="709"/>
  <c r="C5" i="709"/>
  <c r="M15" i="707"/>
  <c r="F15" i="707"/>
  <c r="C15" i="707"/>
  <c r="C26" i="707" s="1"/>
  <c r="A15" i="707"/>
  <c r="J12" i="707"/>
  <c r="C12" i="707"/>
  <c r="A19" i="707" s="1"/>
  <c r="F10" i="707"/>
  <c r="C10" i="707"/>
  <c r="C8" i="707"/>
  <c r="C7" i="707"/>
  <c r="C6" i="707"/>
  <c r="C5" i="707"/>
  <c r="M15" i="706"/>
  <c r="F15" i="706"/>
  <c r="C15" i="706"/>
  <c r="C26" i="706" s="1"/>
  <c r="A15" i="706"/>
  <c r="J12" i="706"/>
  <c r="C12" i="706"/>
  <c r="A19" i="706" s="1"/>
  <c r="F10" i="706"/>
  <c r="C10" i="706"/>
  <c r="C8" i="706"/>
  <c r="C7" i="706"/>
  <c r="C6" i="706"/>
  <c r="C5" i="706"/>
  <c r="M15" i="705"/>
  <c r="F15" i="705"/>
  <c r="C15" i="705"/>
  <c r="C26" i="705" s="1"/>
  <c r="A15" i="705"/>
  <c r="J12" i="705"/>
  <c r="C12" i="705"/>
  <c r="A19" i="705" s="1"/>
  <c r="F10" i="705"/>
  <c r="C10" i="705"/>
  <c r="C8" i="705"/>
  <c r="C7" i="705"/>
  <c r="C6" i="705"/>
  <c r="C5" i="705"/>
  <c r="F10" i="665"/>
  <c r="J12" i="665"/>
  <c r="C26" i="790" l="1"/>
  <c r="C27" i="790" s="1"/>
  <c r="C28" i="790" s="1"/>
  <c r="C29" i="790" s="1"/>
  <c r="C30" i="790" s="1"/>
  <c r="C31" i="790" s="1"/>
  <c r="C32" i="790" s="1"/>
  <c r="C33" i="790" s="1"/>
  <c r="C34" i="790" s="1"/>
  <c r="C35" i="790" s="1"/>
  <c r="C36" i="790" s="1"/>
  <c r="C37" i="790" s="1"/>
  <c r="C38" i="790" s="1"/>
  <c r="C27" i="826"/>
  <c r="C28" i="826" s="1"/>
  <c r="C29" i="826" s="1"/>
  <c r="C30" i="826" s="1"/>
  <c r="C31" i="826" s="1"/>
  <c r="C32" i="826" s="1"/>
  <c r="C33" i="826" s="1"/>
  <c r="C34" i="826" s="1"/>
  <c r="C35" i="826" s="1"/>
  <c r="C36" i="826" s="1"/>
  <c r="C37" i="826" s="1"/>
  <c r="C38" i="826" s="1"/>
  <c r="D26" i="826"/>
  <c r="D27" i="826" s="1"/>
  <c r="D28" i="826" s="1"/>
  <c r="D29" i="826" s="1"/>
  <c r="D30" i="826" s="1"/>
  <c r="D31" i="826" s="1"/>
  <c r="D32" i="826" s="1"/>
  <c r="D33" i="826" s="1"/>
  <c r="D34" i="826" s="1"/>
  <c r="D35" i="826" s="1"/>
  <c r="D36" i="826" s="1"/>
  <c r="D37" i="826" s="1"/>
  <c r="D38" i="826" s="1"/>
  <c r="C27" i="743"/>
  <c r="C28" i="743" s="1"/>
  <c r="C29" i="743" s="1"/>
  <c r="C30" i="743" s="1"/>
  <c r="C31" i="743" s="1"/>
  <c r="C32" i="743" s="1"/>
  <c r="C33" i="743" s="1"/>
  <c r="C34" i="743" s="1"/>
  <c r="C35" i="743" s="1"/>
  <c r="C36" i="743" s="1"/>
  <c r="C37" i="743" s="1"/>
  <c r="C38" i="743" s="1"/>
  <c r="D26" i="743"/>
  <c r="D27" i="743" s="1"/>
  <c r="D28" i="743" s="1"/>
  <c r="D29" i="743" s="1"/>
  <c r="D30" i="743" s="1"/>
  <c r="D31" i="743" s="1"/>
  <c r="D32" i="743" s="1"/>
  <c r="D33" i="743" s="1"/>
  <c r="D34" i="743" s="1"/>
  <c r="D35" i="743" s="1"/>
  <c r="D36" i="743" s="1"/>
  <c r="D37" i="743" s="1"/>
  <c r="D38" i="743" s="1"/>
  <c r="C27" i="747"/>
  <c r="C28" i="747" s="1"/>
  <c r="C29" i="747" s="1"/>
  <c r="C30" i="747" s="1"/>
  <c r="C31" i="747" s="1"/>
  <c r="C32" i="747" s="1"/>
  <c r="C33" i="747" s="1"/>
  <c r="C34" i="747" s="1"/>
  <c r="C35" i="747" s="1"/>
  <c r="C36" i="747" s="1"/>
  <c r="C37" i="747" s="1"/>
  <c r="C38" i="747" s="1"/>
  <c r="D26" i="747"/>
  <c r="D27" i="747" s="1"/>
  <c r="D28" i="747" s="1"/>
  <c r="D29" i="747" s="1"/>
  <c r="D30" i="747" s="1"/>
  <c r="D31" i="747" s="1"/>
  <c r="D32" i="747" s="1"/>
  <c r="D33" i="747" s="1"/>
  <c r="D34" i="747" s="1"/>
  <c r="D35" i="747" s="1"/>
  <c r="D36" i="747" s="1"/>
  <c r="D37" i="747" s="1"/>
  <c r="D38" i="747" s="1"/>
  <c r="C27" i="755"/>
  <c r="C28" i="755" s="1"/>
  <c r="C29" i="755" s="1"/>
  <c r="C30" i="755" s="1"/>
  <c r="C31" i="755" s="1"/>
  <c r="C32" i="755" s="1"/>
  <c r="C33" i="755" s="1"/>
  <c r="C34" i="755" s="1"/>
  <c r="C35" i="755" s="1"/>
  <c r="C36" i="755" s="1"/>
  <c r="C37" i="755" s="1"/>
  <c r="C38" i="755" s="1"/>
  <c r="D26" i="755"/>
  <c r="D27" i="755" s="1"/>
  <c r="D28" i="755" s="1"/>
  <c r="D29" i="755" s="1"/>
  <c r="D30" i="755" s="1"/>
  <c r="D31" i="755" s="1"/>
  <c r="D32" i="755" s="1"/>
  <c r="D33" i="755" s="1"/>
  <c r="D34" i="755" s="1"/>
  <c r="D35" i="755" s="1"/>
  <c r="D36" i="755" s="1"/>
  <c r="D37" i="755" s="1"/>
  <c r="D38" i="755" s="1"/>
  <c r="C27" i="770"/>
  <c r="C28" i="770" s="1"/>
  <c r="C29" i="770" s="1"/>
  <c r="C30" i="770" s="1"/>
  <c r="C31" i="770" s="1"/>
  <c r="C32" i="770" s="1"/>
  <c r="C33" i="770" s="1"/>
  <c r="C34" i="770" s="1"/>
  <c r="C35" i="770" s="1"/>
  <c r="C36" i="770" s="1"/>
  <c r="C37" i="770" s="1"/>
  <c r="C38" i="770" s="1"/>
  <c r="D26" i="770"/>
  <c r="D27" i="770" s="1"/>
  <c r="D28" i="770" s="1"/>
  <c r="D29" i="770" s="1"/>
  <c r="D30" i="770" s="1"/>
  <c r="D31" i="770" s="1"/>
  <c r="D32" i="770" s="1"/>
  <c r="D33" i="770" s="1"/>
  <c r="D34" i="770" s="1"/>
  <c r="D35" i="770" s="1"/>
  <c r="D36" i="770" s="1"/>
  <c r="D37" i="770" s="1"/>
  <c r="D38" i="770" s="1"/>
  <c r="C27" i="750"/>
  <c r="C28" i="750" s="1"/>
  <c r="C29" i="750" s="1"/>
  <c r="C30" i="750" s="1"/>
  <c r="C31" i="750" s="1"/>
  <c r="C32" i="750" s="1"/>
  <c r="C33" i="750" s="1"/>
  <c r="C34" i="750" s="1"/>
  <c r="C35" i="750" s="1"/>
  <c r="C36" i="750" s="1"/>
  <c r="C37" i="750" s="1"/>
  <c r="C38" i="750" s="1"/>
  <c r="D26" i="750"/>
  <c r="D27" i="750" s="1"/>
  <c r="D28" i="750" s="1"/>
  <c r="D29" i="750" s="1"/>
  <c r="D30" i="750" s="1"/>
  <c r="D31" i="750" s="1"/>
  <c r="D32" i="750" s="1"/>
  <c r="D33" i="750" s="1"/>
  <c r="D34" i="750" s="1"/>
  <c r="D35" i="750" s="1"/>
  <c r="D36" i="750" s="1"/>
  <c r="D37" i="750" s="1"/>
  <c r="D38" i="750" s="1"/>
  <c r="D26" i="710"/>
  <c r="D27" i="710" s="1"/>
  <c r="D28" i="710" s="1"/>
  <c r="D29" i="710" s="1"/>
  <c r="D30" i="710" s="1"/>
  <c r="D31" i="710" s="1"/>
  <c r="D32" i="710" s="1"/>
  <c r="D33" i="710" s="1"/>
  <c r="D34" i="710" s="1"/>
  <c r="D35" i="710" s="1"/>
  <c r="D36" i="710" s="1"/>
  <c r="D37" i="710" s="1"/>
  <c r="D38" i="710" s="1"/>
  <c r="C27" i="710"/>
  <c r="C28" i="710" s="1"/>
  <c r="C29" i="710" s="1"/>
  <c r="C30" i="710" s="1"/>
  <c r="C31" i="710" s="1"/>
  <c r="C32" i="710" s="1"/>
  <c r="C33" i="710" s="1"/>
  <c r="C34" i="710" s="1"/>
  <c r="C35" i="710" s="1"/>
  <c r="C36" i="710" s="1"/>
  <c r="C37" i="710" s="1"/>
  <c r="C38" i="710" s="1"/>
  <c r="C27" i="714"/>
  <c r="C28" i="714" s="1"/>
  <c r="C29" i="714" s="1"/>
  <c r="C30" i="714" s="1"/>
  <c r="C31" i="714" s="1"/>
  <c r="C32" i="714" s="1"/>
  <c r="C33" i="714" s="1"/>
  <c r="C34" i="714" s="1"/>
  <c r="C35" i="714" s="1"/>
  <c r="C36" i="714" s="1"/>
  <c r="C37" i="714" s="1"/>
  <c r="C38" i="714" s="1"/>
  <c r="D26" i="714"/>
  <c r="D27" i="714" s="1"/>
  <c r="D28" i="714" s="1"/>
  <c r="D29" i="714" s="1"/>
  <c r="D30" i="714" s="1"/>
  <c r="D31" i="714" s="1"/>
  <c r="D32" i="714" s="1"/>
  <c r="D33" i="714" s="1"/>
  <c r="D34" i="714" s="1"/>
  <c r="D35" i="714" s="1"/>
  <c r="D36" i="714" s="1"/>
  <c r="D37" i="714" s="1"/>
  <c r="D38" i="714" s="1"/>
  <c r="C27" i="825"/>
  <c r="C28" i="825" s="1"/>
  <c r="C29" i="825" s="1"/>
  <c r="C30" i="825" s="1"/>
  <c r="C31" i="825" s="1"/>
  <c r="C32" i="825" s="1"/>
  <c r="C33" i="825" s="1"/>
  <c r="C34" i="825" s="1"/>
  <c r="C35" i="825" s="1"/>
  <c r="C36" i="825" s="1"/>
  <c r="C37" i="825" s="1"/>
  <c r="C38" i="825" s="1"/>
  <c r="D26" i="825"/>
  <c r="D27" i="825" s="1"/>
  <c r="D28" i="825" s="1"/>
  <c r="D29" i="825" s="1"/>
  <c r="D30" i="825" s="1"/>
  <c r="D31" i="825" s="1"/>
  <c r="D32" i="825" s="1"/>
  <c r="D33" i="825" s="1"/>
  <c r="D34" i="825" s="1"/>
  <c r="D35" i="825" s="1"/>
  <c r="D36" i="825" s="1"/>
  <c r="D37" i="825" s="1"/>
  <c r="D38" i="825" s="1"/>
  <c r="C27" i="785"/>
  <c r="C28" i="785" s="1"/>
  <c r="C29" i="785" s="1"/>
  <c r="C30" i="785" s="1"/>
  <c r="C31" i="785" s="1"/>
  <c r="C32" i="785" s="1"/>
  <c r="C33" i="785" s="1"/>
  <c r="C34" i="785" s="1"/>
  <c r="C35" i="785" s="1"/>
  <c r="C36" i="785" s="1"/>
  <c r="C37" i="785" s="1"/>
  <c r="C38" i="785" s="1"/>
  <c r="D26" i="785"/>
  <c r="D27" i="785" s="1"/>
  <c r="D28" i="785" s="1"/>
  <c r="D29" i="785" s="1"/>
  <c r="D30" i="785" s="1"/>
  <c r="D31" i="785" s="1"/>
  <c r="D32" i="785" s="1"/>
  <c r="D33" i="785" s="1"/>
  <c r="D34" i="785" s="1"/>
  <c r="D35" i="785" s="1"/>
  <c r="D36" i="785" s="1"/>
  <c r="D37" i="785" s="1"/>
  <c r="D38" i="785" s="1"/>
  <c r="C27" i="789"/>
  <c r="C28" i="789" s="1"/>
  <c r="C29" i="789" s="1"/>
  <c r="C30" i="789" s="1"/>
  <c r="C31" i="789" s="1"/>
  <c r="C32" i="789" s="1"/>
  <c r="C33" i="789" s="1"/>
  <c r="C34" i="789" s="1"/>
  <c r="C35" i="789" s="1"/>
  <c r="C36" i="789" s="1"/>
  <c r="C37" i="789" s="1"/>
  <c r="C38" i="789" s="1"/>
  <c r="D26" i="789"/>
  <c r="D27" i="789" s="1"/>
  <c r="D28" i="789" s="1"/>
  <c r="D29" i="789" s="1"/>
  <c r="D30" i="789" s="1"/>
  <c r="D31" i="789" s="1"/>
  <c r="D32" i="789" s="1"/>
  <c r="D33" i="789" s="1"/>
  <c r="D34" i="789" s="1"/>
  <c r="D35" i="789" s="1"/>
  <c r="D36" i="789" s="1"/>
  <c r="D37" i="789" s="1"/>
  <c r="D38" i="789" s="1"/>
  <c r="C27" i="817"/>
  <c r="C28" i="817" s="1"/>
  <c r="C29" i="817" s="1"/>
  <c r="C30" i="817" s="1"/>
  <c r="C31" i="817" s="1"/>
  <c r="C32" i="817" s="1"/>
  <c r="C33" i="817" s="1"/>
  <c r="C34" i="817" s="1"/>
  <c r="C35" i="817" s="1"/>
  <c r="C36" i="817" s="1"/>
  <c r="C37" i="817" s="1"/>
  <c r="C38" i="817" s="1"/>
  <c r="D26" i="817"/>
  <c r="D27" i="817" s="1"/>
  <c r="D28" i="817" s="1"/>
  <c r="D29" i="817" s="1"/>
  <c r="D30" i="817" s="1"/>
  <c r="D31" i="817" s="1"/>
  <c r="D32" i="817" s="1"/>
  <c r="D33" i="817" s="1"/>
  <c r="D34" i="817" s="1"/>
  <c r="D35" i="817" s="1"/>
  <c r="D36" i="817" s="1"/>
  <c r="D37" i="817" s="1"/>
  <c r="D38" i="817" s="1"/>
  <c r="C27" i="818"/>
  <c r="C28" i="818" s="1"/>
  <c r="C29" i="818" s="1"/>
  <c r="C30" i="818" s="1"/>
  <c r="C31" i="818" s="1"/>
  <c r="C32" i="818" s="1"/>
  <c r="C33" i="818" s="1"/>
  <c r="C34" i="818" s="1"/>
  <c r="C35" i="818" s="1"/>
  <c r="C36" i="818" s="1"/>
  <c r="C37" i="818" s="1"/>
  <c r="C38" i="818" s="1"/>
  <c r="D26" i="818"/>
  <c r="D27" i="818" s="1"/>
  <c r="D28" i="818" s="1"/>
  <c r="D29" i="818" s="1"/>
  <c r="D30" i="818" s="1"/>
  <c r="D31" i="818" s="1"/>
  <c r="D32" i="818" s="1"/>
  <c r="D33" i="818" s="1"/>
  <c r="D34" i="818" s="1"/>
  <c r="D35" i="818" s="1"/>
  <c r="D36" i="818" s="1"/>
  <c r="D37" i="818" s="1"/>
  <c r="D38" i="818" s="1"/>
  <c r="C27" i="786"/>
  <c r="C28" i="786" s="1"/>
  <c r="C29" i="786" s="1"/>
  <c r="C30" i="786" s="1"/>
  <c r="C31" i="786" s="1"/>
  <c r="C32" i="786" s="1"/>
  <c r="C33" i="786" s="1"/>
  <c r="C34" i="786" s="1"/>
  <c r="C35" i="786" s="1"/>
  <c r="C36" i="786" s="1"/>
  <c r="C37" i="786" s="1"/>
  <c r="C38" i="786" s="1"/>
  <c r="D26" i="786"/>
  <c r="D27" i="786" s="1"/>
  <c r="D28" i="786" s="1"/>
  <c r="D29" i="786" s="1"/>
  <c r="D30" i="786" s="1"/>
  <c r="D31" i="786" s="1"/>
  <c r="D32" i="786" s="1"/>
  <c r="D33" i="786" s="1"/>
  <c r="D34" i="786" s="1"/>
  <c r="D35" i="786" s="1"/>
  <c r="D36" i="786" s="1"/>
  <c r="D37" i="786" s="1"/>
  <c r="D38" i="786" s="1"/>
  <c r="C27" i="749"/>
  <c r="C28" i="749" s="1"/>
  <c r="C29" i="749" s="1"/>
  <c r="C30" i="749" s="1"/>
  <c r="C31" i="749" s="1"/>
  <c r="C32" i="749" s="1"/>
  <c r="C33" i="749" s="1"/>
  <c r="C34" i="749" s="1"/>
  <c r="C35" i="749" s="1"/>
  <c r="C36" i="749" s="1"/>
  <c r="C37" i="749" s="1"/>
  <c r="C38" i="749" s="1"/>
  <c r="D26" i="749"/>
  <c r="D27" i="749" s="1"/>
  <c r="D28" i="749" s="1"/>
  <c r="D29" i="749" s="1"/>
  <c r="D30" i="749" s="1"/>
  <c r="D31" i="749" s="1"/>
  <c r="D32" i="749" s="1"/>
  <c r="D33" i="749" s="1"/>
  <c r="D34" i="749" s="1"/>
  <c r="D35" i="749" s="1"/>
  <c r="D36" i="749" s="1"/>
  <c r="D37" i="749" s="1"/>
  <c r="D38" i="749" s="1"/>
  <c r="C27" i="738"/>
  <c r="C28" i="738" s="1"/>
  <c r="C29" i="738" s="1"/>
  <c r="C30" i="738" s="1"/>
  <c r="C31" i="738" s="1"/>
  <c r="C32" i="738" s="1"/>
  <c r="C33" i="738" s="1"/>
  <c r="C34" i="738" s="1"/>
  <c r="C35" i="738" s="1"/>
  <c r="C36" i="738" s="1"/>
  <c r="C37" i="738" s="1"/>
  <c r="C38" i="738" s="1"/>
  <c r="D26" i="738"/>
  <c r="D27" i="738" s="1"/>
  <c r="D28" i="738" s="1"/>
  <c r="D29" i="738" s="1"/>
  <c r="D30" i="738" s="1"/>
  <c r="D31" i="738" s="1"/>
  <c r="D32" i="738" s="1"/>
  <c r="D33" i="738" s="1"/>
  <c r="D34" i="738" s="1"/>
  <c r="D35" i="738" s="1"/>
  <c r="D36" i="738" s="1"/>
  <c r="D37" i="738" s="1"/>
  <c r="D38" i="738" s="1"/>
  <c r="C27" i="757"/>
  <c r="C28" i="757" s="1"/>
  <c r="C29" i="757" s="1"/>
  <c r="C30" i="757" s="1"/>
  <c r="C31" i="757" s="1"/>
  <c r="C32" i="757" s="1"/>
  <c r="C33" i="757" s="1"/>
  <c r="C34" i="757" s="1"/>
  <c r="C35" i="757" s="1"/>
  <c r="C36" i="757" s="1"/>
  <c r="C37" i="757" s="1"/>
  <c r="C38" i="757" s="1"/>
  <c r="D26" i="757"/>
  <c r="D27" i="757" s="1"/>
  <c r="D28" i="757" s="1"/>
  <c r="D29" i="757" s="1"/>
  <c r="D30" i="757" s="1"/>
  <c r="D31" i="757" s="1"/>
  <c r="D32" i="757" s="1"/>
  <c r="D33" i="757" s="1"/>
  <c r="D34" i="757" s="1"/>
  <c r="D35" i="757" s="1"/>
  <c r="D36" i="757" s="1"/>
  <c r="D37" i="757" s="1"/>
  <c r="D38" i="757" s="1"/>
  <c r="C27" i="781"/>
  <c r="C28" i="781" s="1"/>
  <c r="C29" i="781" s="1"/>
  <c r="C30" i="781" s="1"/>
  <c r="C31" i="781" s="1"/>
  <c r="C32" i="781" s="1"/>
  <c r="C33" i="781" s="1"/>
  <c r="C34" i="781" s="1"/>
  <c r="C35" i="781" s="1"/>
  <c r="C36" i="781" s="1"/>
  <c r="C37" i="781" s="1"/>
  <c r="C38" i="781" s="1"/>
  <c r="D26" i="781"/>
  <c r="D27" i="781" s="1"/>
  <c r="D28" i="781" s="1"/>
  <c r="D29" i="781" s="1"/>
  <c r="D30" i="781" s="1"/>
  <c r="D31" i="781" s="1"/>
  <c r="D32" i="781" s="1"/>
  <c r="D33" i="781" s="1"/>
  <c r="D34" i="781" s="1"/>
  <c r="D35" i="781" s="1"/>
  <c r="D36" i="781" s="1"/>
  <c r="D37" i="781" s="1"/>
  <c r="D38" i="781" s="1"/>
  <c r="C27" i="737"/>
  <c r="C28" i="737" s="1"/>
  <c r="C29" i="737" s="1"/>
  <c r="C30" i="737" s="1"/>
  <c r="C31" i="737" s="1"/>
  <c r="C32" i="737" s="1"/>
  <c r="C33" i="737" s="1"/>
  <c r="C34" i="737" s="1"/>
  <c r="C35" i="737" s="1"/>
  <c r="C36" i="737" s="1"/>
  <c r="C37" i="737" s="1"/>
  <c r="C38" i="737" s="1"/>
  <c r="D26" i="737"/>
  <c r="D27" i="737" s="1"/>
  <c r="D28" i="737" s="1"/>
  <c r="D29" i="737" s="1"/>
  <c r="D30" i="737" s="1"/>
  <c r="D31" i="737" s="1"/>
  <c r="D32" i="737" s="1"/>
  <c r="D33" i="737" s="1"/>
  <c r="D34" i="737" s="1"/>
  <c r="D35" i="737" s="1"/>
  <c r="D36" i="737" s="1"/>
  <c r="D37" i="737" s="1"/>
  <c r="D38" i="737" s="1"/>
  <c r="C27" i="709"/>
  <c r="C28" i="709" s="1"/>
  <c r="C29" i="709" s="1"/>
  <c r="C30" i="709" s="1"/>
  <c r="C31" i="709" s="1"/>
  <c r="C32" i="709" s="1"/>
  <c r="C33" i="709" s="1"/>
  <c r="C34" i="709" s="1"/>
  <c r="C35" i="709" s="1"/>
  <c r="C36" i="709" s="1"/>
  <c r="C37" i="709" s="1"/>
  <c r="C38" i="709" s="1"/>
  <c r="D26" i="709"/>
  <c r="D27" i="709" s="1"/>
  <c r="D28" i="709" s="1"/>
  <c r="D29" i="709" s="1"/>
  <c r="D30" i="709" s="1"/>
  <c r="D31" i="709" s="1"/>
  <c r="D32" i="709" s="1"/>
  <c r="D33" i="709" s="1"/>
  <c r="D34" i="709" s="1"/>
  <c r="D35" i="709" s="1"/>
  <c r="D36" i="709" s="1"/>
  <c r="D37" i="709" s="1"/>
  <c r="D38" i="709" s="1"/>
  <c r="C27" i="713"/>
  <c r="C28" i="713" s="1"/>
  <c r="C29" i="713" s="1"/>
  <c r="C30" i="713" s="1"/>
  <c r="C31" i="713" s="1"/>
  <c r="C32" i="713" s="1"/>
  <c r="C33" i="713" s="1"/>
  <c r="C34" i="713" s="1"/>
  <c r="C35" i="713" s="1"/>
  <c r="C36" i="713" s="1"/>
  <c r="C37" i="713" s="1"/>
  <c r="C38" i="713" s="1"/>
  <c r="D26" i="713"/>
  <c r="D27" i="713" s="1"/>
  <c r="D28" i="713" s="1"/>
  <c r="D29" i="713" s="1"/>
  <c r="D30" i="713" s="1"/>
  <c r="D31" i="713" s="1"/>
  <c r="D32" i="713" s="1"/>
  <c r="D33" i="713" s="1"/>
  <c r="D34" i="713" s="1"/>
  <c r="D35" i="713" s="1"/>
  <c r="D36" i="713" s="1"/>
  <c r="D37" i="713" s="1"/>
  <c r="D38" i="713" s="1"/>
  <c r="D26" i="721"/>
  <c r="D27" i="721" s="1"/>
  <c r="D28" i="721" s="1"/>
  <c r="D29" i="721" s="1"/>
  <c r="D30" i="721" s="1"/>
  <c r="D31" i="721" s="1"/>
  <c r="D32" i="721" s="1"/>
  <c r="D33" i="721" s="1"/>
  <c r="D34" i="721" s="1"/>
  <c r="D35" i="721" s="1"/>
  <c r="D36" i="721" s="1"/>
  <c r="D37" i="721" s="1"/>
  <c r="D38" i="721" s="1"/>
  <c r="C27" i="721"/>
  <c r="C28" i="721" s="1"/>
  <c r="C29" i="721" s="1"/>
  <c r="C30" i="721" s="1"/>
  <c r="C31" i="721" s="1"/>
  <c r="C32" i="721" s="1"/>
  <c r="C33" i="721" s="1"/>
  <c r="C34" i="721" s="1"/>
  <c r="C35" i="721" s="1"/>
  <c r="C36" i="721" s="1"/>
  <c r="C37" i="721" s="1"/>
  <c r="C38" i="721" s="1"/>
  <c r="D26" i="824"/>
  <c r="D27" i="824" s="1"/>
  <c r="D28" i="824" s="1"/>
  <c r="D29" i="824" s="1"/>
  <c r="D30" i="824" s="1"/>
  <c r="D31" i="824" s="1"/>
  <c r="D32" i="824" s="1"/>
  <c r="D33" i="824" s="1"/>
  <c r="D34" i="824" s="1"/>
  <c r="D35" i="824" s="1"/>
  <c r="D36" i="824" s="1"/>
  <c r="D37" i="824" s="1"/>
  <c r="D38" i="824" s="1"/>
  <c r="C27" i="824"/>
  <c r="C28" i="824" s="1"/>
  <c r="C29" i="824" s="1"/>
  <c r="C30" i="824" s="1"/>
  <c r="C31" i="824" s="1"/>
  <c r="C32" i="824" s="1"/>
  <c r="C33" i="824" s="1"/>
  <c r="C34" i="824" s="1"/>
  <c r="C35" i="824" s="1"/>
  <c r="C36" i="824" s="1"/>
  <c r="C37" i="824" s="1"/>
  <c r="C38" i="824" s="1"/>
  <c r="C27" i="756"/>
  <c r="C28" i="756" s="1"/>
  <c r="C29" i="756" s="1"/>
  <c r="C30" i="756" s="1"/>
  <c r="C31" i="756" s="1"/>
  <c r="C32" i="756" s="1"/>
  <c r="C33" i="756" s="1"/>
  <c r="C34" i="756" s="1"/>
  <c r="C35" i="756" s="1"/>
  <c r="C36" i="756" s="1"/>
  <c r="C37" i="756" s="1"/>
  <c r="C38" i="756" s="1"/>
  <c r="D26" i="756"/>
  <c r="D27" i="756" s="1"/>
  <c r="D28" i="756" s="1"/>
  <c r="D29" i="756" s="1"/>
  <c r="D30" i="756" s="1"/>
  <c r="D31" i="756" s="1"/>
  <c r="D32" i="756" s="1"/>
  <c r="D33" i="756" s="1"/>
  <c r="D34" i="756" s="1"/>
  <c r="D35" i="756" s="1"/>
  <c r="D36" i="756" s="1"/>
  <c r="D37" i="756" s="1"/>
  <c r="D38" i="756" s="1"/>
  <c r="D26" i="768"/>
  <c r="D27" i="768" s="1"/>
  <c r="D28" i="768" s="1"/>
  <c r="D29" i="768" s="1"/>
  <c r="D30" i="768" s="1"/>
  <c r="D31" i="768" s="1"/>
  <c r="D32" i="768" s="1"/>
  <c r="D33" i="768" s="1"/>
  <c r="D34" i="768" s="1"/>
  <c r="D35" i="768" s="1"/>
  <c r="D36" i="768" s="1"/>
  <c r="D37" i="768" s="1"/>
  <c r="D38" i="768" s="1"/>
  <c r="C27" i="768"/>
  <c r="C28" i="768" s="1"/>
  <c r="C29" i="768" s="1"/>
  <c r="C30" i="768" s="1"/>
  <c r="C31" i="768" s="1"/>
  <c r="C32" i="768" s="1"/>
  <c r="C33" i="768" s="1"/>
  <c r="C34" i="768" s="1"/>
  <c r="C35" i="768" s="1"/>
  <c r="C36" i="768" s="1"/>
  <c r="C37" i="768" s="1"/>
  <c r="C38" i="768" s="1"/>
  <c r="C27" i="788"/>
  <c r="C28" i="788" s="1"/>
  <c r="C29" i="788" s="1"/>
  <c r="C30" i="788" s="1"/>
  <c r="C31" i="788" s="1"/>
  <c r="C32" i="788" s="1"/>
  <c r="C33" i="788" s="1"/>
  <c r="C34" i="788" s="1"/>
  <c r="C35" i="788" s="1"/>
  <c r="C36" i="788" s="1"/>
  <c r="C37" i="788" s="1"/>
  <c r="C38" i="788" s="1"/>
  <c r="D26" i="788"/>
  <c r="D27" i="788" s="1"/>
  <c r="D28" i="788" s="1"/>
  <c r="D29" i="788" s="1"/>
  <c r="D30" i="788" s="1"/>
  <c r="D31" i="788" s="1"/>
  <c r="D32" i="788" s="1"/>
  <c r="D33" i="788" s="1"/>
  <c r="D34" i="788" s="1"/>
  <c r="D35" i="788" s="1"/>
  <c r="D36" i="788" s="1"/>
  <c r="D37" i="788" s="1"/>
  <c r="D38" i="788" s="1"/>
  <c r="C27" i="796"/>
  <c r="C28" i="796" s="1"/>
  <c r="C29" i="796" s="1"/>
  <c r="C30" i="796" s="1"/>
  <c r="C31" i="796" s="1"/>
  <c r="C32" i="796" s="1"/>
  <c r="C33" i="796" s="1"/>
  <c r="C34" i="796" s="1"/>
  <c r="C35" i="796" s="1"/>
  <c r="C36" i="796" s="1"/>
  <c r="C37" i="796" s="1"/>
  <c r="C38" i="796" s="1"/>
  <c r="D26" i="796"/>
  <c r="D27" i="796" s="1"/>
  <c r="D28" i="796" s="1"/>
  <c r="D29" i="796" s="1"/>
  <c r="D30" i="796" s="1"/>
  <c r="D31" i="796" s="1"/>
  <c r="D32" i="796" s="1"/>
  <c r="D33" i="796" s="1"/>
  <c r="D34" i="796" s="1"/>
  <c r="D35" i="796" s="1"/>
  <c r="D36" i="796" s="1"/>
  <c r="D37" i="796" s="1"/>
  <c r="D38" i="796" s="1"/>
  <c r="C27" i="772"/>
  <c r="C28" i="772" s="1"/>
  <c r="C29" i="772" s="1"/>
  <c r="C30" i="772" s="1"/>
  <c r="C31" i="772" s="1"/>
  <c r="C32" i="772" s="1"/>
  <c r="C33" i="772" s="1"/>
  <c r="C34" i="772" s="1"/>
  <c r="C35" i="772" s="1"/>
  <c r="C36" i="772" s="1"/>
  <c r="C37" i="772" s="1"/>
  <c r="C38" i="772" s="1"/>
  <c r="D26" i="772"/>
  <c r="D27" i="772" s="1"/>
  <c r="D28" i="772" s="1"/>
  <c r="D29" i="772" s="1"/>
  <c r="D30" i="772" s="1"/>
  <c r="D31" i="772" s="1"/>
  <c r="D32" i="772" s="1"/>
  <c r="D33" i="772" s="1"/>
  <c r="D34" i="772" s="1"/>
  <c r="D35" i="772" s="1"/>
  <c r="D36" i="772" s="1"/>
  <c r="D37" i="772" s="1"/>
  <c r="D38" i="772" s="1"/>
  <c r="C27" i="740"/>
  <c r="C28" i="740" s="1"/>
  <c r="C29" i="740" s="1"/>
  <c r="C30" i="740" s="1"/>
  <c r="C31" i="740" s="1"/>
  <c r="C32" i="740" s="1"/>
  <c r="C33" i="740" s="1"/>
  <c r="C34" i="740" s="1"/>
  <c r="C35" i="740" s="1"/>
  <c r="C36" i="740" s="1"/>
  <c r="C37" i="740" s="1"/>
  <c r="C38" i="740" s="1"/>
  <c r="D26" i="740"/>
  <c r="D27" i="740" s="1"/>
  <c r="D28" i="740" s="1"/>
  <c r="D29" i="740" s="1"/>
  <c r="D30" i="740" s="1"/>
  <c r="D31" i="740" s="1"/>
  <c r="D32" i="740" s="1"/>
  <c r="D33" i="740" s="1"/>
  <c r="D34" i="740" s="1"/>
  <c r="D35" i="740" s="1"/>
  <c r="D36" i="740" s="1"/>
  <c r="D37" i="740" s="1"/>
  <c r="D38" i="740" s="1"/>
  <c r="D26" i="744"/>
  <c r="D27" i="744" s="1"/>
  <c r="D28" i="744" s="1"/>
  <c r="D29" i="744" s="1"/>
  <c r="D30" i="744" s="1"/>
  <c r="D31" i="744" s="1"/>
  <c r="D32" i="744" s="1"/>
  <c r="D33" i="744" s="1"/>
  <c r="D34" i="744" s="1"/>
  <c r="D35" i="744" s="1"/>
  <c r="D36" i="744" s="1"/>
  <c r="D37" i="744" s="1"/>
  <c r="D38" i="744" s="1"/>
  <c r="C27" i="744"/>
  <c r="C28" i="744" s="1"/>
  <c r="C29" i="744" s="1"/>
  <c r="C30" i="744" s="1"/>
  <c r="C31" i="744" s="1"/>
  <c r="C32" i="744" s="1"/>
  <c r="C33" i="744" s="1"/>
  <c r="C34" i="744" s="1"/>
  <c r="C35" i="744" s="1"/>
  <c r="C36" i="744" s="1"/>
  <c r="C37" i="744" s="1"/>
  <c r="C38" i="744" s="1"/>
  <c r="C27" i="748"/>
  <c r="C28" i="748" s="1"/>
  <c r="C29" i="748" s="1"/>
  <c r="C30" i="748" s="1"/>
  <c r="C31" i="748" s="1"/>
  <c r="C32" i="748" s="1"/>
  <c r="C33" i="748" s="1"/>
  <c r="C34" i="748" s="1"/>
  <c r="C35" i="748" s="1"/>
  <c r="C36" i="748" s="1"/>
  <c r="C37" i="748" s="1"/>
  <c r="C38" i="748" s="1"/>
  <c r="D26" i="748"/>
  <c r="D27" i="748" s="1"/>
  <c r="D28" i="748" s="1"/>
  <c r="D29" i="748" s="1"/>
  <c r="D30" i="748" s="1"/>
  <c r="D31" i="748" s="1"/>
  <c r="D32" i="748" s="1"/>
  <c r="D33" i="748" s="1"/>
  <c r="D34" i="748" s="1"/>
  <c r="D35" i="748" s="1"/>
  <c r="D36" i="748" s="1"/>
  <c r="D37" i="748" s="1"/>
  <c r="D38" i="748" s="1"/>
  <c r="C27" i="716"/>
  <c r="C28" i="716" s="1"/>
  <c r="C29" i="716" s="1"/>
  <c r="C30" i="716" s="1"/>
  <c r="C31" i="716" s="1"/>
  <c r="C32" i="716" s="1"/>
  <c r="C33" i="716" s="1"/>
  <c r="C34" i="716" s="1"/>
  <c r="C35" i="716" s="1"/>
  <c r="C36" i="716" s="1"/>
  <c r="C37" i="716" s="1"/>
  <c r="C38" i="716" s="1"/>
  <c r="D26" i="716"/>
  <c r="D27" i="716" s="1"/>
  <c r="D28" i="716" s="1"/>
  <c r="D29" i="716" s="1"/>
  <c r="D30" i="716" s="1"/>
  <c r="D31" i="716" s="1"/>
  <c r="D32" i="716" s="1"/>
  <c r="D33" i="716" s="1"/>
  <c r="D34" i="716" s="1"/>
  <c r="D35" i="716" s="1"/>
  <c r="D36" i="716" s="1"/>
  <c r="D37" i="716" s="1"/>
  <c r="D38" i="716" s="1"/>
  <c r="C27" i="775"/>
  <c r="C28" i="775" s="1"/>
  <c r="C29" i="775" s="1"/>
  <c r="C30" i="775" s="1"/>
  <c r="C31" i="775" s="1"/>
  <c r="C32" i="775" s="1"/>
  <c r="C33" i="775" s="1"/>
  <c r="C34" i="775" s="1"/>
  <c r="C35" i="775" s="1"/>
  <c r="C36" i="775" s="1"/>
  <c r="C37" i="775" s="1"/>
  <c r="C38" i="775" s="1"/>
  <c r="D26" i="775"/>
  <c r="D27" i="775" s="1"/>
  <c r="D28" i="775" s="1"/>
  <c r="D29" i="775" s="1"/>
  <c r="D30" i="775" s="1"/>
  <c r="D31" i="775" s="1"/>
  <c r="D32" i="775" s="1"/>
  <c r="D33" i="775" s="1"/>
  <c r="D34" i="775" s="1"/>
  <c r="D35" i="775" s="1"/>
  <c r="D36" i="775" s="1"/>
  <c r="D37" i="775" s="1"/>
  <c r="D38" i="775" s="1"/>
  <c r="C27" i="787"/>
  <c r="C28" i="787" s="1"/>
  <c r="C29" i="787" s="1"/>
  <c r="C30" i="787" s="1"/>
  <c r="C31" i="787" s="1"/>
  <c r="C32" i="787" s="1"/>
  <c r="C33" i="787" s="1"/>
  <c r="C34" i="787" s="1"/>
  <c r="C35" i="787" s="1"/>
  <c r="C36" i="787" s="1"/>
  <c r="C37" i="787" s="1"/>
  <c r="C38" i="787" s="1"/>
  <c r="D26" i="787"/>
  <c r="D27" i="787" s="1"/>
  <c r="D28" i="787" s="1"/>
  <c r="D29" i="787" s="1"/>
  <c r="D30" i="787" s="1"/>
  <c r="D31" i="787" s="1"/>
  <c r="D32" i="787" s="1"/>
  <c r="D33" i="787" s="1"/>
  <c r="D34" i="787" s="1"/>
  <c r="D35" i="787" s="1"/>
  <c r="D36" i="787" s="1"/>
  <c r="D37" i="787" s="1"/>
  <c r="D38" i="787" s="1"/>
  <c r="C27" i="795"/>
  <c r="C28" i="795" s="1"/>
  <c r="C29" i="795" s="1"/>
  <c r="C30" i="795" s="1"/>
  <c r="C31" i="795" s="1"/>
  <c r="C32" i="795" s="1"/>
  <c r="C33" i="795" s="1"/>
  <c r="C34" i="795" s="1"/>
  <c r="C35" i="795" s="1"/>
  <c r="C36" i="795" s="1"/>
  <c r="C37" i="795" s="1"/>
  <c r="C38" i="795" s="1"/>
  <c r="D26" i="795"/>
  <c r="D27" i="795" s="1"/>
  <c r="D28" i="795" s="1"/>
  <c r="D29" i="795" s="1"/>
  <c r="D30" i="795" s="1"/>
  <c r="D31" i="795" s="1"/>
  <c r="D32" i="795" s="1"/>
  <c r="D33" i="795" s="1"/>
  <c r="D34" i="795" s="1"/>
  <c r="D35" i="795" s="1"/>
  <c r="D36" i="795" s="1"/>
  <c r="D37" i="795" s="1"/>
  <c r="D38" i="795" s="1"/>
  <c r="D26" i="807"/>
  <c r="D27" i="807" s="1"/>
  <c r="D28" i="807" s="1"/>
  <c r="D29" i="807" s="1"/>
  <c r="D30" i="807" s="1"/>
  <c r="D31" i="807" s="1"/>
  <c r="D32" i="807" s="1"/>
  <c r="D33" i="807" s="1"/>
  <c r="D34" i="807" s="1"/>
  <c r="D35" i="807" s="1"/>
  <c r="D36" i="807" s="1"/>
  <c r="D37" i="807" s="1"/>
  <c r="D38" i="807" s="1"/>
  <c r="C27" i="807"/>
  <c r="C28" i="807" s="1"/>
  <c r="C29" i="807" s="1"/>
  <c r="C30" i="807" s="1"/>
  <c r="C31" i="807" s="1"/>
  <c r="C32" i="807" s="1"/>
  <c r="C33" i="807" s="1"/>
  <c r="C34" i="807" s="1"/>
  <c r="C35" i="807" s="1"/>
  <c r="C36" i="807" s="1"/>
  <c r="C37" i="807" s="1"/>
  <c r="C38" i="807" s="1"/>
  <c r="D26" i="811"/>
  <c r="D27" i="811" s="1"/>
  <c r="D28" i="811" s="1"/>
  <c r="D29" i="811" s="1"/>
  <c r="D30" i="811" s="1"/>
  <c r="D31" i="811" s="1"/>
  <c r="D32" i="811" s="1"/>
  <c r="D33" i="811" s="1"/>
  <c r="D34" i="811" s="1"/>
  <c r="D35" i="811" s="1"/>
  <c r="D36" i="811" s="1"/>
  <c r="D37" i="811" s="1"/>
  <c r="D38" i="811" s="1"/>
  <c r="C27" i="811"/>
  <c r="C28" i="811" s="1"/>
  <c r="C29" i="811" s="1"/>
  <c r="C30" i="811" s="1"/>
  <c r="C31" i="811" s="1"/>
  <c r="C32" i="811" s="1"/>
  <c r="C33" i="811" s="1"/>
  <c r="C34" i="811" s="1"/>
  <c r="C35" i="811" s="1"/>
  <c r="C36" i="811" s="1"/>
  <c r="C37" i="811" s="1"/>
  <c r="C38" i="811" s="1"/>
  <c r="D26" i="815"/>
  <c r="D27" i="815" s="1"/>
  <c r="D28" i="815" s="1"/>
  <c r="D29" i="815" s="1"/>
  <c r="D30" i="815" s="1"/>
  <c r="D31" i="815" s="1"/>
  <c r="D32" i="815" s="1"/>
  <c r="D33" i="815" s="1"/>
  <c r="D34" i="815" s="1"/>
  <c r="D35" i="815" s="1"/>
  <c r="D36" i="815" s="1"/>
  <c r="D37" i="815" s="1"/>
  <c r="D38" i="815" s="1"/>
  <c r="C27" i="815"/>
  <c r="C28" i="815" s="1"/>
  <c r="C29" i="815" s="1"/>
  <c r="C30" i="815" s="1"/>
  <c r="C31" i="815" s="1"/>
  <c r="C32" i="815" s="1"/>
  <c r="C33" i="815" s="1"/>
  <c r="C34" i="815" s="1"/>
  <c r="C35" i="815" s="1"/>
  <c r="C36" i="815" s="1"/>
  <c r="C37" i="815" s="1"/>
  <c r="C38" i="815" s="1"/>
  <c r="C27" i="731"/>
  <c r="C28" i="731" s="1"/>
  <c r="C29" i="731" s="1"/>
  <c r="C30" i="731" s="1"/>
  <c r="C31" i="731" s="1"/>
  <c r="C32" i="731" s="1"/>
  <c r="C33" i="731" s="1"/>
  <c r="C34" i="731" s="1"/>
  <c r="C35" i="731" s="1"/>
  <c r="C36" i="731" s="1"/>
  <c r="C37" i="731" s="1"/>
  <c r="C38" i="731" s="1"/>
  <c r="D26" i="731"/>
  <c r="D27" i="731" s="1"/>
  <c r="D28" i="731" s="1"/>
  <c r="D29" i="731" s="1"/>
  <c r="D30" i="731" s="1"/>
  <c r="D31" i="731" s="1"/>
  <c r="D32" i="731" s="1"/>
  <c r="D33" i="731" s="1"/>
  <c r="D34" i="731" s="1"/>
  <c r="D35" i="731" s="1"/>
  <c r="D36" i="731" s="1"/>
  <c r="D37" i="731" s="1"/>
  <c r="D38" i="731" s="1"/>
  <c r="C27" i="726"/>
  <c r="C28" i="726" s="1"/>
  <c r="C29" i="726" s="1"/>
  <c r="C30" i="726" s="1"/>
  <c r="C31" i="726" s="1"/>
  <c r="C32" i="726" s="1"/>
  <c r="C33" i="726" s="1"/>
  <c r="C34" i="726" s="1"/>
  <c r="C35" i="726" s="1"/>
  <c r="C36" i="726" s="1"/>
  <c r="C37" i="726" s="1"/>
  <c r="C38" i="726" s="1"/>
  <c r="D26" i="726"/>
  <c r="D27" i="726" s="1"/>
  <c r="D28" i="726" s="1"/>
  <c r="D29" i="726" s="1"/>
  <c r="D30" i="726" s="1"/>
  <c r="D31" i="726" s="1"/>
  <c r="D32" i="726" s="1"/>
  <c r="D33" i="726" s="1"/>
  <c r="D34" i="726" s="1"/>
  <c r="D35" i="726" s="1"/>
  <c r="D36" i="726" s="1"/>
  <c r="D37" i="726" s="1"/>
  <c r="D38" i="726" s="1"/>
  <c r="C27" i="725"/>
  <c r="C28" i="725" s="1"/>
  <c r="C29" i="725" s="1"/>
  <c r="C30" i="725" s="1"/>
  <c r="C31" i="725" s="1"/>
  <c r="C32" i="725" s="1"/>
  <c r="C33" i="725" s="1"/>
  <c r="C34" i="725" s="1"/>
  <c r="C35" i="725" s="1"/>
  <c r="C36" i="725" s="1"/>
  <c r="C37" i="725" s="1"/>
  <c r="C38" i="725" s="1"/>
  <c r="D26" i="725"/>
  <c r="D27" i="725" s="1"/>
  <c r="D28" i="725" s="1"/>
  <c r="D29" i="725" s="1"/>
  <c r="D30" i="725" s="1"/>
  <c r="D31" i="725" s="1"/>
  <c r="D32" i="725" s="1"/>
  <c r="D33" i="725" s="1"/>
  <c r="D34" i="725" s="1"/>
  <c r="D35" i="725" s="1"/>
  <c r="D36" i="725" s="1"/>
  <c r="D37" i="725" s="1"/>
  <c r="D38" i="725" s="1"/>
  <c r="C27" i="730"/>
  <c r="C28" i="730" s="1"/>
  <c r="C29" i="730" s="1"/>
  <c r="C30" i="730" s="1"/>
  <c r="C31" i="730" s="1"/>
  <c r="C32" i="730" s="1"/>
  <c r="C33" i="730" s="1"/>
  <c r="C34" i="730" s="1"/>
  <c r="C35" i="730" s="1"/>
  <c r="C36" i="730" s="1"/>
  <c r="C37" i="730" s="1"/>
  <c r="C38" i="730" s="1"/>
  <c r="D26" i="730"/>
  <c r="D27" i="730" s="1"/>
  <c r="D28" i="730" s="1"/>
  <c r="D29" i="730" s="1"/>
  <c r="D30" i="730" s="1"/>
  <c r="D31" i="730" s="1"/>
  <c r="D32" i="730" s="1"/>
  <c r="D33" i="730" s="1"/>
  <c r="D34" i="730" s="1"/>
  <c r="D35" i="730" s="1"/>
  <c r="D36" i="730" s="1"/>
  <c r="D37" i="730" s="1"/>
  <c r="D38" i="730" s="1"/>
  <c r="C27" i="729"/>
  <c r="C28" i="729" s="1"/>
  <c r="C29" i="729" s="1"/>
  <c r="C30" i="729" s="1"/>
  <c r="C31" i="729" s="1"/>
  <c r="C32" i="729" s="1"/>
  <c r="C33" i="729" s="1"/>
  <c r="C34" i="729" s="1"/>
  <c r="C35" i="729" s="1"/>
  <c r="C36" i="729" s="1"/>
  <c r="C37" i="729" s="1"/>
  <c r="C38" i="729" s="1"/>
  <c r="D26" i="729"/>
  <c r="D27" i="729" s="1"/>
  <c r="D28" i="729" s="1"/>
  <c r="D29" i="729" s="1"/>
  <c r="D30" i="729" s="1"/>
  <c r="D31" i="729" s="1"/>
  <c r="D32" i="729" s="1"/>
  <c r="D33" i="729" s="1"/>
  <c r="D34" i="729" s="1"/>
  <c r="D35" i="729" s="1"/>
  <c r="D36" i="729" s="1"/>
  <c r="D37" i="729" s="1"/>
  <c r="D38" i="729" s="1"/>
  <c r="C27" i="728"/>
  <c r="C28" i="728" s="1"/>
  <c r="C29" i="728" s="1"/>
  <c r="C30" i="728" s="1"/>
  <c r="C31" i="728" s="1"/>
  <c r="C32" i="728" s="1"/>
  <c r="C33" i="728" s="1"/>
  <c r="C34" i="728" s="1"/>
  <c r="C35" i="728" s="1"/>
  <c r="C36" i="728" s="1"/>
  <c r="C37" i="728" s="1"/>
  <c r="C38" i="728" s="1"/>
  <c r="D26" i="728"/>
  <c r="D27" i="728" s="1"/>
  <c r="D28" i="728" s="1"/>
  <c r="D29" i="728" s="1"/>
  <c r="D30" i="728" s="1"/>
  <c r="D31" i="728" s="1"/>
  <c r="D32" i="728" s="1"/>
  <c r="D33" i="728" s="1"/>
  <c r="D34" i="728" s="1"/>
  <c r="D35" i="728" s="1"/>
  <c r="D36" i="728" s="1"/>
  <c r="D37" i="728" s="1"/>
  <c r="D38" i="728" s="1"/>
  <c r="C27" i="733"/>
  <c r="C28" i="733" s="1"/>
  <c r="C29" i="733" s="1"/>
  <c r="C30" i="733" s="1"/>
  <c r="C31" i="733" s="1"/>
  <c r="C32" i="733" s="1"/>
  <c r="C33" i="733" s="1"/>
  <c r="C34" i="733" s="1"/>
  <c r="C35" i="733" s="1"/>
  <c r="C36" i="733" s="1"/>
  <c r="C37" i="733" s="1"/>
  <c r="C38" i="733" s="1"/>
  <c r="D26" i="733"/>
  <c r="D27" i="733" s="1"/>
  <c r="D28" i="733" s="1"/>
  <c r="D29" i="733" s="1"/>
  <c r="D30" i="733" s="1"/>
  <c r="D31" i="733" s="1"/>
  <c r="D32" i="733" s="1"/>
  <c r="D33" i="733" s="1"/>
  <c r="D34" i="733" s="1"/>
  <c r="D35" i="733" s="1"/>
  <c r="D36" i="733" s="1"/>
  <c r="D37" i="733" s="1"/>
  <c r="D38" i="733" s="1"/>
  <c r="C27" i="727"/>
  <c r="C28" i="727" s="1"/>
  <c r="C29" i="727" s="1"/>
  <c r="C30" i="727" s="1"/>
  <c r="C31" i="727" s="1"/>
  <c r="C32" i="727" s="1"/>
  <c r="C33" i="727" s="1"/>
  <c r="C34" i="727" s="1"/>
  <c r="C35" i="727" s="1"/>
  <c r="C36" i="727" s="1"/>
  <c r="C37" i="727" s="1"/>
  <c r="C38" i="727" s="1"/>
  <c r="D26" i="727"/>
  <c r="D27" i="727" s="1"/>
  <c r="D28" i="727" s="1"/>
  <c r="D29" i="727" s="1"/>
  <c r="D30" i="727" s="1"/>
  <c r="D31" i="727" s="1"/>
  <c r="D32" i="727" s="1"/>
  <c r="D33" i="727" s="1"/>
  <c r="D34" i="727" s="1"/>
  <c r="D35" i="727" s="1"/>
  <c r="D36" i="727" s="1"/>
  <c r="D37" i="727" s="1"/>
  <c r="D38" i="727" s="1"/>
  <c r="C27" i="732"/>
  <c r="C28" i="732" s="1"/>
  <c r="C29" i="732" s="1"/>
  <c r="C30" i="732" s="1"/>
  <c r="C31" i="732" s="1"/>
  <c r="C32" i="732" s="1"/>
  <c r="C33" i="732" s="1"/>
  <c r="C34" i="732" s="1"/>
  <c r="C35" i="732" s="1"/>
  <c r="C36" i="732" s="1"/>
  <c r="C37" i="732" s="1"/>
  <c r="C38" i="732" s="1"/>
  <c r="D26" i="732"/>
  <c r="D27" i="732" s="1"/>
  <c r="D28" i="732" s="1"/>
  <c r="D29" i="732" s="1"/>
  <c r="D30" i="732" s="1"/>
  <c r="D31" i="732" s="1"/>
  <c r="D32" i="732" s="1"/>
  <c r="D33" i="732" s="1"/>
  <c r="D34" i="732" s="1"/>
  <c r="D35" i="732" s="1"/>
  <c r="D36" i="732" s="1"/>
  <c r="D37" i="732" s="1"/>
  <c r="D38" i="732" s="1"/>
  <c r="C27" i="758"/>
  <c r="C28" i="758" s="1"/>
  <c r="C29" i="758" s="1"/>
  <c r="C30" i="758" s="1"/>
  <c r="C31" i="758" s="1"/>
  <c r="C32" i="758" s="1"/>
  <c r="C33" i="758" s="1"/>
  <c r="C34" i="758" s="1"/>
  <c r="C35" i="758" s="1"/>
  <c r="C36" i="758" s="1"/>
  <c r="C37" i="758" s="1"/>
  <c r="C38" i="758" s="1"/>
  <c r="D26" i="798"/>
  <c r="D27" i="798" s="1"/>
  <c r="D28" i="798" s="1"/>
  <c r="D29" i="798" s="1"/>
  <c r="D30" i="798" s="1"/>
  <c r="D31" i="798" s="1"/>
  <c r="D32" i="798" s="1"/>
  <c r="D33" i="798" s="1"/>
  <c r="D34" i="798" s="1"/>
  <c r="D35" i="798" s="1"/>
  <c r="D36" i="798" s="1"/>
  <c r="D37" i="798" s="1"/>
  <c r="D38" i="798" s="1"/>
  <c r="C27" i="798"/>
  <c r="C28" i="798" s="1"/>
  <c r="C29" i="798" s="1"/>
  <c r="C30" i="798" s="1"/>
  <c r="C31" i="798" s="1"/>
  <c r="C32" i="798" s="1"/>
  <c r="C33" i="798" s="1"/>
  <c r="C34" i="798" s="1"/>
  <c r="C35" i="798" s="1"/>
  <c r="C36" i="798" s="1"/>
  <c r="C37" i="798" s="1"/>
  <c r="C38" i="798" s="1"/>
  <c r="D26" i="784"/>
  <c r="D27" i="784" s="1"/>
  <c r="D28" i="784" s="1"/>
  <c r="D29" i="784" s="1"/>
  <c r="D30" i="784" s="1"/>
  <c r="D31" i="784" s="1"/>
  <c r="D32" i="784" s="1"/>
  <c r="D33" i="784" s="1"/>
  <c r="D34" i="784" s="1"/>
  <c r="D35" i="784" s="1"/>
  <c r="D36" i="784" s="1"/>
  <c r="D37" i="784" s="1"/>
  <c r="D38" i="784" s="1"/>
  <c r="C27" i="753"/>
  <c r="C28" i="753" s="1"/>
  <c r="C29" i="753" s="1"/>
  <c r="C30" i="753" s="1"/>
  <c r="C31" i="753" s="1"/>
  <c r="C32" i="753" s="1"/>
  <c r="C33" i="753" s="1"/>
  <c r="C34" i="753" s="1"/>
  <c r="C35" i="753" s="1"/>
  <c r="C36" i="753" s="1"/>
  <c r="C37" i="753" s="1"/>
  <c r="C38" i="753" s="1"/>
  <c r="D26" i="794"/>
  <c r="D27" i="794" s="1"/>
  <c r="D28" i="794" s="1"/>
  <c r="D29" i="794" s="1"/>
  <c r="D30" i="794" s="1"/>
  <c r="D31" i="794" s="1"/>
  <c r="D32" i="794" s="1"/>
  <c r="D33" i="794" s="1"/>
  <c r="D34" i="794" s="1"/>
  <c r="D35" i="794" s="1"/>
  <c r="D36" i="794" s="1"/>
  <c r="D37" i="794" s="1"/>
  <c r="D38" i="794" s="1"/>
  <c r="D26" i="802"/>
  <c r="D27" i="802" s="1"/>
  <c r="D28" i="802" s="1"/>
  <c r="D29" i="802" s="1"/>
  <c r="D30" i="802" s="1"/>
  <c r="D31" i="802" s="1"/>
  <c r="D32" i="802" s="1"/>
  <c r="D33" i="802" s="1"/>
  <c r="D34" i="802" s="1"/>
  <c r="D35" i="802" s="1"/>
  <c r="D36" i="802" s="1"/>
  <c r="D37" i="802" s="1"/>
  <c r="D38" i="802" s="1"/>
  <c r="D26" i="745"/>
  <c r="D27" i="745" s="1"/>
  <c r="D28" i="745" s="1"/>
  <c r="D29" i="745" s="1"/>
  <c r="D30" i="745" s="1"/>
  <c r="D31" i="745" s="1"/>
  <c r="D32" i="745" s="1"/>
  <c r="D33" i="745" s="1"/>
  <c r="D34" i="745" s="1"/>
  <c r="D35" i="745" s="1"/>
  <c r="D36" i="745" s="1"/>
  <c r="D37" i="745" s="1"/>
  <c r="D38" i="745" s="1"/>
  <c r="C27" i="745"/>
  <c r="C28" i="745" s="1"/>
  <c r="C29" i="745" s="1"/>
  <c r="C30" i="745" s="1"/>
  <c r="C31" i="745" s="1"/>
  <c r="C32" i="745" s="1"/>
  <c r="C33" i="745" s="1"/>
  <c r="C34" i="745" s="1"/>
  <c r="C35" i="745" s="1"/>
  <c r="C36" i="745" s="1"/>
  <c r="C37" i="745" s="1"/>
  <c r="C38" i="745" s="1"/>
  <c r="C27" i="803"/>
  <c r="C28" i="803" s="1"/>
  <c r="C29" i="803" s="1"/>
  <c r="C30" i="803" s="1"/>
  <c r="C31" i="803" s="1"/>
  <c r="C32" i="803" s="1"/>
  <c r="C33" i="803" s="1"/>
  <c r="C34" i="803" s="1"/>
  <c r="C35" i="803" s="1"/>
  <c r="C36" i="803" s="1"/>
  <c r="C37" i="803" s="1"/>
  <c r="C38" i="803" s="1"/>
  <c r="D26" i="803"/>
  <c r="D27" i="803" s="1"/>
  <c r="D28" i="803" s="1"/>
  <c r="D29" i="803" s="1"/>
  <c r="D30" i="803" s="1"/>
  <c r="D31" i="803" s="1"/>
  <c r="D32" i="803" s="1"/>
  <c r="D33" i="803" s="1"/>
  <c r="D34" i="803" s="1"/>
  <c r="D35" i="803" s="1"/>
  <c r="D36" i="803" s="1"/>
  <c r="D37" i="803" s="1"/>
  <c r="D38" i="803" s="1"/>
  <c r="D26" i="779"/>
  <c r="D27" i="779" s="1"/>
  <c r="D28" i="779" s="1"/>
  <c r="D29" i="779" s="1"/>
  <c r="D30" i="779" s="1"/>
  <c r="D31" i="779" s="1"/>
  <c r="D32" i="779" s="1"/>
  <c r="D33" i="779" s="1"/>
  <c r="D34" i="779" s="1"/>
  <c r="D35" i="779" s="1"/>
  <c r="D36" i="779" s="1"/>
  <c r="D37" i="779" s="1"/>
  <c r="D38" i="779" s="1"/>
  <c r="C27" i="779"/>
  <c r="C28" i="779" s="1"/>
  <c r="C29" i="779" s="1"/>
  <c r="C30" i="779" s="1"/>
  <c r="C31" i="779" s="1"/>
  <c r="C32" i="779" s="1"/>
  <c r="C33" i="779" s="1"/>
  <c r="C34" i="779" s="1"/>
  <c r="C35" i="779" s="1"/>
  <c r="C36" i="779" s="1"/>
  <c r="C37" i="779" s="1"/>
  <c r="C38" i="779" s="1"/>
  <c r="C27" i="805"/>
  <c r="C28" i="805" s="1"/>
  <c r="C29" i="805" s="1"/>
  <c r="C30" i="805" s="1"/>
  <c r="C31" i="805" s="1"/>
  <c r="C32" i="805" s="1"/>
  <c r="C33" i="805" s="1"/>
  <c r="C34" i="805" s="1"/>
  <c r="C35" i="805" s="1"/>
  <c r="C36" i="805" s="1"/>
  <c r="C37" i="805" s="1"/>
  <c r="C38" i="805" s="1"/>
  <c r="D26" i="805"/>
  <c r="D27" i="805" s="1"/>
  <c r="D28" i="805" s="1"/>
  <c r="D29" i="805" s="1"/>
  <c r="D30" i="805" s="1"/>
  <c r="D31" i="805" s="1"/>
  <c r="D32" i="805" s="1"/>
  <c r="D33" i="805" s="1"/>
  <c r="D34" i="805" s="1"/>
  <c r="D35" i="805" s="1"/>
  <c r="D36" i="805" s="1"/>
  <c r="D37" i="805" s="1"/>
  <c r="D38" i="805" s="1"/>
  <c r="C27" i="776"/>
  <c r="C28" i="776" s="1"/>
  <c r="C29" i="776" s="1"/>
  <c r="C30" i="776" s="1"/>
  <c r="C31" i="776" s="1"/>
  <c r="C32" i="776" s="1"/>
  <c r="C33" i="776" s="1"/>
  <c r="C34" i="776" s="1"/>
  <c r="C35" i="776" s="1"/>
  <c r="C36" i="776" s="1"/>
  <c r="C37" i="776" s="1"/>
  <c r="C38" i="776" s="1"/>
  <c r="D26" i="776"/>
  <c r="D27" i="776" s="1"/>
  <c r="D28" i="776" s="1"/>
  <c r="D29" i="776" s="1"/>
  <c r="D30" i="776" s="1"/>
  <c r="D31" i="776" s="1"/>
  <c r="D32" i="776" s="1"/>
  <c r="D33" i="776" s="1"/>
  <c r="D34" i="776" s="1"/>
  <c r="D35" i="776" s="1"/>
  <c r="D36" i="776" s="1"/>
  <c r="D37" i="776" s="1"/>
  <c r="D38" i="776" s="1"/>
  <c r="C27" i="778"/>
  <c r="C28" i="778" s="1"/>
  <c r="C29" i="778" s="1"/>
  <c r="C30" i="778" s="1"/>
  <c r="C31" i="778" s="1"/>
  <c r="C32" i="778" s="1"/>
  <c r="C33" i="778" s="1"/>
  <c r="C34" i="778" s="1"/>
  <c r="C35" i="778" s="1"/>
  <c r="C36" i="778" s="1"/>
  <c r="C37" i="778" s="1"/>
  <c r="C38" i="778" s="1"/>
  <c r="D26" i="778"/>
  <c r="D27" i="778" s="1"/>
  <c r="D28" i="778" s="1"/>
  <c r="D29" i="778" s="1"/>
  <c r="D30" i="778" s="1"/>
  <c r="D31" i="778" s="1"/>
  <c r="D32" i="778" s="1"/>
  <c r="D33" i="778" s="1"/>
  <c r="D34" i="778" s="1"/>
  <c r="D35" i="778" s="1"/>
  <c r="D36" i="778" s="1"/>
  <c r="D37" i="778" s="1"/>
  <c r="D38" i="778" s="1"/>
  <c r="C27" i="774"/>
  <c r="C28" i="774" s="1"/>
  <c r="C29" i="774" s="1"/>
  <c r="C30" i="774" s="1"/>
  <c r="C31" i="774" s="1"/>
  <c r="C32" i="774" s="1"/>
  <c r="C33" i="774" s="1"/>
  <c r="C34" i="774" s="1"/>
  <c r="C35" i="774" s="1"/>
  <c r="C36" i="774" s="1"/>
  <c r="C37" i="774" s="1"/>
  <c r="C38" i="774" s="1"/>
  <c r="D26" i="801"/>
  <c r="D27" i="801" s="1"/>
  <c r="D28" i="801" s="1"/>
  <c r="D29" i="801" s="1"/>
  <c r="D30" i="801" s="1"/>
  <c r="D31" i="801" s="1"/>
  <c r="D32" i="801" s="1"/>
  <c r="D33" i="801" s="1"/>
  <c r="D34" i="801" s="1"/>
  <c r="D35" i="801" s="1"/>
  <c r="D36" i="801" s="1"/>
  <c r="D37" i="801" s="1"/>
  <c r="D38" i="801" s="1"/>
  <c r="D26" i="793"/>
  <c r="D27" i="793" s="1"/>
  <c r="D28" i="793" s="1"/>
  <c r="D29" i="793" s="1"/>
  <c r="D30" i="793" s="1"/>
  <c r="D31" i="793" s="1"/>
  <c r="D32" i="793" s="1"/>
  <c r="D33" i="793" s="1"/>
  <c r="D34" i="793" s="1"/>
  <c r="D35" i="793" s="1"/>
  <c r="D36" i="793" s="1"/>
  <c r="D37" i="793" s="1"/>
  <c r="D38" i="793" s="1"/>
  <c r="D26" i="792"/>
  <c r="D27" i="792" s="1"/>
  <c r="D28" i="792" s="1"/>
  <c r="D29" i="792" s="1"/>
  <c r="D30" i="792" s="1"/>
  <c r="D31" i="792" s="1"/>
  <c r="D32" i="792" s="1"/>
  <c r="D33" i="792" s="1"/>
  <c r="D34" i="792" s="1"/>
  <c r="D35" i="792" s="1"/>
  <c r="D36" i="792" s="1"/>
  <c r="D37" i="792" s="1"/>
  <c r="D38" i="792" s="1"/>
  <c r="D26" i="791"/>
  <c r="D27" i="791" s="1"/>
  <c r="D28" i="791" s="1"/>
  <c r="D29" i="791" s="1"/>
  <c r="D30" i="791" s="1"/>
  <c r="D31" i="791" s="1"/>
  <c r="D32" i="791" s="1"/>
  <c r="D33" i="791" s="1"/>
  <c r="D34" i="791" s="1"/>
  <c r="D35" i="791" s="1"/>
  <c r="D36" i="791" s="1"/>
  <c r="D37" i="791" s="1"/>
  <c r="D38" i="791" s="1"/>
  <c r="D26" i="790"/>
  <c r="D27" i="790" s="1"/>
  <c r="D28" i="790" s="1"/>
  <c r="D29" i="790" s="1"/>
  <c r="D30" i="790" s="1"/>
  <c r="D31" i="790" s="1"/>
  <c r="D32" i="790" s="1"/>
  <c r="D33" i="790" s="1"/>
  <c r="D34" i="790" s="1"/>
  <c r="D35" i="790" s="1"/>
  <c r="D36" i="790" s="1"/>
  <c r="D37" i="790" s="1"/>
  <c r="D38" i="790" s="1"/>
  <c r="D26" i="759"/>
  <c r="D27" i="759" s="1"/>
  <c r="D28" i="759" s="1"/>
  <c r="D29" i="759" s="1"/>
  <c r="D30" i="759" s="1"/>
  <c r="D31" i="759" s="1"/>
  <c r="D32" i="759" s="1"/>
  <c r="D33" i="759" s="1"/>
  <c r="D34" i="759" s="1"/>
  <c r="D35" i="759" s="1"/>
  <c r="D36" i="759" s="1"/>
  <c r="D37" i="759" s="1"/>
  <c r="D38" i="759" s="1"/>
  <c r="D26" i="777"/>
  <c r="D27" i="777" s="1"/>
  <c r="D28" i="777" s="1"/>
  <c r="D29" i="777" s="1"/>
  <c r="D30" i="777" s="1"/>
  <c r="D31" i="777" s="1"/>
  <c r="D32" i="777" s="1"/>
  <c r="D33" i="777" s="1"/>
  <c r="D34" i="777" s="1"/>
  <c r="D35" i="777" s="1"/>
  <c r="D36" i="777" s="1"/>
  <c r="D37" i="777" s="1"/>
  <c r="D38" i="777" s="1"/>
  <c r="D26" i="804"/>
  <c r="D27" i="804" s="1"/>
  <c r="D28" i="804" s="1"/>
  <c r="D29" i="804" s="1"/>
  <c r="D30" i="804" s="1"/>
  <c r="D31" i="804" s="1"/>
  <c r="D32" i="804" s="1"/>
  <c r="D33" i="804" s="1"/>
  <c r="D34" i="804" s="1"/>
  <c r="D35" i="804" s="1"/>
  <c r="D36" i="804" s="1"/>
  <c r="D37" i="804" s="1"/>
  <c r="D38" i="804" s="1"/>
  <c r="C27" i="739"/>
  <c r="C28" i="739" s="1"/>
  <c r="C29" i="739" s="1"/>
  <c r="C30" i="739" s="1"/>
  <c r="C31" i="739" s="1"/>
  <c r="C32" i="739" s="1"/>
  <c r="C33" i="739" s="1"/>
  <c r="C34" i="739" s="1"/>
  <c r="C35" i="739" s="1"/>
  <c r="C36" i="739" s="1"/>
  <c r="C37" i="739" s="1"/>
  <c r="C38" i="739" s="1"/>
  <c r="D26" i="739"/>
  <c r="D27" i="739" s="1"/>
  <c r="D28" i="739" s="1"/>
  <c r="D29" i="739" s="1"/>
  <c r="D30" i="739" s="1"/>
  <c r="D31" i="739" s="1"/>
  <c r="D32" i="739" s="1"/>
  <c r="D33" i="739" s="1"/>
  <c r="D34" i="739" s="1"/>
  <c r="D35" i="739" s="1"/>
  <c r="D36" i="739" s="1"/>
  <c r="D37" i="739" s="1"/>
  <c r="D38" i="739" s="1"/>
  <c r="C27" i="769"/>
  <c r="C28" i="769" s="1"/>
  <c r="C29" i="769" s="1"/>
  <c r="C30" i="769" s="1"/>
  <c r="C31" i="769" s="1"/>
  <c r="C32" i="769" s="1"/>
  <c r="C33" i="769" s="1"/>
  <c r="C34" i="769" s="1"/>
  <c r="C35" i="769" s="1"/>
  <c r="C36" i="769" s="1"/>
  <c r="C37" i="769" s="1"/>
  <c r="C38" i="769" s="1"/>
  <c r="D26" i="769"/>
  <c r="D27" i="769" s="1"/>
  <c r="D28" i="769" s="1"/>
  <c r="D29" i="769" s="1"/>
  <c r="D30" i="769" s="1"/>
  <c r="D31" i="769" s="1"/>
  <c r="D32" i="769" s="1"/>
  <c r="D33" i="769" s="1"/>
  <c r="D34" i="769" s="1"/>
  <c r="D35" i="769" s="1"/>
  <c r="D36" i="769" s="1"/>
  <c r="D37" i="769" s="1"/>
  <c r="D38" i="769" s="1"/>
  <c r="D26" i="746"/>
  <c r="D27" i="746" s="1"/>
  <c r="D28" i="746" s="1"/>
  <c r="D29" i="746" s="1"/>
  <c r="D30" i="746" s="1"/>
  <c r="D31" i="746" s="1"/>
  <c r="D32" i="746" s="1"/>
  <c r="D33" i="746" s="1"/>
  <c r="D34" i="746" s="1"/>
  <c r="D35" i="746" s="1"/>
  <c r="D36" i="746" s="1"/>
  <c r="D37" i="746" s="1"/>
  <c r="D38" i="746" s="1"/>
  <c r="C27" i="746"/>
  <c r="C28" i="746" s="1"/>
  <c r="C29" i="746" s="1"/>
  <c r="C30" i="746" s="1"/>
  <c r="C31" i="746" s="1"/>
  <c r="C32" i="746" s="1"/>
  <c r="C33" i="746" s="1"/>
  <c r="C34" i="746" s="1"/>
  <c r="C35" i="746" s="1"/>
  <c r="C36" i="746" s="1"/>
  <c r="C37" i="746" s="1"/>
  <c r="C38" i="746" s="1"/>
  <c r="C27" i="771"/>
  <c r="C28" i="771" s="1"/>
  <c r="C29" i="771" s="1"/>
  <c r="C30" i="771" s="1"/>
  <c r="C31" i="771" s="1"/>
  <c r="C32" i="771" s="1"/>
  <c r="C33" i="771" s="1"/>
  <c r="C34" i="771" s="1"/>
  <c r="C35" i="771" s="1"/>
  <c r="C36" i="771" s="1"/>
  <c r="C37" i="771" s="1"/>
  <c r="C38" i="771" s="1"/>
  <c r="D26" i="771"/>
  <c r="D27" i="771" s="1"/>
  <c r="D28" i="771" s="1"/>
  <c r="D29" i="771" s="1"/>
  <c r="D30" i="771" s="1"/>
  <c r="D31" i="771" s="1"/>
  <c r="D32" i="771" s="1"/>
  <c r="D33" i="771" s="1"/>
  <c r="D34" i="771" s="1"/>
  <c r="D35" i="771" s="1"/>
  <c r="D36" i="771" s="1"/>
  <c r="D37" i="771" s="1"/>
  <c r="D38" i="771" s="1"/>
  <c r="D26" i="773"/>
  <c r="D27" i="773" s="1"/>
  <c r="D28" i="773" s="1"/>
  <c r="D29" i="773" s="1"/>
  <c r="D30" i="773" s="1"/>
  <c r="D31" i="773" s="1"/>
  <c r="D32" i="773" s="1"/>
  <c r="D33" i="773" s="1"/>
  <c r="D34" i="773" s="1"/>
  <c r="D35" i="773" s="1"/>
  <c r="D36" i="773" s="1"/>
  <c r="D37" i="773" s="1"/>
  <c r="D38" i="773" s="1"/>
  <c r="C27" i="814"/>
  <c r="C28" i="814" s="1"/>
  <c r="C29" i="814" s="1"/>
  <c r="C30" i="814" s="1"/>
  <c r="C31" i="814" s="1"/>
  <c r="C32" i="814" s="1"/>
  <c r="C33" i="814" s="1"/>
  <c r="C34" i="814" s="1"/>
  <c r="C35" i="814" s="1"/>
  <c r="C36" i="814" s="1"/>
  <c r="C37" i="814" s="1"/>
  <c r="C38" i="814" s="1"/>
  <c r="D26" i="814"/>
  <c r="D27" i="814" s="1"/>
  <c r="D28" i="814" s="1"/>
  <c r="D29" i="814" s="1"/>
  <c r="D30" i="814" s="1"/>
  <c r="D31" i="814" s="1"/>
  <c r="D32" i="814" s="1"/>
  <c r="D33" i="814" s="1"/>
  <c r="D34" i="814" s="1"/>
  <c r="D35" i="814" s="1"/>
  <c r="D36" i="814" s="1"/>
  <c r="D37" i="814" s="1"/>
  <c r="D38" i="814" s="1"/>
  <c r="D26" i="780"/>
  <c r="D27" i="780" s="1"/>
  <c r="D28" i="780" s="1"/>
  <c r="D29" i="780" s="1"/>
  <c r="D30" i="780" s="1"/>
  <c r="D31" i="780" s="1"/>
  <c r="D32" i="780" s="1"/>
  <c r="D33" i="780" s="1"/>
  <c r="D34" i="780" s="1"/>
  <c r="D35" i="780" s="1"/>
  <c r="D36" i="780" s="1"/>
  <c r="D37" i="780" s="1"/>
  <c r="D38" i="780" s="1"/>
  <c r="C27" i="783"/>
  <c r="C28" i="783" s="1"/>
  <c r="C29" i="783" s="1"/>
  <c r="C30" i="783" s="1"/>
  <c r="C31" i="783" s="1"/>
  <c r="C32" i="783" s="1"/>
  <c r="C33" i="783" s="1"/>
  <c r="C34" i="783" s="1"/>
  <c r="C35" i="783" s="1"/>
  <c r="C36" i="783" s="1"/>
  <c r="C37" i="783" s="1"/>
  <c r="C38" i="783" s="1"/>
  <c r="D26" i="783"/>
  <c r="D27" i="783" s="1"/>
  <c r="D28" i="783" s="1"/>
  <c r="D29" i="783" s="1"/>
  <c r="D30" i="783" s="1"/>
  <c r="D31" i="783" s="1"/>
  <c r="D32" i="783" s="1"/>
  <c r="D33" i="783" s="1"/>
  <c r="D34" i="783" s="1"/>
  <c r="D35" i="783" s="1"/>
  <c r="D36" i="783" s="1"/>
  <c r="D37" i="783" s="1"/>
  <c r="D38" i="783" s="1"/>
  <c r="C27" i="782"/>
  <c r="C28" i="782" s="1"/>
  <c r="C29" i="782" s="1"/>
  <c r="C30" i="782" s="1"/>
  <c r="C31" i="782" s="1"/>
  <c r="C32" i="782" s="1"/>
  <c r="C33" i="782" s="1"/>
  <c r="C34" i="782" s="1"/>
  <c r="C35" i="782" s="1"/>
  <c r="C36" i="782" s="1"/>
  <c r="C37" i="782" s="1"/>
  <c r="C38" i="782" s="1"/>
  <c r="D26" i="782"/>
  <c r="D27" i="782" s="1"/>
  <c r="D28" i="782" s="1"/>
  <c r="D29" i="782" s="1"/>
  <c r="D30" i="782" s="1"/>
  <c r="D31" i="782" s="1"/>
  <c r="D32" i="782" s="1"/>
  <c r="D33" i="782" s="1"/>
  <c r="D34" i="782" s="1"/>
  <c r="D35" i="782" s="1"/>
  <c r="D36" i="782" s="1"/>
  <c r="D37" i="782" s="1"/>
  <c r="D38" i="782" s="1"/>
  <c r="C27" i="754"/>
  <c r="C28" i="754" s="1"/>
  <c r="C29" i="754" s="1"/>
  <c r="C30" i="754" s="1"/>
  <c r="C31" i="754" s="1"/>
  <c r="C32" i="754" s="1"/>
  <c r="C33" i="754" s="1"/>
  <c r="C34" i="754" s="1"/>
  <c r="C35" i="754" s="1"/>
  <c r="C36" i="754" s="1"/>
  <c r="C37" i="754" s="1"/>
  <c r="C38" i="754" s="1"/>
  <c r="D26" i="808"/>
  <c r="D27" i="808" s="1"/>
  <c r="D28" i="808" s="1"/>
  <c r="D29" i="808" s="1"/>
  <c r="D30" i="808" s="1"/>
  <c r="D31" i="808" s="1"/>
  <c r="D32" i="808" s="1"/>
  <c r="D33" i="808" s="1"/>
  <c r="D34" i="808" s="1"/>
  <c r="D35" i="808" s="1"/>
  <c r="D36" i="808" s="1"/>
  <c r="D37" i="808" s="1"/>
  <c r="D38" i="808" s="1"/>
  <c r="C27" i="797"/>
  <c r="C28" i="797" s="1"/>
  <c r="C29" i="797" s="1"/>
  <c r="C30" i="797" s="1"/>
  <c r="C31" i="797" s="1"/>
  <c r="C32" i="797" s="1"/>
  <c r="C33" i="797" s="1"/>
  <c r="C34" i="797" s="1"/>
  <c r="C35" i="797" s="1"/>
  <c r="C36" i="797" s="1"/>
  <c r="C37" i="797" s="1"/>
  <c r="C38" i="797" s="1"/>
  <c r="C27" i="809"/>
  <c r="C28" i="809" s="1"/>
  <c r="C29" i="809" s="1"/>
  <c r="C30" i="809" s="1"/>
  <c r="C31" i="809" s="1"/>
  <c r="C32" i="809" s="1"/>
  <c r="C33" i="809" s="1"/>
  <c r="C34" i="809" s="1"/>
  <c r="C35" i="809" s="1"/>
  <c r="C36" i="809" s="1"/>
  <c r="C37" i="809" s="1"/>
  <c r="C38" i="809" s="1"/>
  <c r="D26" i="809"/>
  <c r="D27" i="809" s="1"/>
  <c r="D28" i="809" s="1"/>
  <c r="D29" i="809" s="1"/>
  <c r="D30" i="809" s="1"/>
  <c r="D31" i="809" s="1"/>
  <c r="D32" i="809" s="1"/>
  <c r="D33" i="809" s="1"/>
  <c r="D34" i="809" s="1"/>
  <c r="D35" i="809" s="1"/>
  <c r="D36" i="809" s="1"/>
  <c r="D37" i="809" s="1"/>
  <c r="D38" i="809" s="1"/>
  <c r="C27" i="813"/>
  <c r="C28" i="813" s="1"/>
  <c r="C29" i="813" s="1"/>
  <c r="C30" i="813" s="1"/>
  <c r="C31" i="813" s="1"/>
  <c r="C32" i="813" s="1"/>
  <c r="C33" i="813" s="1"/>
  <c r="C34" i="813" s="1"/>
  <c r="C35" i="813" s="1"/>
  <c r="C36" i="813" s="1"/>
  <c r="C37" i="813" s="1"/>
  <c r="C38" i="813" s="1"/>
  <c r="D26" i="813"/>
  <c r="D27" i="813" s="1"/>
  <c r="D28" i="813" s="1"/>
  <c r="D29" i="813" s="1"/>
  <c r="D30" i="813" s="1"/>
  <c r="D31" i="813" s="1"/>
  <c r="D32" i="813" s="1"/>
  <c r="D33" i="813" s="1"/>
  <c r="D34" i="813" s="1"/>
  <c r="D35" i="813" s="1"/>
  <c r="D36" i="813" s="1"/>
  <c r="D37" i="813" s="1"/>
  <c r="D38" i="813" s="1"/>
  <c r="C27" i="812"/>
  <c r="C28" i="812" s="1"/>
  <c r="C29" i="812" s="1"/>
  <c r="C30" i="812" s="1"/>
  <c r="C31" i="812" s="1"/>
  <c r="C32" i="812" s="1"/>
  <c r="C33" i="812" s="1"/>
  <c r="C34" i="812" s="1"/>
  <c r="C35" i="812" s="1"/>
  <c r="C36" i="812" s="1"/>
  <c r="C37" i="812" s="1"/>
  <c r="C38" i="812" s="1"/>
  <c r="D26" i="812"/>
  <c r="D27" i="812" s="1"/>
  <c r="D28" i="812" s="1"/>
  <c r="D29" i="812" s="1"/>
  <c r="D30" i="812" s="1"/>
  <c r="D31" i="812" s="1"/>
  <c r="D32" i="812" s="1"/>
  <c r="D33" i="812" s="1"/>
  <c r="D34" i="812" s="1"/>
  <c r="D35" i="812" s="1"/>
  <c r="D36" i="812" s="1"/>
  <c r="D37" i="812" s="1"/>
  <c r="D38" i="812" s="1"/>
  <c r="D26" i="800"/>
  <c r="D27" i="800" s="1"/>
  <c r="D28" i="800" s="1"/>
  <c r="D29" i="800" s="1"/>
  <c r="D30" i="800" s="1"/>
  <c r="D31" i="800" s="1"/>
  <c r="D32" i="800" s="1"/>
  <c r="D33" i="800" s="1"/>
  <c r="D34" i="800" s="1"/>
  <c r="D35" i="800" s="1"/>
  <c r="D36" i="800" s="1"/>
  <c r="D37" i="800" s="1"/>
  <c r="D38" i="800" s="1"/>
  <c r="C27" i="806"/>
  <c r="C28" i="806" s="1"/>
  <c r="C29" i="806" s="1"/>
  <c r="C30" i="806" s="1"/>
  <c r="C31" i="806" s="1"/>
  <c r="C32" i="806" s="1"/>
  <c r="C33" i="806" s="1"/>
  <c r="C34" i="806" s="1"/>
  <c r="C35" i="806" s="1"/>
  <c r="C36" i="806" s="1"/>
  <c r="C37" i="806" s="1"/>
  <c r="C38" i="806" s="1"/>
  <c r="D26" i="806"/>
  <c r="D27" i="806" s="1"/>
  <c r="D28" i="806" s="1"/>
  <c r="D29" i="806" s="1"/>
  <c r="D30" i="806" s="1"/>
  <c r="D31" i="806" s="1"/>
  <c r="D32" i="806" s="1"/>
  <c r="D33" i="806" s="1"/>
  <c r="D34" i="806" s="1"/>
  <c r="D35" i="806" s="1"/>
  <c r="D36" i="806" s="1"/>
  <c r="D37" i="806" s="1"/>
  <c r="D38" i="806" s="1"/>
  <c r="D26" i="799"/>
  <c r="D27" i="799" s="1"/>
  <c r="D28" i="799" s="1"/>
  <c r="D29" i="799" s="1"/>
  <c r="D30" i="799" s="1"/>
  <c r="D31" i="799" s="1"/>
  <c r="D32" i="799" s="1"/>
  <c r="D33" i="799" s="1"/>
  <c r="D34" i="799" s="1"/>
  <c r="D35" i="799" s="1"/>
  <c r="D36" i="799" s="1"/>
  <c r="D37" i="799" s="1"/>
  <c r="D38" i="799" s="1"/>
  <c r="C27" i="810"/>
  <c r="C28" i="810" s="1"/>
  <c r="C29" i="810" s="1"/>
  <c r="C30" i="810" s="1"/>
  <c r="C31" i="810" s="1"/>
  <c r="C32" i="810" s="1"/>
  <c r="C33" i="810" s="1"/>
  <c r="C34" i="810" s="1"/>
  <c r="C35" i="810" s="1"/>
  <c r="C36" i="810" s="1"/>
  <c r="C37" i="810" s="1"/>
  <c r="C38" i="810" s="1"/>
  <c r="D26" i="810"/>
  <c r="D27" i="810" s="1"/>
  <c r="D28" i="810" s="1"/>
  <c r="D29" i="810" s="1"/>
  <c r="D30" i="810" s="1"/>
  <c r="D31" i="810" s="1"/>
  <c r="D32" i="810" s="1"/>
  <c r="D33" i="810" s="1"/>
  <c r="D34" i="810" s="1"/>
  <c r="D35" i="810" s="1"/>
  <c r="D36" i="810" s="1"/>
  <c r="D37" i="810" s="1"/>
  <c r="D38" i="810" s="1"/>
  <c r="D26" i="816"/>
  <c r="D27" i="816" s="1"/>
  <c r="D28" i="816" s="1"/>
  <c r="D29" i="816" s="1"/>
  <c r="D30" i="816" s="1"/>
  <c r="D31" i="816" s="1"/>
  <c r="D32" i="816" s="1"/>
  <c r="D33" i="816" s="1"/>
  <c r="D34" i="816" s="1"/>
  <c r="D35" i="816" s="1"/>
  <c r="D36" i="816" s="1"/>
  <c r="D37" i="816" s="1"/>
  <c r="D38" i="816" s="1"/>
  <c r="C27" i="819"/>
  <c r="C28" i="819" s="1"/>
  <c r="C29" i="819" s="1"/>
  <c r="C30" i="819" s="1"/>
  <c r="C31" i="819" s="1"/>
  <c r="C32" i="819" s="1"/>
  <c r="C33" i="819" s="1"/>
  <c r="C34" i="819" s="1"/>
  <c r="C35" i="819" s="1"/>
  <c r="C36" i="819" s="1"/>
  <c r="C37" i="819" s="1"/>
  <c r="C38" i="819" s="1"/>
  <c r="D26" i="819"/>
  <c r="D27" i="819" s="1"/>
  <c r="D28" i="819" s="1"/>
  <c r="D29" i="819" s="1"/>
  <c r="D30" i="819" s="1"/>
  <c r="D31" i="819" s="1"/>
  <c r="D32" i="819" s="1"/>
  <c r="D33" i="819" s="1"/>
  <c r="D34" i="819" s="1"/>
  <c r="D35" i="819" s="1"/>
  <c r="D36" i="819" s="1"/>
  <c r="D37" i="819" s="1"/>
  <c r="D38" i="819" s="1"/>
  <c r="D26" i="821"/>
  <c r="D27" i="821" s="1"/>
  <c r="D28" i="821" s="1"/>
  <c r="D29" i="821" s="1"/>
  <c r="D30" i="821" s="1"/>
  <c r="D31" i="821" s="1"/>
  <c r="D32" i="821" s="1"/>
  <c r="D33" i="821" s="1"/>
  <c r="D34" i="821" s="1"/>
  <c r="D35" i="821" s="1"/>
  <c r="D36" i="821" s="1"/>
  <c r="D37" i="821" s="1"/>
  <c r="D38" i="821" s="1"/>
  <c r="D26" i="822"/>
  <c r="D27" i="822" s="1"/>
  <c r="D28" i="822" s="1"/>
  <c r="D29" i="822" s="1"/>
  <c r="D30" i="822" s="1"/>
  <c r="D31" i="822" s="1"/>
  <c r="D32" i="822" s="1"/>
  <c r="D33" i="822" s="1"/>
  <c r="D34" i="822" s="1"/>
  <c r="D35" i="822" s="1"/>
  <c r="D36" i="822" s="1"/>
  <c r="D37" i="822" s="1"/>
  <c r="D38" i="822" s="1"/>
  <c r="D26" i="820"/>
  <c r="D27" i="820" s="1"/>
  <c r="D28" i="820" s="1"/>
  <c r="D29" i="820" s="1"/>
  <c r="D30" i="820" s="1"/>
  <c r="D31" i="820" s="1"/>
  <c r="D32" i="820" s="1"/>
  <c r="D33" i="820" s="1"/>
  <c r="D34" i="820" s="1"/>
  <c r="D35" i="820" s="1"/>
  <c r="D36" i="820" s="1"/>
  <c r="D37" i="820" s="1"/>
  <c r="D38" i="820" s="1"/>
  <c r="C27" i="741"/>
  <c r="C28" i="741" s="1"/>
  <c r="C29" i="741" s="1"/>
  <c r="C30" i="741" s="1"/>
  <c r="C31" i="741" s="1"/>
  <c r="C32" i="741" s="1"/>
  <c r="C33" i="741" s="1"/>
  <c r="C34" i="741" s="1"/>
  <c r="C35" i="741" s="1"/>
  <c r="C36" i="741" s="1"/>
  <c r="C37" i="741" s="1"/>
  <c r="C38" i="741" s="1"/>
  <c r="D26" i="741"/>
  <c r="D27" i="741" s="1"/>
  <c r="D28" i="741" s="1"/>
  <c r="D29" i="741" s="1"/>
  <c r="D30" i="741" s="1"/>
  <c r="D31" i="741" s="1"/>
  <c r="D32" i="741" s="1"/>
  <c r="D33" i="741" s="1"/>
  <c r="D34" i="741" s="1"/>
  <c r="D35" i="741" s="1"/>
  <c r="D36" i="741" s="1"/>
  <c r="D37" i="741" s="1"/>
  <c r="D38" i="741" s="1"/>
  <c r="D26" i="742"/>
  <c r="D27" i="742" s="1"/>
  <c r="D28" i="742" s="1"/>
  <c r="D29" i="742" s="1"/>
  <c r="D30" i="742" s="1"/>
  <c r="D31" i="742" s="1"/>
  <c r="D32" i="742" s="1"/>
  <c r="D33" i="742" s="1"/>
  <c r="D34" i="742" s="1"/>
  <c r="D35" i="742" s="1"/>
  <c r="D36" i="742" s="1"/>
  <c r="D37" i="742" s="1"/>
  <c r="D38" i="742" s="1"/>
  <c r="C27" i="742"/>
  <c r="C28" i="742" s="1"/>
  <c r="C29" i="742" s="1"/>
  <c r="C30" i="742" s="1"/>
  <c r="C31" i="742" s="1"/>
  <c r="C32" i="742" s="1"/>
  <c r="C33" i="742" s="1"/>
  <c r="C34" i="742" s="1"/>
  <c r="C35" i="742" s="1"/>
  <c r="C36" i="742" s="1"/>
  <c r="C37" i="742" s="1"/>
  <c r="C38" i="742" s="1"/>
  <c r="C27" i="766"/>
  <c r="C28" i="766" s="1"/>
  <c r="C29" i="766" s="1"/>
  <c r="C30" i="766" s="1"/>
  <c r="C31" i="766" s="1"/>
  <c r="C32" i="766" s="1"/>
  <c r="C33" i="766" s="1"/>
  <c r="C34" i="766" s="1"/>
  <c r="C35" i="766" s="1"/>
  <c r="C36" i="766" s="1"/>
  <c r="C37" i="766" s="1"/>
  <c r="C38" i="766" s="1"/>
  <c r="D26" i="766"/>
  <c r="D27" i="766" s="1"/>
  <c r="D28" i="766" s="1"/>
  <c r="D29" i="766" s="1"/>
  <c r="D30" i="766" s="1"/>
  <c r="D31" i="766" s="1"/>
  <c r="D32" i="766" s="1"/>
  <c r="D33" i="766" s="1"/>
  <c r="D34" i="766" s="1"/>
  <c r="D35" i="766" s="1"/>
  <c r="D36" i="766" s="1"/>
  <c r="D37" i="766" s="1"/>
  <c r="D38" i="766" s="1"/>
  <c r="C27" i="760"/>
  <c r="C28" i="760" s="1"/>
  <c r="C29" i="760" s="1"/>
  <c r="C30" i="760" s="1"/>
  <c r="C31" i="760" s="1"/>
  <c r="C32" i="760" s="1"/>
  <c r="C33" i="760" s="1"/>
  <c r="C34" i="760" s="1"/>
  <c r="C35" i="760" s="1"/>
  <c r="C36" i="760" s="1"/>
  <c r="C37" i="760" s="1"/>
  <c r="C38" i="760" s="1"/>
  <c r="D26" i="760"/>
  <c r="D27" i="760" s="1"/>
  <c r="D28" i="760" s="1"/>
  <c r="D29" i="760" s="1"/>
  <c r="D30" i="760" s="1"/>
  <c r="D31" i="760" s="1"/>
  <c r="D32" i="760" s="1"/>
  <c r="D33" i="760" s="1"/>
  <c r="D34" i="760" s="1"/>
  <c r="D35" i="760" s="1"/>
  <c r="D36" i="760" s="1"/>
  <c r="D37" i="760" s="1"/>
  <c r="D38" i="760" s="1"/>
  <c r="D26" i="720"/>
  <c r="D27" i="720" s="1"/>
  <c r="D28" i="720" s="1"/>
  <c r="D29" i="720" s="1"/>
  <c r="D30" i="720" s="1"/>
  <c r="D31" i="720" s="1"/>
  <c r="D32" i="720" s="1"/>
  <c r="D33" i="720" s="1"/>
  <c r="D34" i="720" s="1"/>
  <c r="D35" i="720" s="1"/>
  <c r="D36" i="720" s="1"/>
  <c r="D37" i="720" s="1"/>
  <c r="D38" i="720" s="1"/>
  <c r="C27" i="763"/>
  <c r="C28" i="763" s="1"/>
  <c r="C29" i="763" s="1"/>
  <c r="C30" i="763" s="1"/>
  <c r="C31" i="763" s="1"/>
  <c r="C32" i="763" s="1"/>
  <c r="C33" i="763" s="1"/>
  <c r="C34" i="763" s="1"/>
  <c r="C35" i="763" s="1"/>
  <c r="C36" i="763" s="1"/>
  <c r="C37" i="763" s="1"/>
  <c r="C38" i="763" s="1"/>
  <c r="D26" i="763"/>
  <c r="D27" i="763" s="1"/>
  <c r="D28" i="763" s="1"/>
  <c r="D29" i="763" s="1"/>
  <c r="D30" i="763" s="1"/>
  <c r="D31" i="763" s="1"/>
  <c r="D32" i="763" s="1"/>
  <c r="D33" i="763" s="1"/>
  <c r="D34" i="763" s="1"/>
  <c r="D35" i="763" s="1"/>
  <c r="D36" i="763" s="1"/>
  <c r="D37" i="763" s="1"/>
  <c r="D38" i="763" s="1"/>
  <c r="C27" i="767"/>
  <c r="C28" i="767" s="1"/>
  <c r="C29" i="767" s="1"/>
  <c r="C30" i="767" s="1"/>
  <c r="C31" i="767" s="1"/>
  <c r="C32" i="767" s="1"/>
  <c r="C33" i="767" s="1"/>
  <c r="C34" i="767" s="1"/>
  <c r="C35" i="767" s="1"/>
  <c r="C36" i="767" s="1"/>
  <c r="C37" i="767" s="1"/>
  <c r="C38" i="767" s="1"/>
  <c r="D26" i="767"/>
  <c r="D27" i="767" s="1"/>
  <c r="D28" i="767" s="1"/>
  <c r="D29" i="767" s="1"/>
  <c r="D30" i="767" s="1"/>
  <c r="D31" i="767" s="1"/>
  <c r="D32" i="767" s="1"/>
  <c r="D33" i="767" s="1"/>
  <c r="D34" i="767" s="1"/>
  <c r="D35" i="767" s="1"/>
  <c r="D36" i="767" s="1"/>
  <c r="D37" i="767" s="1"/>
  <c r="D38" i="767" s="1"/>
  <c r="D26" i="752"/>
  <c r="D27" i="752" s="1"/>
  <c r="D28" i="752" s="1"/>
  <c r="D29" i="752" s="1"/>
  <c r="D30" i="752" s="1"/>
  <c r="D31" i="752" s="1"/>
  <c r="D32" i="752" s="1"/>
  <c r="D33" i="752" s="1"/>
  <c r="D34" i="752" s="1"/>
  <c r="D35" i="752" s="1"/>
  <c r="D36" i="752" s="1"/>
  <c r="D37" i="752" s="1"/>
  <c r="D38" i="752" s="1"/>
  <c r="C27" i="764"/>
  <c r="C28" i="764" s="1"/>
  <c r="C29" i="764" s="1"/>
  <c r="C30" i="764" s="1"/>
  <c r="C31" i="764" s="1"/>
  <c r="C32" i="764" s="1"/>
  <c r="C33" i="764" s="1"/>
  <c r="C34" i="764" s="1"/>
  <c r="C35" i="764" s="1"/>
  <c r="C36" i="764" s="1"/>
  <c r="C37" i="764" s="1"/>
  <c r="C38" i="764" s="1"/>
  <c r="D26" i="764"/>
  <c r="D27" i="764" s="1"/>
  <c r="D28" i="764" s="1"/>
  <c r="D29" i="764" s="1"/>
  <c r="D30" i="764" s="1"/>
  <c r="D31" i="764" s="1"/>
  <c r="D32" i="764" s="1"/>
  <c r="D33" i="764" s="1"/>
  <c r="D34" i="764" s="1"/>
  <c r="D35" i="764" s="1"/>
  <c r="D36" i="764" s="1"/>
  <c r="D37" i="764" s="1"/>
  <c r="D38" i="764" s="1"/>
  <c r="C27" i="761"/>
  <c r="C28" i="761" s="1"/>
  <c r="C29" i="761" s="1"/>
  <c r="C30" i="761" s="1"/>
  <c r="C31" i="761" s="1"/>
  <c r="C32" i="761" s="1"/>
  <c r="C33" i="761" s="1"/>
  <c r="C34" i="761" s="1"/>
  <c r="C35" i="761" s="1"/>
  <c r="C36" i="761" s="1"/>
  <c r="C37" i="761" s="1"/>
  <c r="C38" i="761" s="1"/>
  <c r="D26" i="761"/>
  <c r="D27" i="761" s="1"/>
  <c r="D28" i="761" s="1"/>
  <c r="D29" i="761" s="1"/>
  <c r="D30" i="761" s="1"/>
  <c r="D31" i="761" s="1"/>
  <c r="D32" i="761" s="1"/>
  <c r="D33" i="761" s="1"/>
  <c r="D34" i="761" s="1"/>
  <c r="D35" i="761" s="1"/>
  <c r="D36" i="761" s="1"/>
  <c r="D37" i="761" s="1"/>
  <c r="D38" i="761" s="1"/>
  <c r="D26" i="751"/>
  <c r="D27" i="751" s="1"/>
  <c r="D28" i="751" s="1"/>
  <c r="D29" i="751" s="1"/>
  <c r="D30" i="751" s="1"/>
  <c r="D31" i="751" s="1"/>
  <c r="D32" i="751" s="1"/>
  <c r="D33" i="751" s="1"/>
  <c r="D34" i="751" s="1"/>
  <c r="D35" i="751" s="1"/>
  <c r="D36" i="751" s="1"/>
  <c r="D37" i="751" s="1"/>
  <c r="D38" i="751" s="1"/>
  <c r="C27" i="762"/>
  <c r="C28" i="762" s="1"/>
  <c r="C29" i="762" s="1"/>
  <c r="C30" i="762" s="1"/>
  <c r="C31" i="762" s="1"/>
  <c r="C32" i="762" s="1"/>
  <c r="C33" i="762" s="1"/>
  <c r="C34" i="762" s="1"/>
  <c r="C35" i="762" s="1"/>
  <c r="C36" i="762" s="1"/>
  <c r="C37" i="762" s="1"/>
  <c r="C38" i="762" s="1"/>
  <c r="D26" i="762"/>
  <c r="D27" i="762" s="1"/>
  <c r="D28" i="762" s="1"/>
  <c r="D29" i="762" s="1"/>
  <c r="D30" i="762" s="1"/>
  <c r="D31" i="762" s="1"/>
  <c r="D32" i="762" s="1"/>
  <c r="D33" i="762" s="1"/>
  <c r="D34" i="762" s="1"/>
  <c r="D35" i="762" s="1"/>
  <c r="D36" i="762" s="1"/>
  <c r="D37" i="762" s="1"/>
  <c r="D38" i="762" s="1"/>
  <c r="C27" i="765"/>
  <c r="C28" i="765" s="1"/>
  <c r="C29" i="765" s="1"/>
  <c r="C30" i="765" s="1"/>
  <c r="C31" i="765" s="1"/>
  <c r="C32" i="765" s="1"/>
  <c r="C33" i="765" s="1"/>
  <c r="C34" i="765" s="1"/>
  <c r="C35" i="765" s="1"/>
  <c r="C36" i="765" s="1"/>
  <c r="C37" i="765" s="1"/>
  <c r="C38" i="765" s="1"/>
  <c r="D26" i="765"/>
  <c r="D27" i="765" s="1"/>
  <c r="D28" i="765" s="1"/>
  <c r="D29" i="765" s="1"/>
  <c r="D30" i="765" s="1"/>
  <c r="D31" i="765" s="1"/>
  <c r="D32" i="765" s="1"/>
  <c r="D33" i="765" s="1"/>
  <c r="D34" i="765" s="1"/>
  <c r="D35" i="765" s="1"/>
  <c r="D36" i="765" s="1"/>
  <c r="D37" i="765" s="1"/>
  <c r="D38" i="765" s="1"/>
  <c r="C27" i="722"/>
  <c r="C28" i="722" s="1"/>
  <c r="C29" i="722" s="1"/>
  <c r="C30" i="722" s="1"/>
  <c r="C31" i="722" s="1"/>
  <c r="C32" i="722" s="1"/>
  <c r="C33" i="722" s="1"/>
  <c r="C34" i="722" s="1"/>
  <c r="C35" i="722" s="1"/>
  <c r="C36" i="722" s="1"/>
  <c r="C37" i="722" s="1"/>
  <c r="C38" i="722" s="1"/>
  <c r="D26" i="722"/>
  <c r="D27" i="722" s="1"/>
  <c r="D28" i="722" s="1"/>
  <c r="D29" i="722" s="1"/>
  <c r="D30" i="722" s="1"/>
  <c r="D31" i="722" s="1"/>
  <c r="D32" i="722" s="1"/>
  <c r="D33" i="722" s="1"/>
  <c r="D34" i="722" s="1"/>
  <c r="D35" i="722" s="1"/>
  <c r="D36" i="722" s="1"/>
  <c r="D37" i="722" s="1"/>
  <c r="D38" i="722" s="1"/>
  <c r="C27" i="724"/>
  <c r="C28" i="724" s="1"/>
  <c r="C29" i="724" s="1"/>
  <c r="C30" i="724" s="1"/>
  <c r="C31" i="724" s="1"/>
  <c r="C32" i="724" s="1"/>
  <c r="C33" i="724" s="1"/>
  <c r="C34" i="724" s="1"/>
  <c r="C35" i="724" s="1"/>
  <c r="C36" i="724" s="1"/>
  <c r="C37" i="724" s="1"/>
  <c r="C38" i="724" s="1"/>
  <c r="D26" i="724"/>
  <c r="D27" i="724" s="1"/>
  <c r="D28" i="724" s="1"/>
  <c r="D29" i="724" s="1"/>
  <c r="D30" i="724" s="1"/>
  <c r="D31" i="724" s="1"/>
  <c r="D32" i="724" s="1"/>
  <c r="D33" i="724" s="1"/>
  <c r="D34" i="724" s="1"/>
  <c r="D35" i="724" s="1"/>
  <c r="D36" i="724" s="1"/>
  <c r="D37" i="724" s="1"/>
  <c r="D38" i="724" s="1"/>
  <c r="C27" i="734"/>
  <c r="C28" i="734" s="1"/>
  <c r="C29" i="734" s="1"/>
  <c r="C30" i="734" s="1"/>
  <c r="C31" i="734" s="1"/>
  <c r="C32" i="734" s="1"/>
  <c r="C33" i="734" s="1"/>
  <c r="C34" i="734" s="1"/>
  <c r="C35" i="734" s="1"/>
  <c r="C36" i="734" s="1"/>
  <c r="C37" i="734" s="1"/>
  <c r="C38" i="734" s="1"/>
  <c r="D26" i="734"/>
  <c r="D27" i="734" s="1"/>
  <c r="D28" i="734" s="1"/>
  <c r="D29" i="734" s="1"/>
  <c r="D30" i="734" s="1"/>
  <c r="D31" i="734" s="1"/>
  <c r="D32" i="734" s="1"/>
  <c r="D33" i="734" s="1"/>
  <c r="D34" i="734" s="1"/>
  <c r="D35" i="734" s="1"/>
  <c r="D36" i="734" s="1"/>
  <c r="D37" i="734" s="1"/>
  <c r="D38" i="734" s="1"/>
  <c r="C27" i="735"/>
  <c r="C28" i="735" s="1"/>
  <c r="C29" i="735" s="1"/>
  <c r="C30" i="735" s="1"/>
  <c r="C31" i="735" s="1"/>
  <c r="C32" i="735" s="1"/>
  <c r="C33" i="735" s="1"/>
  <c r="C34" i="735" s="1"/>
  <c r="C35" i="735" s="1"/>
  <c r="C36" i="735" s="1"/>
  <c r="C37" i="735" s="1"/>
  <c r="C38" i="735" s="1"/>
  <c r="D26" i="735"/>
  <c r="D27" i="735" s="1"/>
  <c r="D28" i="735" s="1"/>
  <c r="D29" i="735" s="1"/>
  <c r="D30" i="735" s="1"/>
  <c r="D31" i="735" s="1"/>
  <c r="D32" i="735" s="1"/>
  <c r="D33" i="735" s="1"/>
  <c r="D34" i="735" s="1"/>
  <c r="D35" i="735" s="1"/>
  <c r="D36" i="735" s="1"/>
  <c r="D37" i="735" s="1"/>
  <c r="D38" i="735" s="1"/>
  <c r="C27" i="723"/>
  <c r="C28" i="723" s="1"/>
  <c r="C29" i="723" s="1"/>
  <c r="C30" i="723" s="1"/>
  <c r="C31" i="723" s="1"/>
  <c r="C32" i="723" s="1"/>
  <c r="C33" i="723" s="1"/>
  <c r="C34" i="723" s="1"/>
  <c r="C35" i="723" s="1"/>
  <c r="C36" i="723" s="1"/>
  <c r="C37" i="723" s="1"/>
  <c r="C38" i="723" s="1"/>
  <c r="D26" i="723"/>
  <c r="D27" i="723" s="1"/>
  <c r="D28" i="723" s="1"/>
  <c r="D29" i="723" s="1"/>
  <c r="D30" i="723" s="1"/>
  <c r="D31" i="723" s="1"/>
  <c r="D32" i="723" s="1"/>
  <c r="D33" i="723" s="1"/>
  <c r="D34" i="723" s="1"/>
  <c r="D35" i="723" s="1"/>
  <c r="D36" i="723" s="1"/>
  <c r="D37" i="723" s="1"/>
  <c r="D38" i="723" s="1"/>
  <c r="C27" i="719"/>
  <c r="C28" i="719" s="1"/>
  <c r="C29" i="719" s="1"/>
  <c r="C30" i="719" s="1"/>
  <c r="C31" i="719" s="1"/>
  <c r="C32" i="719" s="1"/>
  <c r="C33" i="719" s="1"/>
  <c r="C34" i="719" s="1"/>
  <c r="C35" i="719" s="1"/>
  <c r="C36" i="719" s="1"/>
  <c r="C37" i="719" s="1"/>
  <c r="C38" i="719" s="1"/>
  <c r="D26" i="719"/>
  <c r="D27" i="719" s="1"/>
  <c r="D28" i="719" s="1"/>
  <c r="D29" i="719" s="1"/>
  <c r="D30" i="719" s="1"/>
  <c r="D31" i="719" s="1"/>
  <c r="D32" i="719" s="1"/>
  <c r="D33" i="719" s="1"/>
  <c r="D34" i="719" s="1"/>
  <c r="D35" i="719" s="1"/>
  <c r="D36" i="719" s="1"/>
  <c r="D37" i="719" s="1"/>
  <c r="D38" i="719" s="1"/>
  <c r="C27" i="718"/>
  <c r="C28" i="718" s="1"/>
  <c r="C29" i="718" s="1"/>
  <c r="C30" i="718" s="1"/>
  <c r="C31" i="718" s="1"/>
  <c r="C32" i="718" s="1"/>
  <c r="C33" i="718" s="1"/>
  <c r="C34" i="718" s="1"/>
  <c r="C35" i="718" s="1"/>
  <c r="C36" i="718" s="1"/>
  <c r="C37" i="718" s="1"/>
  <c r="C38" i="718" s="1"/>
  <c r="D26" i="718"/>
  <c r="D27" i="718" s="1"/>
  <c r="D28" i="718" s="1"/>
  <c r="D29" i="718" s="1"/>
  <c r="D30" i="718" s="1"/>
  <c r="D31" i="718" s="1"/>
  <c r="D32" i="718" s="1"/>
  <c r="D33" i="718" s="1"/>
  <c r="D34" i="718" s="1"/>
  <c r="D35" i="718" s="1"/>
  <c r="D36" i="718" s="1"/>
  <c r="D37" i="718" s="1"/>
  <c r="D38" i="718" s="1"/>
  <c r="C27" i="715"/>
  <c r="C28" i="715" s="1"/>
  <c r="C29" i="715" s="1"/>
  <c r="C30" i="715" s="1"/>
  <c r="C31" i="715" s="1"/>
  <c r="C32" i="715" s="1"/>
  <c r="C33" i="715" s="1"/>
  <c r="C34" i="715" s="1"/>
  <c r="C35" i="715" s="1"/>
  <c r="C36" i="715" s="1"/>
  <c r="C37" i="715" s="1"/>
  <c r="C38" i="715" s="1"/>
  <c r="D26" i="715"/>
  <c r="D27" i="715" s="1"/>
  <c r="D28" i="715" s="1"/>
  <c r="D29" i="715" s="1"/>
  <c r="D30" i="715" s="1"/>
  <c r="D31" i="715" s="1"/>
  <c r="D32" i="715" s="1"/>
  <c r="D33" i="715" s="1"/>
  <c r="D34" i="715" s="1"/>
  <c r="D35" i="715" s="1"/>
  <c r="D36" i="715" s="1"/>
  <c r="D37" i="715" s="1"/>
  <c r="D38" i="715" s="1"/>
  <c r="C27" i="717"/>
  <c r="C28" i="717" s="1"/>
  <c r="C29" i="717" s="1"/>
  <c r="C30" i="717" s="1"/>
  <c r="C31" i="717" s="1"/>
  <c r="C32" i="717" s="1"/>
  <c r="C33" i="717" s="1"/>
  <c r="C34" i="717" s="1"/>
  <c r="C35" i="717" s="1"/>
  <c r="C36" i="717" s="1"/>
  <c r="C37" i="717" s="1"/>
  <c r="C38" i="717" s="1"/>
  <c r="D26" i="717"/>
  <c r="D27" i="717" s="1"/>
  <c r="D28" i="717" s="1"/>
  <c r="D29" i="717" s="1"/>
  <c r="D30" i="717" s="1"/>
  <c r="D31" i="717" s="1"/>
  <c r="D32" i="717" s="1"/>
  <c r="D33" i="717" s="1"/>
  <c r="D34" i="717" s="1"/>
  <c r="D35" i="717" s="1"/>
  <c r="D36" i="717" s="1"/>
  <c r="D37" i="717" s="1"/>
  <c r="D38" i="717" s="1"/>
  <c r="C27" i="712"/>
  <c r="C28" i="712" s="1"/>
  <c r="C29" i="712" s="1"/>
  <c r="C30" i="712" s="1"/>
  <c r="C31" i="712" s="1"/>
  <c r="C32" i="712" s="1"/>
  <c r="C33" i="712" s="1"/>
  <c r="C34" i="712" s="1"/>
  <c r="C35" i="712" s="1"/>
  <c r="C36" i="712" s="1"/>
  <c r="C37" i="712" s="1"/>
  <c r="C38" i="712" s="1"/>
  <c r="D26" i="712"/>
  <c r="D27" i="712" s="1"/>
  <c r="D28" i="712" s="1"/>
  <c r="D29" i="712" s="1"/>
  <c r="D30" i="712" s="1"/>
  <c r="D31" i="712" s="1"/>
  <c r="D32" i="712" s="1"/>
  <c r="D33" i="712" s="1"/>
  <c r="D34" i="712" s="1"/>
  <c r="D35" i="712" s="1"/>
  <c r="D36" i="712" s="1"/>
  <c r="D37" i="712" s="1"/>
  <c r="D38" i="712" s="1"/>
  <c r="C27" i="711"/>
  <c r="C28" i="711" s="1"/>
  <c r="C29" i="711" s="1"/>
  <c r="C30" i="711" s="1"/>
  <c r="C31" i="711" s="1"/>
  <c r="C32" i="711" s="1"/>
  <c r="C33" i="711" s="1"/>
  <c r="C34" i="711" s="1"/>
  <c r="C35" i="711" s="1"/>
  <c r="C36" i="711" s="1"/>
  <c r="C37" i="711" s="1"/>
  <c r="C38" i="711" s="1"/>
  <c r="D26" i="711"/>
  <c r="D27" i="711" s="1"/>
  <c r="D28" i="711" s="1"/>
  <c r="D29" i="711" s="1"/>
  <c r="D30" i="711" s="1"/>
  <c r="D31" i="711" s="1"/>
  <c r="D32" i="711" s="1"/>
  <c r="D33" i="711" s="1"/>
  <c r="D34" i="711" s="1"/>
  <c r="D35" i="711" s="1"/>
  <c r="D36" i="711" s="1"/>
  <c r="D37" i="711" s="1"/>
  <c r="D38" i="711" s="1"/>
  <c r="C27" i="706"/>
  <c r="C28" i="706" s="1"/>
  <c r="C29" i="706" s="1"/>
  <c r="C30" i="706" s="1"/>
  <c r="C31" i="706" s="1"/>
  <c r="C32" i="706" s="1"/>
  <c r="C33" i="706" s="1"/>
  <c r="C34" i="706" s="1"/>
  <c r="C35" i="706" s="1"/>
  <c r="C36" i="706" s="1"/>
  <c r="C37" i="706" s="1"/>
  <c r="C38" i="706" s="1"/>
  <c r="D26" i="706"/>
  <c r="D27" i="706" s="1"/>
  <c r="D28" i="706" s="1"/>
  <c r="D29" i="706" s="1"/>
  <c r="D30" i="706" s="1"/>
  <c r="D31" i="706" s="1"/>
  <c r="D32" i="706" s="1"/>
  <c r="D33" i="706" s="1"/>
  <c r="D34" i="706" s="1"/>
  <c r="D35" i="706" s="1"/>
  <c r="D36" i="706" s="1"/>
  <c r="D37" i="706" s="1"/>
  <c r="D38" i="706" s="1"/>
  <c r="C27" i="707"/>
  <c r="C28" i="707" s="1"/>
  <c r="C29" i="707" s="1"/>
  <c r="C30" i="707" s="1"/>
  <c r="C31" i="707" s="1"/>
  <c r="C32" i="707" s="1"/>
  <c r="C33" i="707" s="1"/>
  <c r="C34" i="707" s="1"/>
  <c r="C35" i="707" s="1"/>
  <c r="C36" i="707" s="1"/>
  <c r="C37" i="707" s="1"/>
  <c r="C38" i="707" s="1"/>
  <c r="D26" i="707"/>
  <c r="D27" i="707" s="1"/>
  <c r="D28" i="707" s="1"/>
  <c r="D29" i="707" s="1"/>
  <c r="D30" i="707" s="1"/>
  <c r="D31" i="707" s="1"/>
  <c r="D32" i="707" s="1"/>
  <c r="D33" i="707" s="1"/>
  <c r="D34" i="707" s="1"/>
  <c r="D35" i="707" s="1"/>
  <c r="D36" i="707" s="1"/>
  <c r="D37" i="707" s="1"/>
  <c r="D38" i="707" s="1"/>
  <c r="C27" i="705"/>
  <c r="C28" i="705" s="1"/>
  <c r="C29" i="705" s="1"/>
  <c r="C30" i="705" s="1"/>
  <c r="C31" i="705" s="1"/>
  <c r="C32" i="705" s="1"/>
  <c r="C33" i="705" s="1"/>
  <c r="C34" i="705" s="1"/>
  <c r="C35" i="705" s="1"/>
  <c r="C36" i="705" s="1"/>
  <c r="C37" i="705" s="1"/>
  <c r="C38" i="705" s="1"/>
  <c r="D26" i="705"/>
  <c r="D27" i="705" s="1"/>
  <c r="D28" i="705" s="1"/>
  <c r="D29" i="705" s="1"/>
  <c r="D30" i="705" s="1"/>
  <c r="D31" i="705" s="1"/>
  <c r="D32" i="705" s="1"/>
  <c r="D33" i="705" s="1"/>
  <c r="D34" i="705" s="1"/>
  <c r="D35" i="705" s="1"/>
  <c r="D36" i="705" s="1"/>
  <c r="C8" i="665"/>
  <c r="C12" i="665"/>
  <c r="D37" i="705" l="1"/>
  <c r="D38" i="705" s="1"/>
  <c r="C10" i="665"/>
  <c r="F15" i="665"/>
  <c r="C15" i="665"/>
  <c r="C26" i="665" s="1"/>
  <c r="D26" i="665" s="1"/>
  <c r="D27" i="665" s="1"/>
  <c r="D28" i="665" s="1"/>
  <c r="D29" i="665" s="1"/>
  <c r="D30" i="665" s="1"/>
  <c r="D31" i="665" s="1"/>
  <c r="D32" i="665" s="1"/>
  <c r="D33" i="665" s="1"/>
  <c r="D34" i="665" s="1"/>
  <c r="D35" i="665" s="1"/>
  <c r="D36" i="665" s="1"/>
  <c r="D37" i="665" s="1"/>
  <c r="D38" i="665" s="1"/>
  <c r="A19" i="665" l="1"/>
  <c r="M15" i="665" l="1"/>
  <c r="A15" i="665"/>
  <c r="C7" i="665"/>
  <c r="J22" i="853"/>
  <c r="B33" i="853" s="1"/>
  <c r="K22" i="853"/>
  <c r="B34" i="853" s="1"/>
  <c r="L22" i="853"/>
  <c r="B35" i="853" s="1"/>
  <c r="M22" i="853"/>
  <c r="B36" i="853" s="1"/>
  <c r="N22" i="853"/>
  <c r="B37" i="853" s="1"/>
  <c r="J23" i="853"/>
  <c r="K23" i="853"/>
  <c r="L23" i="853"/>
  <c r="M23" i="853"/>
  <c r="N23" i="853"/>
  <c r="J22" i="855"/>
  <c r="K22" i="855"/>
  <c r="L22" i="855"/>
  <c r="M22" i="855"/>
  <c r="N22" i="855"/>
  <c r="J23" i="855"/>
  <c r="K23" i="855"/>
  <c r="L23" i="855"/>
  <c r="M23" i="855"/>
  <c r="N23" i="855"/>
  <c r="J22" i="858"/>
  <c r="B33" i="858" s="1"/>
  <c r="K22" i="858"/>
  <c r="B34" i="858" s="1"/>
  <c r="L22" i="858"/>
  <c r="B35" i="858" s="1"/>
  <c r="M22" i="858"/>
  <c r="B36" i="858" s="1"/>
  <c r="N22" i="858"/>
  <c r="B37" i="858" s="1"/>
  <c r="J23" i="858"/>
  <c r="K23" i="858"/>
  <c r="L23" i="858"/>
  <c r="M23" i="858"/>
  <c r="N23" i="858"/>
  <c r="J22" i="856"/>
  <c r="K22" i="856"/>
  <c r="L22" i="856"/>
  <c r="M22" i="856"/>
  <c r="N22" i="856"/>
  <c r="J23" i="856"/>
  <c r="K23" i="856"/>
  <c r="L23" i="856"/>
  <c r="M23" i="856"/>
  <c r="N23" i="856"/>
  <c r="J22" i="857"/>
  <c r="K22" i="857"/>
  <c r="L22" i="857"/>
  <c r="M22" i="857"/>
  <c r="N22" i="857"/>
  <c r="J23" i="857"/>
  <c r="K23" i="857"/>
  <c r="L23" i="857"/>
  <c r="M23" i="857"/>
  <c r="N23" i="857"/>
  <c r="N23" i="854" l="1"/>
  <c r="K23" i="854"/>
  <c r="L23" i="854"/>
  <c r="N22" i="854"/>
  <c r="M23" i="854"/>
  <c r="M22" i="854"/>
  <c r="B35" i="857"/>
  <c r="J23" i="854"/>
  <c r="L22" i="854"/>
  <c r="K22" i="854"/>
  <c r="J22" i="854"/>
  <c r="B34" i="857"/>
  <c r="B34" i="856"/>
  <c r="B36" i="857"/>
  <c r="B37" i="857"/>
  <c r="B33" i="857"/>
  <c r="B33" i="856"/>
  <c r="B36" i="855"/>
  <c r="B35" i="855"/>
  <c r="B35" i="856"/>
  <c r="B37" i="856"/>
  <c r="B34" i="855"/>
  <c r="B36" i="856"/>
  <c r="B33" i="855"/>
  <c r="B37" i="855"/>
  <c r="J22" i="826"/>
  <c r="B33" i="826" s="1"/>
  <c r="J22" i="825"/>
  <c r="J22" i="824"/>
  <c r="B33" i="824" s="1"/>
  <c r="J22" i="821"/>
  <c r="J22" i="819"/>
  <c r="J22" i="820"/>
  <c r="J22" i="817"/>
  <c r="B33" i="817" s="1"/>
  <c r="J22" i="822"/>
  <c r="J22" i="818"/>
  <c r="B33" i="818" s="1"/>
  <c r="J22" i="816"/>
  <c r="J22" i="814"/>
  <c r="J22" i="811"/>
  <c r="B33" i="811" s="1"/>
  <c r="J22" i="808"/>
  <c r="J22" i="812"/>
  <c r="J22" i="809"/>
  <c r="J22" i="806"/>
  <c r="J22" i="805"/>
  <c r="J22" i="804"/>
  <c r="J22" i="803"/>
  <c r="J22" i="802"/>
  <c r="J22" i="801"/>
  <c r="J22" i="815"/>
  <c r="B33" i="815" s="1"/>
  <c r="J22" i="813"/>
  <c r="J22" i="799"/>
  <c r="J22" i="800"/>
  <c r="J22" i="810"/>
  <c r="J22" i="797"/>
  <c r="J22" i="796"/>
  <c r="B33" i="796" s="1"/>
  <c r="J22" i="795"/>
  <c r="B33" i="795" s="1"/>
  <c r="J22" i="794"/>
  <c r="J22" i="793"/>
  <c r="J22" i="792"/>
  <c r="J22" i="807"/>
  <c r="B33" i="807" s="1"/>
  <c r="J22" i="798"/>
  <c r="J22" i="789"/>
  <c r="B33" i="789" s="1"/>
  <c r="J22" i="787"/>
  <c r="B33" i="787" s="1"/>
  <c r="J22" i="783"/>
  <c r="J22" i="782"/>
  <c r="J22" i="781"/>
  <c r="B33" i="781" s="1"/>
  <c r="J22" i="784"/>
  <c r="J22" i="788"/>
  <c r="B33" i="788" s="1"/>
  <c r="J22" i="785"/>
  <c r="B33" i="785" s="1"/>
  <c r="J22" i="790"/>
  <c r="J22" i="791"/>
  <c r="J22" i="786"/>
  <c r="B33" i="786" s="1"/>
  <c r="J22" i="772"/>
  <c r="B33" i="772" s="1"/>
  <c r="J22" i="771"/>
  <c r="J22" i="770"/>
  <c r="B33" i="770" s="1"/>
  <c r="J22" i="769"/>
  <c r="J22" i="768"/>
  <c r="B33" i="768" s="1"/>
  <c r="J22" i="773"/>
  <c r="J22" i="777"/>
  <c r="J22" i="774"/>
  <c r="J22" i="780"/>
  <c r="J22" i="778"/>
  <c r="J22" i="775"/>
  <c r="B33" i="775" s="1"/>
  <c r="J22" i="776"/>
  <c r="J22" i="779"/>
  <c r="N23" i="826"/>
  <c r="N23" i="825"/>
  <c r="N23" i="821"/>
  <c r="N23" i="819"/>
  <c r="O23" i="819" s="1"/>
  <c r="N23" i="816"/>
  <c r="N23" i="820"/>
  <c r="N23" i="824"/>
  <c r="N23" i="818"/>
  <c r="N23" i="822"/>
  <c r="N23" i="814"/>
  <c r="N23" i="811"/>
  <c r="N23" i="808"/>
  <c r="N23" i="805"/>
  <c r="N23" i="804"/>
  <c r="N23" i="812"/>
  <c r="N23" i="809"/>
  <c r="N23" i="806"/>
  <c r="N23" i="813"/>
  <c r="N23" i="810"/>
  <c r="N23" i="807"/>
  <c r="N23" i="817"/>
  <c r="N23" i="815"/>
  <c r="N23" i="801"/>
  <c r="N23" i="799"/>
  <c r="N23" i="796"/>
  <c r="N23" i="795"/>
  <c r="N23" i="794"/>
  <c r="N23" i="793"/>
  <c r="N23" i="797"/>
  <c r="N23" i="803"/>
  <c r="N23" i="800"/>
  <c r="N23" i="798"/>
  <c r="N23" i="787"/>
  <c r="N23" i="791"/>
  <c r="N23" i="784"/>
  <c r="N23" i="789"/>
  <c r="N23" i="788"/>
  <c r="N23" i="785"/>
  <c r="N23" i="792"/>
  <c r="O23" i="792" s="1"/>
  <c r="N23" i="802"/>
  <c r="N23" i="786"/>
  <c r="N23" i="783"/>
  <c r="N23" i="773"/>
  <c r="N23" i="781"/>
  <c r="N23" i="777"/>
  <c r="N23" i="782"/>
  <c r="N23" i="774"/>
  <c r="N23" i="772"/>
  <c r="N23" i="778"/>
  <c r="N23" i="769"/>
  <c r="N23" i="771"/>
  <c r="N23" i="775"/>
  <c r="N23" i="790"/>
  <c r="N23" i="780"/>
  <c r="N23" i="776"/>
  <c r="N23" i="770"/>
  <c r="N23" i="768"/>
  <c r="N23" i="779"/>
  <c r="M23" i="826"/>
  <c r="M23" i="821"/>
  <c r="M23" i="819"/>
  <c r="M23" i="825"/>
  <c r="M23" i="817"/>
  <c r="M23" i="820"/>
  <c r="M23" i="824"/>
  <c r="M23" i="818"/>
  <c r="M23" i="822"/>
  <c r="M23" i="814"/>
  <c r="M23" i="811"/>
  <c r="M23" i="808"/>
  <c r="M23" i="805"/>
  <c r="M23" i="804"/>
  <c r="M23" i="816"/>
  <c r="M23" i="812"/>
  <c r="M23" i="809"/>
  <c r="M23" i="806"/>
  <c r="M23" i="815"/>
  <c r="M23" i="810"/>
  <c r="M23" i="801"/>
  <c r="M23" i="799"/>
  <c r="M23" i="796"/>
  <c r="M23" i="795"/>
  <c r="M23" i="794"/>
  <c r="M23" i="793"/>
  <c r="M23" i="792"/>
  <c r="M23" i="791"/>
  <c r="M23" i="790"/>
  <c r="M23" i="789"/>
  <c r="M23" i="788"/>
  <c r="M23" i="787"/>
  <c r="M23" i="786"/>
  <c r="M23" i="785"/>
  <c r="M23" i="784"/>
  <c r="M23" i="783"/>
  <c r="M23" i="807"/>
  <c r="M23" i="797"/>
  <c r="M23" i="803"/>
  <c r="M23" i="800"/>
  <c r="M23" i="798"/>
  <c r="M23" i="802"/>
  <c r="M23" i="813"/>
  <c r="M23" i="772"/>
  <c r="M23" i="771"/>
  <c r="M23" i="770"/>
  <c r="M23" i="769"/>
  <c r="M23" i="768"/>
  <c r="M23" i="773"/>
  <c r="M23" i="781"/>
  <c r="M23" i="777"/>
  <c r="M23" i="782"/>
  <c r="M23" i="774"/>
  <c r="M23" i="778"/>
  <c r="M23" i="775"/>
  <c r="M23" i="776"/>
  <c r="M23" i="779"/>
  <c r="M23" i="780"/>
  <c r="L23" i="826"/>
  <c r="L23" i="825"/>
  <c r="L23" i="824"/>
  <c r="L23" i="821"/>
  <c r="L23" i="819"/>
  <c r="L23" i="816"/>
  <c r="L23" i="817"/>
  <c r="L23" i="820"/>
  <c r="L23" i="818"/>
  <c r="L23" i="815"/>
  <c r="L23" i="822"/>
  <c r="L23" i="814"/>
  <c r="L23" i="811"/>
  <c r="L23" i="808"/>
  <c r="L23" i="805"/>
  <c r="L23" i="804"/>
  <c r="L23" i="803"/>
  <c r="L23" i="802"/>
  <c r="L23" i="801"/>
  <c r="L23" i="800"/>
  <c r="L23" i="812"/>
  <c r="L23" i="810"/>
  <c r="L23" i="799"/>
  <c r="L23" i="796"/>
  <c r="L23" i="795"/>
  <c r="L23" i="794"/>
  <c r="L23" i="793"/>
  <c r="L23" i="792"/>
  <c r="L23" i="807"/>
  <c r="L23" i="797"/>
  <c r="L23" i="809"/>
  <c r="L23" i="806"/>
  <c r="L23" i="798"/>
  <c r="L23" i="790"/>
  <c r="L23" i="783"/>
  <c r="L23" i="782"/>
  <c r="L23" i="781"/>
  <c r="L23" i="787"/>
  <c r="L23" i="791"/>
  <c r="L23" i="784"/>
  <c r="L23" i="789"/>
  <c r="L23" i="788"/>
  <c r="L23" i="813"/>
  <c r="L23" i="785"/>
  <c r="L23" i="786"/>
  <c r="L23" i="776"/>
  <c r="L23" i="772"/>
  <c r="L23" i="771"/>
  <c r="L23" i="770"/>
  <c r="L23" i="769"/>
  <c r="L23" i="768"/>
  <c r="L23" i="773"/>
  <c r="L23" i="777"/>
  <c r="L23" i="779"/>
  <c r="L23" i="774"/>
  <c r="L23" i="778"/>
  <c r="L23" i="775"/>
  <c r="L23" i="780"/>
  <c r="K23" i="826"/>
  <c r="K23" i="821"/>
  <c r="K23" i="819"/>
  <c r="K23" i="816"/>
  <c r="K23" i="825"/>
  <c r="K23" i="817"/>
  <c r="K23" i="820"/>
  <c r="K23" i="824"/>
  <c r="K23" i="822"/>
  <c r="K23" i="815"/>
  <c r="K23" i="813"/>
  <c r="K23" i="810"/>
  <c r="K23" i="807"/>
  <c r="K23" i="814"/>
  <c r="K23" i="811"/>
  <c r="K23" i="808"/>
  <c r="K23" i="818"/>
  <c r="K23" i="812"/>
  <c r="K23" i="809"/>
  <c r="K23" i="806"/>
  <c r="K23" i="802"/>
  <c r="K23" i="804"/>
  <c r="K23" i="801"/>
  <c r="K23" i="805"/>
  <c r="K23" i="799"/>
  <c r="K23" i="796"/>
  <c r="K23" i="795"/>
  <c r="K23" i="794"/>
  <c r="K23" i="803"/>
  <c r="K23" i="797"/>
  <c r="K23" i="800"/>
  <c r="K23" i="798"/>
  <c r="K23" i="790"/>
  <c r="K23" i="783"/>
  <c r="K23" i="782"/>
  <c r="K23" i="781"/>
  <c r="K23" i="787"/>
  <c r="K23" i="791"/>
  <c r="K23" i="784"/>
  <c r="K23" i="789"/>
  <c r="K23" i="793"/>
  <c r="K23" i="788"/>
  <c r="K23" i="785"/>
  <c r="K23" i="792"/>
  <c r="K23" i="779"/>
  <c r="K23" i="776"/>
  <c r="K23" i="772"/>
  <c r="K23" i="771"/>
  <c r="K23" i="770"/>
  <c r="K23" i="769"/>
  <c r="K23" i="768"/>
  <c r="K23" i="780"/>
  <c r="K23" i="786"/>
  <c r="K23" i="773"/>
  <c r="K23" i="777"/>
  <c r="K23" i="774"/>
  <c r="K23" i="778"/>
  <c r="K23" i="775"/>
  <c r="J23" i="826"/>
  <c r="J23" i="822"/>
  <c r="J23" i="821"/>
  <c r="J23" i="819"/>
  <c r="J23" i="816"/>
  <c r="J23" i="825"/>
  <c r="J23" i="817"/>
  <c r="J23" i="820"/>
  <c r="J23" i="818"/>
  <c r="J23" i="815"/>
  <c r="J23" i="813"/>
  <c r="J23" i="810"/>
  <c r="J23" i="807"/>
  <c r="J23" i="814"/>
  <c r="J23" i="811"/>
  <c r="J23" i="808"/>
  <c r="J23" i="824"/>
  <c r="J23" i="805"/>
  <c r="J23" i="804"/>
  <c r="J23" i="803"/>
  <c r="J23" i="802"/>
  <c r="J23" i="801"/>
  <c r="J23" i="800"/>
  <c r="J23" i="799"/>
  <c r="J23" i="798"/>
  <c r="J23" i="797"/>
  <c r="J23" i="812"/>
  <c r="J23" i="809"/>
  <c r="J23" i="806"/>
  <c r="J23" i="796"/>
  <c r="J23" i="795"/>
  <c r="J23" i="794"/>
  <c r="J23" i="790"/>
  <c r="J23" i="783"/>
  <c r="J23" i="782"/>
  <c r="J23" i="781"/>
  <c r="J23" i="787"/>
  <c r="J23" i="791"/>
  <c r="J23" i="784"/>
  <c r="J23" i="789"/>
  <c r="J23" i="793"/>
  <c r="J23" i="788"/>
  <c r="J23" i="785"/>
  <c r="J23" i="792"/>
  <c r="J23" i="780"/>
  <c r="J23" i="779"/>
  <c r="J23" i="776"/>
  <c r="J23" i="772"/>
  <c r="J23" i="771"/>
  <c r="J23" i="770"/>
  <c r="J23" i="769"/>
  <c r="J23" i="768"/>
  <c r="J23" i="786"/>
  <c r="J23" i="773"/>
  <c r="J23" i="777"/>
  <c r="J23" i="774"/>
  <c r="J23" i="778"/>
  <c r="J23" i="775"/>
  <c r="N22" i="826"/>
  <c r="B37" i="826" s="1"/>
  <c r="N22" i="825"/>
  <c r="N22" i="824"/>
  <c r="B37" i="824" s="1"/>
  <c r="N22" i="820"/>
  <c r="N22" i="817"/>
  <c r="B37" i="817" s="1"/>
  <c r="N22" i="822"/>
  <c r="N22" i="818"/>
  <c r="B37" i="818" s="1"/>
  <c r="N22" i="815"/>
  <c r="B37" i="815" s="1"/>
  <c r="N22" i="821"/>
  <c r="N22" i="819"/>
  <c r="O22" i="819" s="1"/>
  <c r="N22" i="816"/>
  <c r="N22" i="812"/>
  <c r="N22" i="809"/>
  <c r="N22" i="806"/>
  <c r="N22" i="805"/>
  <c r="N22" i="804"/>
  <c r="N22" i="803"/>
  <c r="N22" i="802"/>
  <c r="N22" i="801"/>
  <c r="N22" i="800"/>
  <c r="N22" i="799"/>
  <c r="N22" i="797"/>
  <c r="N22" i="796"/>
  <c r="B37" i="796" s="1"/>
  <c r="N22" i="795"/>
  <c r="B37" i="795" s="1"/>
  <c r="N22" i="794"/>
  <c r="N22" i="793"/>
  <c r="N22" i="792"/>
  <c r="B37" i="792" s="1"/>
  <c r="N22" i="791"/>
  <c r="N22" i="790"/>
  <c r="N22" i="808"/>
  <c r="N22" i="810"/>
  <c r="N22" i="798"/>
  <c r="N22" i="807"/>
  <c r="B37" i="807" s="1"/>
  <c r="N22" i="814"/>
  <c r="N22" i="813"/>
  <c r="N22" i="784"/>
  <c r="N22" i="788"/>
  <c r="B37" i="788" s="1"/>
  <c r="N22" i="785"/>
  <c r="B37" i="785" s="1"/>
  <c r="N22" i="786"/>
  <c r="B37" i="786" s="1"/>
  <c r="N22" i="783"/>
  <c r="N22" i="782"/>
  <c r="N22" i="781"/>
  <c r="B37" i="781" s="1"/>
  <c r="N22" i="780"/>
  <c r="N22" i="779"/>
  <c r="N22" i="778"/>
  <c r="N22" i="777"/>
  <c r="N22" i="776"/>
  <c r="N22" i="775"/>
  <c r="B37" i="775" s="1"/>
  <c r="N22" i="774"/>
  <c r="N22" i="773"/>
  <c r="N22" i="789"/>
  <c r="B37" i="789" s="1"/>
  <c r="N22" i="787"/>
  <c r="B37" i="787" s="1"/>
  <c r="N22" i="811"/>
  <c r="B37" i="811" s="1"/>
  <c r="N22" i="772"/>
  <c r="B37" i="772" s="1"/>
  <c r="N22" i="771"/>
  <c r="N22" i="770"/>
  <c r="B37" i="770" s="1"/>
  <c r="N22" i="769"/>
  <c r="N22" i="768"/>
  <c r="B37" i="768" s="1"/>
  <c r="M22" i="826"/>
  <c r="B36" i="826" s="1"/>
  <c r="M22" i="825"/>
  <c r="M22" i="824"/>
  <c r="B36" i="824" s="1"/>
  <c r="M22" i="820"/>
  <c r="M22" i="817"/>
  <c r="B36" i="817" s="1"/>
  <c r="M22" i="822"/>
  <c r="M22" i="818"/>
  <c r="B36" i="818" s="1"/>
  <c r="M22" i="821"/>
  <c r="M22" i="816"/>
  <c r="M22" i="814"/>
  <c r="M22" i="811"/>
  <c r="B36" i="811" s="1"/>
  <c r="M22" i="808"/>
  <c r="M22" i="812"/>
  <c r="M22" i="809"/>
  <c r="M22" i="806"/>
  <c r="M22" i="805"/>
  <c r="M22" i="804"/>
  <c r="M22" i="803"/>
  <c r="M22" i="802"/>
  <c r="M22" i="815"/>
  <c r="B36" i="815" s="1"/>
  <c r="M22" i="813"/>
  <c r="M22" i="810"/>
  <c r="M22" i="807"/>
  <c r="B36" i="807" s="1"/>
  <c r="M22" i="819"/>
  <c r="M22" i="797"/>
  <c r="M22" i="796"/>
  <c r="B36" i="796" s="1"/>
  <c r="M22" i="795"/>
  <c r="B36" i="795" s="1"/>
  <c r="M22" i="794"/>
  <c r="M22" i="793"/>
  <c r="M22" i="792"/>
  <c r="M22" i="791"/>
  <c r="M22" i="798"/>
  <c r="M22" i="801"/>
  <c r="M22" i="800"/>
  <c r="M22" i="784"/>
  <c r="M22" i="788"/>
  <c r="B36" i="788" s="1"/>
  <c r="M22" i="785"/>
  <c r="B36" i="785" s="1"/>
  <c r="M22" i="790"/>
  <c r="M22" i="786"/>
  <c r="B36" i="786" s="1"/>
  <c r="M22" i="799"/>
  <c r="M22" i="783"/>
  <c r="M22" i="782"/>
  <c r="M22" i="781"/>
  <c r="B36" i="781" s="1"/>
  <c r="M22" i="777"/>
  <c r="M22" i="787"/>
  <c r="B36" i="787" s="1"/>
  <c r="M22" i="774"/>
  <c r="M22" i="773"/>
  <c r="M22" i="780"/>
  <c r="M22" i="778"/>
  <c r="M22" i="775"/>
  <c r="B36" i="775" s="1"/>
  <c r="M22" i="779"/>
  <c r="M22" i="789"/>
  <c r="B36" i="789" s="1"/>
  <c r="M22" i="776"/>
  <c r="M22" i="772"/>
  <c r="B36" i="772" s="1"/>
  <c r="M22" i="771"/>
  <c r="M22" i="770"/>
  <c r="B36" i="770" s="1"/>
  <c r="M22" i="769"/>
  <c r="M22" i="768"/>
  <c r="B36" i="768" s="1"/>
  <c r="L22" i="826"/>
  <c r="B35" i="826" s="1"/>
  <c r="L22" i="825"/>
  <c r="L22" i="824"/>
  <c r="B35" i="824" s="1"/>
  <c r="L22" i="820"/>
  <c r="L22" i="817"/>
  <c r="B35" i="817" s="1"/>
  <c r="L22" i="822"/>
  <c r="L22" i="818"/>
  <c r="B35" i="818" s="1"/>
  <c r="L22" i="819"/>
  <c r="L22" i="821"/>
  <c r="L22" i="816"/>
  <c r="L22" i="814"/>
  <c r="L22" i="811"/>
  <c r="B35" i="811" s="1"/>
  <c r="L22" i="808"/>
  <c r="L22" i="812"/>
  <c r="L22" i="809"/>
  <c r="L22" i="806"/>
  <c r="L22" i="805"/>
  <c r="L22" i="804"/>
  <c r="L22" i="815"/>
  <c r="B35" i="815" s="1"/>
  <c r="L22" i="813"/>
  <c r="L22" i="810"/>
  <c r="L22" i="807"/>
  <c r="B35" i="807" s="1"/>
  <c r="L22" i="800"/>
  <c r="L22" i="797"/>
  <c r="L22" i="796"/>
  <c r="B35" i="796" s="1"/>
  <c r="L22" i="795"/>
  <c r="B35" i="795" s="1"/>
  <c r="L22" i="794"/>
  <c r="L22" i="793"/>
  <c r="L22" i="802"/>
  <c r="L22" i="798"/>
  <c r="L22" i="803"/>
  <c r="L22" i="801"/>
  <c r="L22" i="792"/>
  <c r="L22" i="784"/>
  <c r="L22" i="788"/>
  <c r="B35" i="788" s="1"/>
  <c r="L22" i="785"/>
  <c r="B35" i="785" s="1"/>
  <c r="L22" i="790"/>
  <c r="L22" i="791"/>
  <c r="L22" i="786"/>
  <c r="B35" i="786" s="1"/>
  <c r="L22" i="799"/>
  <c r="L22" i="773"/>
  <c r="L22" i="777"/>
  <c r="L22" i="770"/>
  <c r="B35" i="770" s="1"/>
  <c r="L22" i="783"/>
  <c r="L22" i="787"/>
  <c r="B35" i="787" s="1"/>
  <c r="L22" i="774"/>
  <c r="L22" i="780"/>
  <c r="L22" i="778"/>
  <c r="L22" i="769"/>
  <c r="L22" i="771"/>
  <c r="L22" i="781"/>
  <c r="B35" i="781" s="1"/>
  <c r="L22" i="772"/>
  <c r="B35" i="772" s="1"/>
  <c r="L22" i="782"/>
  <c r="L22" i="775"/>
  <c r="B35" i="775" s="1"/>
  <c r="L22" i="768"/>
  <c r="B35" i="768" s="1"/>
  <c r="L22" i="779"/>
  <c r="L22" i="789"/>
  <c r="B35" i="789" s="1"/>
  <c r="L22" i="776"/>
  <c r="K22" i="819"/>
  <c r="K22" i="816"/>
  <c r="K22" i="824"/>
  <c r="B34" i="824" s="1"/>
  <c r="K22" i="820"/>
  <c r="K22" i="825"/>
  <c r="K22" i="822"/>
  <c r="K22" i="826"/>
  <c r="B34" i="826" s="1"/>
  <c r="K22" i="818"/>
  <c r="B34" i="818" s="1"/>
  <c r="K22" i="821"/>
  <c r="K22" i="817"/>
  <c r="B34" i="817" s="1"/>
  <c r="K22" i="814"/>
  <c r="K22" i="811"/>
  <c r="B34" i="811" s="1"/>
  <c r="K22" i="808"/>
  <c r="K22" i="812"/>
  <c r="K22" i="809"/>
  <c r="K22" i="806"/>
  <c r="K22" i="805"/>
  <c r="K22" i="813"/>
  <c r="K22" i="810"/>
  <c r="K22" i="807"/>
  <c r="B34" i="807" s="1"/>
  <c r="K22" i="800"/>
  <c r="K22" i="815"/>
  <c r="B34" i="815" s="1"/>
  <c r="K22" i="797"/>
  <c r="K22" i="796"/>
  <c r="B34" i="796" s="1"/>
  <c r="K22" i="795"/>
  <c r="B34" i="795" s="1"/>
  <c r="K22" i="794"/>
  <c r="K22" i="793"/>
  <c r="K22" i="792"/>
  <c r="K22" i="791"/>
  <c r="K22" i="790"/>
  <c r="K22" i="789"/>
  <c r="B34" i="789" s="1"/>
  <c r="K22" i="788"/>
  <c r="B34" i="788" s="1"/>
  <c r="K22" i="787"/>
  <c r="B34" i="787" s="1"/>
  <c r="K22" i="786"/>
  <c r="B34" i="786" s="1"/>
  <c r="K22" i="785"/>
  <c r="B34" i="785" s="1"/>
  <c r="K22" i="784"/>
  <c r="K22" i="804"/>
  <c r="K22" i="802"/>
  <c r="K22" i="798"/>
  <c r="K22" i="803"/>
  <c r="K22" i="801"/>
  <c r="K22" i="799"/>
  <c r="K22" i="772"/>
  <c r="B34" i="772" s="1"/>
  <c r="K22" i="771"/>
  <c r="K22" i="770"/>
  <c r="B34" i="770" s="1"/>
  <c r="K22" i="769"/>
  <c r="K22" i="768"/>
  <c r="B34" i="768" s="1"/>
  <c r="K22" i="773"/>
  <c r="K22" i="777"/>
  <c r="K22" i="783"/>
  <c r="K22" i="774"/>
  <c r="K22" i="780"/>
  <c r="K22" i="778"/>
  <c r="K22" i="781"/>
  <c r="B34" i="781" s="1"/>
  <c r="K22" i="782"/>
  <c r="K22" i="775"/>
  <c r="B34" i="775" s="1"/>
  <c r="K22" i="779"/>
  <c r="K22" i="776"/>
  <c r="J22" i="767"/>
  <c r="J22" i="766"/>
  <c r="J22" i="765"/>
  <c r="J22" i="764"/>
  <c r="J22" i="763"/>
  <c r="J22" i="753"/>
  <c r="J22" i="758"/>
  <c r="J22" i="750"/>
  <c r="B33" i="750" s="1"/>
  <c r="J22" i="754"/>
  <c r="J22" i="746"/>
  <c r="J22" i="745"/>
  <c r="J22" i="760"/>
  <c r="J22" i="747"/>
  <c r="B33" i="747" s="1"/>
  <c r="J22" i="757"/>
  <c r="B33" i="757" s="1"/>
  <c r="J22" i="751"/>
  <c r="J22" i="755"/>
  <c r="B33" i="755" s="1"/>
  <c r="J22" i="748"/>
  <c r="B33" i="748" s="1"/>
  <c r="J22" i="752"/>
  <c r="J22" i="749"/>
  <c r="B33" i="749" s="1"/>
  <c r="J22" i="759"/>
  <c r="J22" i="741"/>
  <c r="J22" i="744"/>
  <c r="B33" i="744" s="1"/>
  <c r="J22" i="761"/>
  <c r="J22" i="737"/>
  <c r="B33" i="737" s="1"/>
  <c r="J22" i="762"/>
  <c r="J22" i="742"/>
  <c r="J22" i="738"/>
  <c r="B33" i="738" s="1"/>
  <c r="J22" i="740"/>
  <c r="B33" i="740" s="1"/>
  <c r="J22" i="743"/>
  <c r="B33" i="743" s="1"/>
  <c r="J22" i="756"/>
  <c r="B33" i="756" s="1"/>
  <c r="J22" i="739"/>
  <c r="N23" i="767"/>
  <c r="N23" i="766"/>
  <c r="N23" i="765"/>
  <c r="N23" i="764"/>
  <c r="N23" i="763"/>
  <c r="N23" i="762"/>
  <c r="N23" i="759"/>
  <c r="N23" i="758"/>
  <c r="N23" i="750"/>
  <c r="N23" i="754"/>
  <c r="N23" i="747"/>
  <c r="N23" i="751"/>
  <c r="N23" i="761"/>
  <c r="N23" i="757"/>
  <c r="N23" i="755"/>
  <c r="N23" i="748"/>
  <c r="N23" i="752"/>
  <c r="N23" i="753"/>
  <c r="N23" i="760"/>
  <c r="N23" i="741"/>
  <c r="N23" i="749"/>
  <c r="N23" i="745"/>
  <c r="N23" i="742"/>
  <c r="N23" i="746"/>
  <c r="N23" i="756"/>
  <c r="N23" i="743"/>
  <c r="N23" i="740"/>
  <c r="N23" i="739"/>
  <c r="N23" i="738"/>
  <c r="N23" i="737"/>
  <c r="N23" i="744"/>
  <c r="M23" i="767"/>
  <c r="M23" i="766"/>
  <c r="M23" i="765"/>
  <c r="M23" i="764"/>
  <c r="M23" i="763"/>
  <c r="M23" i="762"/>
  <c r="M23" i="761"/>
  <c r="M23" i="753"/>
  <c r="M23" i="759"/>
  <c r="M23" i="758"/>
  <c r="M23" i="750"/>
  <c r="M23" i="754"/>
  <c r="M23" i="746"/>
  <c r="M23" i="747"/>
  <c r="M23" i="751"/>
  <c r="M23" i="757"/>
  <c r="M23" i="755"/>
  <c r="M23" i="748"/>
  <c r="M23" i="752"/>
  <c r="M23" i="756"/>
  <c r="M23" i="749"/>
  <c r="M23" i="760"/>
  <c r="M23" i="741"/>
  <c r="M23" i="745"/>
  <c r="M23" i="742"/>
  <c r="M23" i="744"/>
  <c r="M23" i="743"/>
  <c r="M23" i="740"/>
  <c r="M23" i="739"/>
  <c r="M23" i="738"/>
  <c r="M23" i="737"/>
  <c r="L23" i="767"/>
  <c r="L23" i="766"/>
  <c r="L23" i="765"/>
  <c r="L23" i="764"/>
  <c r="L23" i="763"/>
  <c r="L23" i="756"/>
  <c r="L23" i="749"/>
  <c r="L23" i="753"/>
  <c r="L23" i="759"/>
  <c r="L23" i="758"/>
  <c r="L23" i="750"/>
  <c r="L23" i="754"/>
  <c r="L23" i="746"/>
  <c r="L23" i="745"/>
  <c r="L23" i="747"/>
  <c r="L23" i="761"/>
  <c r="L23" i="751"/>
  <c r="L23" i="757"/>
  <c r="L23" i="755"/>
  <c r="L23" i="762"/>
  <c r="L23" i="748"/>
  <c r="L23" i="760"/>
  <c r="L23" i="737"/>
  <c r="L23" i="741"/>
  <c r="L23" i="739"/>
  <c r="L23" i="752"/>
  <c r="L23" i="742"/>
  <c r="L23" i="738"/>
  <c r="L23" i="743"/>
  <c r="L23" i="740"/>
  <c r="L23" i="744"/>
  <c r="K23" i="767"/>
  <c r="K23" i="766"/>
  <c r="K23" i="765"/>
  <c r="K23" i="764"/>
  <c r="K23" i="763"/>
  <c r="K23" i="762"/>
  <c r="K23" i="760"/>
  <c r="K23" i="756"/>
  <c r="K23" i="749"/>
  <c r="K23" i="753"/>
  <c r="K23" i="759"/>
  <c r="K23" i="758"/>
  <c r="K23" i="750"/>
  <c r="K23" i="754"/>
  <c r="K23" i="747"/>
  <c r="K23" i="761"/>
  <c r="K23" i="751"/>
  <c r="K23" i="757"/>
  <c r="K23" i="755"/>
  <c r="K23" i="744"/>
  <c r="K23" i="748"/>
  <c r="K23" i="741"/>
  <c r="K23" i="752"/>
  <c r="K23" i="745"/>
  <c r="K23" i="746"/>
  <c r="K23" i="742"/>
  <c r="K23" i="743"/>
  <c r="K23" i="740"/>
  <c r="K23" i="739"/>
  <c r="K23" i="738"/>
  <c r="K23" i="737"/>
  <c r="J23" i="767"/>
  <c r="J23" i="766"/>
  <c r="J23" i="765"/>
  <c r="J23" i="764"/>
  <c r="J23" i="763"/>
  <c r="J23" i="762"/>
  <c r="J23" i="761"/>
  <c r="J23" i="760"/>
  <c r="J23" i="756"/>
  <c r="J23" i="749"/>
  <c r="J23" i="753"/>
  <c r="J23" i="759"/>
  <c r="J23" i="758"/>
  <c r="J23" i="750"/>
  <c r="J23" i="754"/>
  <c r="J23" i="746"/>
  <c r="J23" i="745"/>
  <c r="J23" i="744"/>
  <c r="J23" i="743"/>
  <c r="J23" i="742"/>
  <c r="J23" i="741"/>
  <c r="J23" i="747"/>
  <c r="J23" i="751"/>
  <c r="J23" i="757"/>
  <c r="J23" i="755"/>
  <c r="J23" i="752"/>
  <c r="J23" i="740"/>
  <c r="J23" i="739"/>
  <c r="J23" i="738"/>
  <c r="J23" i="737"/>
  <c r="J23" i="748"/>
  <c r="N22" i="767"/>
  <c r="N22" i="766"/>
  <c r="N22" i="765"/>
  <c r="N22" i="764"/>
  <c r="N22" i="763"/>
  <c r="N22" i="762"/>
  <c r="N22" i="761"/>
  <c r="N22" i="760"/>
  <c r="N22" i="759"/>
  <c r="N22" i="754"/>
  <c r="N22" i="746"/>
  <c r="N22" i="745"/>
  <c r="N22" i="747"/>
  <c r="B37" i="747" s="1"/>
  <c r="N22" i="757"/>
  <c r="B37" i="757" s="1"/>
  <c r="N22" i="751"/>
  <c r="N22" i="755"/>
  <c r="B37" i="755" s="1"/>
  <c r="N22" i="748"/>
  <c r="B37" i="748" s="1"/>
  <c r="N22" i="752"/>
  <c r="N22" i="756"/>
  <c r="B37" i="756" s="1"/>
  <c r="N22" i="749"/>
  <c r="B37" i="749" s="1"/>
  <c r="N22" i="753"/>
  <c r="N22" i="750"/>
  <c r="B37" i="750" s="1"/>
  <c r="N22" i="742"/>
  <c r="N22" i="758"/>
  <c r="N22" i="743"/>
  <c r="B37" i="743" s="1"/>
  <c r="N22" i="744"/>
  <c r="B37" i="744" s="1"/>
  <c r="N22" i="740"/>
  <c r="B37" i="740" s="1"/>
  <c r="N22" i="739"/>
  <c r="N22" i="738"/>
  <c r="B37" i="738" s="1"/>
  <c r="N22" i="737"/>
  <c r="B37" i="737" s="1"/>
  <c r="N22" i="741"/>
  <c r="M22" i="767"/>
  <c r="M22" i="766"/>
  <c r="M22" i="765"/>
  <c r="M22" i="764"/>
  <c r="M22" i="763"/>
  <c r="M22" i="762"/>
  <c r="M22" i="761"/>
  <c r="M22" i="760"/>
  <c r="M22" i="750"/>
  <c r="B36" i="750" s="1"/>
  <c r="M22" i="754"/>
  <c r="M22" i="746"/>
  <c r="M22" i="757"/>
  <c r="B36" i="757" s="1"/>
  <c r="M22" i="751"/>
  <c r="M22" i="755"/>
  <c r="B36" i="755" s="1"/>
  <c r="M22" i="748"/>
  <c r="B36" i="748" s="1"/>
  <c r="M22" i="752"/>
  <c r="M22" i="759"/>
  <c r="M22" i="756"/>
  <c r="B36" i="756" s="1"/>
  <c r="M22" i="749"/>
  <c r="B36" i="749" s="1"/>
  <c r="M22" i="745"/>
  <c r="M22" i="747"/>
  <c r="B36" i="747" s="1"/>
  <c r="M22" i="742"/>
  <c r="M22" i="758"/>
  <c r="M22" i="753"/>
  <c r="M22" i="743"/>
  <c r="B36" i="743" s="1"/>
  <c r="M22" i="741"/>
  <c r="M22" i="744"/>
  <c r="B36" i="744" s="1"/>
  <c r="M22" i="740"/>
  <c r="B36" i="740" s="1"/>
  <c r="M22" i="739"/>
  <c r="M22" i="738"/>
  <c r="B36" i="738" s="1"/>
  <c r="M22" i="737"/>
  <c r="B36" i="737" s="1"/>
  <c r="L22" i="767"/>
  <c r="L22" i="766"/>
  <c r="L22" i="765"/>
  <c r="L22" i="764"/>
  <c r="L22" i="763"/>
  <c r="L22" i="762"/>
  <c r="L22" i="750"/>
  <c r="B35" i="750" s="1"/>
  <c r="L22" i="754"/>
  <c r="L22" i="760"/>
  <c r="L22" i="747"/>
  <c r="B35" i="747" s="1"/>
  <c r="L22" i="757"/>
  <c r="B35" i="757" s="1"/>
  <c r="L22" i="751"/>
  <c r="L22" i="755"/>
  <c r="B35" i="755" s="1"/>
  <c r="L22" i="748"/>
  <c r="B35" i="748" s="1"/>
  <c r="L22" i="752"/>
  <c r="L22" i="759"/>
  <c r="L22" i="756"/>
  <c r="B35" i="756" s="1"/>
  <c r="L22" i="758"/>
  <c r="L22" i="745"/>
  <c r="L22" i="761"/>
  <c r="L22" i="742"/>
  <c r="L22" i="753"/>
  <c r="L22" i="743"/>
  <c r="B35" i="743" s="1"/>
  <c r="L22" i="744"/>
  <c r="B35" i="744" s="1"/>
  <c r="L22" i="740"/>
  <c r="B35" i="740" s="1"/>
  <c r="L22" i="739"/>
  <c r="L22" i="738"/>
  <c r="B35" i="738" s="1"/>
  <c r="L22" i="737"/>
  <c r="B35" i="737" s="1"/>
  <c r="L22" i="749"/>
  <c r="B35" i="749" s="1"/>
  <c r="L22" i="746"/>
  <c r="L22" i="741"/>
  <c r="K22" i="767"/>
  <c r="K22" i="766"/>
  <c r="K22" i="765"/>
  <c r="K22" i="764"/>
  <c r="K22" i="763"/>
  <c r="K22" i="762"/>
  <c r="K22" i="761"/>
  <c r="K22" i="758"/>
  <c r="K22" i="750"/>
  <c r="B34" i="750" s="1"/>
  <c r="K22" i="754"/>
  <c r="K22" i="746"/>
  <c r="K22" i="760"/>
  <c r="K22" i="747"/>
  <c r="B34" i="747" s="1"/>
  <c r="K22" i="757"/>
  <c r="B34" i="757" s="1"/>
  <c r="K22" i="751"/>
  <c r="K22" i="755"/>
  <c r="B34" i="755" s="1"/>
  <c r="K22" i="748"/>
  <c r="B34" i="748" s="1"/>
  <c r="K22" i="752"/>
  <c r="K22" i="759"/>
  <c r="K22" i="753"/>
  <c r="K22" i="749"/>
  <c r="B34" i="749" s="1"/>
  <c r="K22" i="741"/>
  <c r="K22" i="745"/>
  <c r="K22" i="742"/>
  <c r="K22" i="743"/>
  <c r="B34" i="743" s="1"/>
  <c r="K22" i="756"/>
  <c r="B34" i="756" s="1"/>
  <c r="K22" i="744"/>
  <c r="B34" i="744" s="1"/>
  <c r="K22" i="740"/>
  <c r="B34" i="740" s="1"/>
  <c r="K22" i="739"/>
  <c r="K22" i="738"/>
  <c r="B34" i="738" s="1"/>
  <c r="K22" i="737"/>
  <c r="B34" i="737" s="1"/>
  <c r="J22" i="735"/>
  <c r="J22" i="734"/>
  <c r="J22" i="733"/>
  <c r="B33" i="733" s="1"/>
  <c r="J22" i="732"/>
  <c r="B33" i="732" s="1"/>
  <c r="J22" i="731"/>
  <c r="B33" i="731" s="1"/>
  <c r="J22" i="730"/>
  <c r="B33" i="730" s="1"/>
  <c r="J22" i="729"/>
  <c r="B33" i="729" s="1"/>
  <c r="J22" i="728"/>
  <c r="B33" i="728" s="1"/>
  <c r="J22" i="727"/>
  <c r="B33" i="727" s="1"/>
  <c r="J22" i="726"/>
  <c r="B33" i="726" s="1"/>
  <c r="J22" i="725"/>
  <c r="B33" i="725" s="1"/>
  <c r="J22" i="724"/>
  <c r="J22" i="722"/>
  <c r="J22" i="721"/>
  <c r="B33" i="721" s="1"/>
  <c r="J22" i="720"/>
  <c r="J22" i="723"/>
  <c r="N23" i="735"/>
  <c r="N23" i="734"/>
  <c r="N23" i="733"/>
  <c r="N23" i="732"/>
  <c r="N23" i="731"/>
  <c r="N23" i="730"/>
  <c r="N23" i="729"/>
  <c r="N23" i="728"/>
  <c r="N23" i="727"/>
  <c r="N23" i="726"/>
  <c r="N23" i="725"/>
  <c r="N23" i="724"/>
  <c r="N23" i="723"/>
  <c r="N23" i="721"/>
  <c r="N23" i="722"/>
  <c r="N23" i="720"/>
  <c r="M23" i="735"/>
  <c r="M23" i="734"/>
  <c r="M23" i="733"/>
  <c r="M23" i="732"/>
  <c r="M23" i="731"/>
  <c r="M23" i="730"/>
  <c r="M23" i="729"/>
  <c r="M23" i="728"/>
  <c r="M23" i="727"/>
  <c r="M23" i="726"/>
  <c r="M23" i="725"/>
  <c r="M23" i="724"/>
  <c r="M23" i="723"/>
  <c r="M23" i="721"/>
  <c r="M23" i="722"/>
  <c r="M23" i="720"/>
  <c r="L23" i="735"/>
  <c r="L23" i="734"/>
  <c r="L23" i="733"/>
  <c r="L23" i="732"/>
  <c r="L23" i="731"/>
  <c r="L23" i="730"/>
  <c r="L23" i="729"/>
  <c r="L23" i="728"/>
  <c r="L23" i="727"/>
  <c r="L23" i="726"/>
  <c r="L23" i="725"/>
  <c r="L23" i="724"/>
  <c r="L23" i="723"/>
  <c r="L23" i="721"/>
  <c r="L23" i="722"/>
  <c r="L23" i="720"/>
  <c r="K23" i="735"/>
  <c r="K23" i="734"/>
  <c r="K23" i="733"/>
  <c r="K23" i="732"/>
  <c r="K23" i="731"/>
  <c r="K23" i="730"/>
  <c r="K23" i="729"/>
  <c r="K23" i="728"/>
  <c r="K23" i="727"/>
  <c r="K23" i="726"/>
  <c r="K23" i="720"/>
  <c r="K23" i="724"/>
  <c r="K23" i="723"/>
  <c r="K23" i="722"/>
  <c r="K23" i="721"/>
  <c r="K23" i="725"/>
  <c r="J23" i="735"/>
  <c r="J23" i="734"/>
  <c r="J23" i="733"/>
  <c r="J23" i="732"/>
  <c r="J23" i="731"/>
  <c r="J23" i="730"/>
  <c r="J23" i="729"/>
  <c r="J23" i="728"/>
  <c r="J23" i="727"/>
  <c r="J23" i="726"/>
  <c r="J23" i="725"/>
  <c r="J23" i="724"/>
  <c r="J23" i="720"/>
  <c r="J23" i="723"/>
  <c r="J23" i="721"/>
  <c r="J23" i="722"/>
  <c r="N22" i="735"/>
  <c r="N22" i="734"/>
  <c r="N22" i="733"/>
  <c r="B37" i="733" s="1"/>
  <c r="N22" i="732"/>
  <c r="B37" i="732" s="1"/>
  <c r="N22" i="731"/>
  <c r="B37" i="731" s="1"/>
  <c r="N22" i="730"/>
  <c r="B37" i="730" s="1"/>
  <c r="N22" i="729"/>
  <c r="B37" i="729" s="1"/>
  <c r="N22" i="728"/>
  <c r="B37" i="728" s="1"/>
  <c r="N22" i="727"/>
  <c r="B37" i="727" s="1"/>
  <c r="N22" i="726"/>
  <c r="B37" i="726" s="1"/>
  <c r="N22" i="725"/>
  <c r="B37" i="725" s="1"/>
  <c r="N22" i="724"/>
  <c r="N22" i="723"/>
  <c r="N22" i="722"/>
  <c r="N22" i="721"/>
  <c r="B37" i="721" s="1"/>
  <c r="N22" i="720"/>
  <c r="M22" i="735"/>
  <c r="M22" i="734"/>
  <c r="M22" i="733"/>
  <c r="B36" i="733" s="1"/>
  <c r="M22" i="732"/>
  <c r="B36" i="732" s="1"/>
  <c r="M22" i="731"/>
  <c r="B36" i="731" s="1"/>
  <c r="M22" i="730"/>
  <c r="B36" i="730" s="1"/>
  <c r="M22" i="729"/>
  <c r="B36" i="729" s="1"/>
  <c r="M22" i="728"/>
  <c r="B36" i="728" s="1"/>
  <c r="M22" i="727"/>
  <c r="B36" i="727" s="1"/>
  <c r="M22" i="726"/>
  <c r="B36" i="726" s="1"/>
  <c r="M22" i="725"/>
  <c r="B36" i="725" s="1"/>
  <c r="M22" i="724"/>
  <c r="M22" i="723"/>
  <c r="M22" i="722"/>
  <c r="M22" i="721"/>
  <c r="B36" i="721" s="1"/>
  <c r="M22" i="720"/>
  <c r="L22" i="735"/>
  <c r="L22" i="734"/>
  <c r="L22" i="733"/>
  <c r="B35" i="733" s="1"/>
  <c r="L22" i="732"/>
  <c r="B35" i="732" s="1"/>
  <c r="L22" i="731"/>
  <c r="B35" i="731" s="1"/>
  <c r="L22" i="730"/>
  <c r="B35" i="730" s="1"/>
  <c r="L22" i="729"/>
  <c r="B35" i="729" s="1"/>
  <c r="L22" i="728"/>
  <c r="B35" i="728" s="1"/>
  <c r="L22" i="727"/>
  <c r="B35" i="727" s="1"/>
  <c r="L22" i="726"/>
  <c r="B35" i="726" s="1"/>
  <c r="L22" i="725"/>
  <c r="B35" i="725" s="1"/>
  <c r="L22" i="724"/>
  <c r="L22" i="722"/>
  <c r="L22" i="720"/>
  <c r="L22" i="723"/>
  <c r="L22" i="721"/>
  <c r="B35" i="721" s="1"/>
  <c r="K22" i="735"/>
  <c r="K22" i="734"/>
  <c r="K22" i="733"/>
  <c r="B34" i="733" s="1"/>
  <c r="K22" i="732"/>
  <c r="B34" i="732" s="1"/>
  <c r="K22" i="731"/>
  <c r="B34" i="731" s="1"/>
  <c r="K22" i="730"/>
  <c r="B34" i="730" s="1"/>
  <c r="K22" i="729"/>
  <c r="B34" i="729" s="1"/>
  <c r="K22" i="728"/>
  <c r="B34" i="728" s="1"/>
  <c r="K22" i="727"/>
  <c r="B34" i="727" s="1"/>
  <c r="K22" i="726"/>
  <c r="B34" i="726" s="1"/>
  <c r="K22" i="725"/>
  <c r="B34" i="725" s="1"/>
  <c r="K22" i="724"/>
  <c r="K22" i="722"/>
  <c r="K22" i="720"/>
  <c r="K22" i="723"/>
  <c r="K22" i="721"/>
  <c r="B34" i="721" s="1"/>
  <c r="J22" i="719"/>
  <c r="J22" i="718"/>
  <c r="J22" i="717"/>
  <c r="J22" i="716"/>
  <c r="B33" i="716" s="1"/>
  <c r="J22" i="715"/>
  <c r="J22" i="714"/>
  <c r="B33" i="714" s="1"/>
  <c r="J22" i="713"/>
  <c r="B33" i="713" s="1"/>
  <c r="J22" i="712"/>
  <c r="N23" i="719"/>
  <c r="N23" i="718"/>
  <c r="N23" i="717"/>
  <c r="N23" i="716"/>
  <c r="N23" i="715"/>
  <c r="N23" i="714"/>
  <c r="N23" i="713"/>
  <c r="N23" i="712"/>
  <c r="M23" i="719"/>
  <c r="M23" i="718"/>
  <c r="M23" i="717"/>
  <c r="M23" i="716"/>
  <c r="M23" i="715"/>
  <c r="M23" i="714"/>
  <c r="M23" i="713"/>
  <c r="M23" i="712"/>
  <c r="L23" i="719"/>
  <c r="L23" i="718"/>
  <c r="L23" i="717"/>
  <c r="L23" i="716"/>
  <c r="L23" i="715"/>
  <c r="L23" i="714"/>
  <c r="L23" i="713"/>
  <c r="L23" i="712"/>
  <c r="K23" i="712"/>
  <c r="K23" i="719"/>
  <c r="K23" i="718"/>
  <c r="K23" i="717"/>
  <c r="K23" i="716"/>
  <c r="K23" i="715"/>
  <c r="K23" i="714"/>
  <c r="K23" i="713"/>
  <c r="J23" i="719"/>
  <c r="J23" i="718"/>
  <c r="J23" i="717"/>
  <c r="J23" i="716"/>
  <c r="J23" i="715"/>
  <c r="J23" i="714"/>
  <c r="J23" i="713"/>
  <c r="J23" i="712"/>
  <c r="N22" i="719"/>
  <c r="N22" i="718"/>
  <c r="N22" i="717"/>
  <c r="N22" i="716"/>
  <c r="B37" i="716" s="1"/>
  <c r="N22" i="715"/>
  <c r="N22" i="714"/>
  <c r="B37" i="714" s="1"/>
  <c r="N22" i="713"/>
  <c r="B37" i="713" s="1"/>
  <c r="N22" i="712"/>
  <c r="M22" i="719"/>
  <c r="M22" i="718"/>
  <c r="M22" i="717"/>
  <c r="M22" i="716"/>
  <c r="B36" i="716" s="1"/>
  <c r="M22" i="715"/>
  <c r="M22" i="714"/>
  <c r="B36" i="714" s="1"/>
  <c r="M22" i="713"/>
  <c r="B36" i="713" s="1"/>
  <c r="M22" i="712"/>
  <c r="L22" i="712"/>
  <c r="L22" i="719"/>
  <c r="L22" i="718"/>
  <c r="L22" i="717"/>
  <c r="L22" i="716"/>
  <c r="B35" i="716" s="1"/>
  <c r="L22" i="715"/>
  <c r="L22" i="714"/>
  <c r="B35" i="714" s="1"/>
  <c r="L22" i="713"/>
  <c r="B35" i="713" s="1"/>
  <c r="K22" i="719"/>
  <c r="K22" i="718"/>
  <c r="K22" i="717"/>
  <c r="K22" i="716"/>
  <c r="B34" i="716" s="1"/>
  <c r="K22" i="715"/>
  <c r="K22" i="714"/>
  <c r="B34" i="714" s="1"/>
  <c r="K22" i="713"/>
  <c r="B34" i="713" s="1"/>
  <c r="K22" i="712"/>
  <c r="J22" i="711"/>
  <c r="J22" i="710"/>
  <c r="B33" i="710" s="1"/>
  <c r="J22" i="709"/>
  <c r="B33" i="709" s="1"/>
  <c r="N23" i="711"/>
  <c r="N23" i="710"/>
  <c r="N23" i="709"/>
  <c r="M23" i="711"/>
  <c r="M23" i="710"/>
  <c r="M23" i="709"/>
  <c r="L23" i="711"/>
  <c r="L23" i="710"/>
  <c r="L23" i="709"/>
  <c r="K23" i="711"/>
  <c r="K23" i="710"/>
  <c r="K23" i="709"/>
  <c r="J23" i="711"/>
  <c r="J23" i="710"/>
  <c r="J23" i="709"/>
  <c r="N22" i="711"/>
  <c r="N22" i="710"/>
  <c r="B37" i="710" s="1"/>
  <c r="N22" i="709"/>
  <c r="B37" i="709" s="1"/>
  <c r="M22" i="711"/>
  <c r="M22" i="710"/>
  <c r="B36" i="710" s="1"/>
  <c r="M22" i="709"/>
  <c r="B36" i="709" s="1"/>
  <c r="L22" i="711"/>
  <c r="L22" i="710"/>
  <c r="B35" i="710" s="1"/>
  <c r="L22" i="709"/>
  <c r="B35" i="709" s="1"/>
  <c r="K22" i="711"/>
  <c r="K22" i="710"/>
  <c r="B34" i="710" s="1"/>
  <c r="K22" i="709"/>
  <c r="B34" i="709" s="1"/>
  <c r="N23" i="707"/>
  <c r="N23" i="706"/>
  <c r="O23" i="706" s="1"/>
  <c r="M23" i="707"/>
  <c r="M23" i="706"/>
  <c r="L23" i="707"/>
  <c r="L23" i="706"/>
  <c r="K23" i="706"/>
  <c r="K23" i="707"/>
  <c r="J22" i="707"/>
  <c r="J22" i="706"/>
  <c r="J23" i="707"/>
  <c r="J23" i="706"/>
  <c r="N22" i="707"/>
  <c r="N22" i="706"/>
  <c r="M22" i="707"/>
  <c r="M22" i="706"/>
  <c r="L22" i="707"/>
  <c r="L22" i="706"/>
  <c r="K22" i="707"/>
  <c r="K22" i="706"/>
  <c r="J22" i="665"/>
  <c r="J22" i="705"/>
  <c r="N23" i="665"/>
  <c r="N23" i="705"/>
  <c r="M23" i="665"/>
  <c r="M23" i="705"/>
  <c r="L23" i="665"/>
  <c r="L23" i="705"/>
  <c r="K23" i="665"/>
  <c r="J23" i="665"/>
  <c r="J23" i="705"/>
  <c r="N22" i="665"/>
  <c r="N22" i="705"/>
  <c r="M22" i="665"/>
  <c r="M22" i="705"/>
  <c r="L22" i="665"/>
  <c r="L22" i="705"/>
  <c r="K22" i="665"/>
  <c r="K22" i="705"/>
  <c r="C27" i="665"/>
  <c r="H23" i="718"/>
  <c r="G23" i="718"/>
  <c r="E23" i="722"/>
  <c r="I23" i="858"/>
  <c r="H23" i="858"/>
  <c r="G23" i="858"/>
  <c r="F23" i="858"/>
  <c r="E23" i="858"/>
  <c r="D23" i="858"/>
  <c r="C23" i="858"/>
  <c r="I23" i="857"/>
  <c r="H23" i="857"/>
  <c r="G23" i="857"/>
  <c r="F23" i="857"/>
  <c r="E23" i="857"/>
  <c r="D23" i="857"/>
  <c r="C23" i="857"/>
  <c r="I23" i="856"/>
  <c r="H23" i="856"/>
  <c r="G23" i="856"/>
  <c r="F23" i="856"/>
  <c r="E23" i="856"/>
  <c r="D23" i="856"/>
  <c r="C23" i="856"/>
  <c r="I23" i="853"/>
  <c r="H23" i="853"/>
  <c r="G23" i="853"/>
  <c r="F23" i="853"/>
  <c r="E23" i="853"/>
  <c r="D23" i="853"/>
  <c r="C23" i="853"/>
  <c r="I23" i="855"/>
  <c r="H23" i="855"/>
  <c r="G23" i="855"/>
  <c r="F23" i="855"/>
  <c r="E23" i="855"/>
  <c r="D23" i="855"/>
  <c r="C23" i="855"/>
  <c r="O22" i="792" l="1"/>
  <c r="B38" i="792" s="1"/>
  <c r="B35" i="813"/>
  <c r="C22" i="825"/>
  <c r="H22" i="803"/>
  <c r="F22" i="816"/>
  <c r="G22" i="772"/>
  <c r="B30" i="772" s="1"/>
  <c r="I22" i="821"/>
  <c r="E22" i="858"/>
  <c r="B28" i="858" s="1"/>
  <c r="E22" i="715"/>
  <c r="C22" i="749"/>
  <c r="B26" i="749" s="1"/>
  <c r="E22" i="792"/>
  <c r="G22" i="855"/>
  <c r="B30" i="855" s="1"/>
  <c r="D22" i="749"/>
  <c r="B27" i="749" s="1"/>
  <c r="H22" i="719"/>
  <c r="D22" i="763"/>
  <c r="F22" i="778"/>
  <c r="H22" i="779"/>
  <c r="F22" i="768"/>
  <c r="B29" i="768" s="1"/>
  <c r="C22" i="765"/>
  <c r="D22" i="819"/>
  <c r="F22" i="706"/>
  <c r="H22" i="820"/>
  <c r="D22" i="781"/>
  <c r="B27" i="781" s="1"/>
  <c r="F22" i="782"/>
  <c r="H22" i="857"/>
  <c r="B31" i="857" s="1"/>
  <c r="H22" i="858"/>
  <c r="B31" i="858" s="1"/>
  <c r="E22" i="798"/>
  <c r="E22" i="746"/>
  <c r="G22" i="735"/>
  <c r="I22" i="854"/>
  <c r="C22" i="751"/>
  <c r="E22" i="727"/>
  <c r="B28" i="727" s="1"/>
  <c r="G22" i="747"/>
  <c r="B30" i="747" s="1"/>
  <c r="I22" i="718"/>
  <c r="E22" i="723"/>
  <c r="C22" i="803"/>
  <c r="H22" i="774"/>
  <c r="I22" i="804"/>
  <c r="H22" i="773"/>
  <c r="I22" i="752"/>
  <c r="I22" i="724"/>
  <c r="D22" i="855"/>
  <c r="B27" i="855" s="1"/>
  <c r="E22" i="719"/>
  <c r="E22" i="665"/>
  <c r="D22" i="787"/>
  <c r="B27" i="787" s="1"/>
  <c r="G22" i="786"/>
  <c r="B30" i="786" s="1"/>
  <c r="G22" i="796"/>
  <c r="B30" i="796" s="1"/>
  <c r="H22" i="824"/>
  <c r="B31" i="824" s="1"/>
  <c r="F22" i="855"/>
  <c r="B29" i="855" s="1"/>
  <c r="G22" i="719"/>
  <c r="I22" i="824"/>
  <c r="B32" i="824" s="1"/>
  <c r="C22" i="781"/>
  <c r="B26" i="781" s="1"/>
  <c r="G22" i="858"/>
  <c r="B30" i="858" s="1"/>
  <c r="D22" i="746"/>
  <c r="H22" i="854"/>
  <c r="C22" i="805"/>
  <c r="D22" i="805"/>
  <c r="F22" i="750"/>
  <c r="B29" i="750" s="1"/>
  <c r="H22" i="855"/>
  <c r="B31" i="855" s="1"/>
  <c r="C22" i="725"/>
  <c r="B26" i="725" s="1"/>
  <c r="E22" i="763"/>
  <c r="I22" i="779"/>
  <c r="I22" i="665"/>
  <c r="C22" i="856"/>
  <c r="B26" i="856" s="1"/>
  <c r="E22" i="774"/>
  <c r="G22" i="768"/>
  <c r="B30" i="768" s="1"/>
  <c r="I22" i="775"/>
  <c r="B32" i="775" s="1"/>
  <c r="D22" i="765"/>
  <c r="C22" i="818"/>
  <c r="B26" i="818" s="1"/>
  <c r="E22" i="819"/>
  <c r="G22" i="706"/>
  <c r="C22" i="780"/>
  <c r="E22" i="781"/>
  <c r="B28" i="781" s="1"/>
  <c r="I22" i="857"/>
  <c r="B32" i="857" s="1"/>
  <c r="C22" i="784"/>
  <c r="E22" i="790"/>
  <c r="G22" i="792"/>
  <c r="I22" i="858"/>
  <c r="B32" i="858" s="1"/>
  <c r="C22" i="712"/>
  <c r="E22" i="713"/>
  <c r="B28" i="713" s="1"/>
  <c r="F22" i="798"/>
  <c r="H22" i="735"/>
  <c r="F22" i="729"/>
  <c r="B29" i="729" s="1"/>
  <c r="H22" i="730"/>
  <c r="B31" i="730" s="1"/>
  <c r="D22" i="826"/>
  <c r="B27" i="826" s="1"/>
  <c r="F22" i="723"/>
  <c r="H22" i="731"/>
  <c r="B31" i="731" s="1"/>
  <c r="F22" i="811"/>
  <c r="B29" i="811" s="1"/>
  <c r="G22" i="808"/>
  <c r="G22" i="824"/>
  <c r="B30" i="824" s="1"/>
  <c r="E22" i="775"/>
  <c r="B28" i="775" s="1"/>
  <c r="D22" i="799"/>
  <c r="F22" i="719"/>
  <c r="F22" i="779"/>
  <c r="D22" i="750"/>
  <c r="B27" i="750" s="1"/>
  <c r="I22" i="807"/>
  <c r="B32" i="807" s="1"/>
  <c r="E22" i="778"/>
  <c r="E22" i="768"/>
  <c r="B28" i="768" s="1"/>
  <c r="E22" i="805"/>
  <c r="I22" i="855"/>
  <c r="B32" i="855" s="1"/>
  <c r="F22" i="721"/>
  <c r="B29" i="721" s="1"/>
  <c r="D22" i="856"/>
  <c r="B27" i="856" s="1"/>
  <c r="I22" i="787"/>
  <c r="B32" i="787" s="1"/>
  <c r="D22" i="818"/>
  <c r="B27" i="818" s="1"/>
  <c r="F22" i="819"/>
  <c r="H22" i="706"/>
  <c r="D22" i="780"/>
  <c r="F22" i="781"/>
  <c r="B29" i="781" s="1"/>
  <c r="H22" i="782"/>
  <c r="D22" i="784"/>
  <c r="F22" i="790"/>
  <c r="H22" i="792"/>
  <c r="D22" i="712"/>
  <c r="H22" i="714"/>
  <c r="B31" i="714" s="1"/>
  <c r="I22" i="799"/>
  <c r="G22" i="746"/>
  <c r="I22" i="735"/>
  <c r="C22" i="752"/>
  <c r="E22" i="751"/>
  <c r="G22" i="727"/>
  <c r="B30" i="727" s="1"/>
  <c r="I22" i="730"/>
  <c r="B32" i="730" s="1"/>
  <c r="E22" i="826"/>
  <c r="B28" i="826" s="1"/>
  <c r="E22" i="754"/>
  <c r="H22" i="767"/>
  <c r="E22" i="740"/>
  <c r="B28" i="740" s="1"/>
  <c r="E22" i="807"/>
  <c r="B28" i="807" s="1"/>
  <c r="E22" i="824"/>
  <c r="B28" i="824" s="1"/>
  <c r="H22" i="817"/>
  <c r="B31" i="817" s="1"/>
  <c r="C22" i="792"/>
  <c r="D22" i="778"/>
  <c r="C22" i="774"/>
  <c r="D22" i="766"/>
  <c r="C22" i="819"/>
  <c r="C22" i="804"/>
  <c r="G22" i="750"/>
  <c r="B30" i="750" s="1"/>
  <c r="D22" i="725"/>
  <c r="B27" i="725" s="1"/>
  <c r="H22" i="726"/>
  <c r="B31" i="726" s="1"/>
  <c r="D22" i="707"/>
  <c r="F22" i="774"/>
  <c r="D22" i="804"/>
  <c r="G22" i="749"/>
  <c r="B30" i="749" s="1"/>
  <c r="C22" i="720"/>
  <c r="E22" i="761"/>
  <c r="G22" i="763"/>
  <c r="I22" i="778"/>
  <c r="C22" i="767"/>
  <c r="E22" i="856"/>
  <c r="B28" i="856" s="1"/>
  <c r="G22" i="774"/>
  <c r="I22" i="768"/>
  <c r="B32" i="768" s="1"/>
  <c r="C22" i="773"/>
  <c r="E22" i="818"/>
  <c r="B28" i="818" s="1"/>
  <c r="G22" i="819"/>
  <c r="I22" i="706"/>
  <c r="C22" i="777"/>
  <c r="E22" i="780"/>
  <c r="G22" i="781"/>
  <c r="B30" i="781" s="1"/>
  <c r="I22" i="782"/>
  <c r="C22" i="783"/>
  <c r="E22" i="784"/>
  <c r="G22" i="790"/>
  <c r="I22" i="792"/>
  <c r="C22" i="711"/>
  <c r="H22" i="798"/>
  <c r="D22" i="741"/>
  <c r="H22" i="746"/>
  <c r="D22" i="752"/>
  <c r="F22" i="751"/>
  <c r="D22" i="743"/>
  <c r="B27" i="743" s="1"/>
  <c r="F22" i="826"/>
  <c r="B29" i="826" s="1"/>
  <c r="H22" i="723"/>
  <c r="H22" i="819"/>
  <c r="F22" i="780"/>
  <c r="F22" i="784"/>
  <c r="D22" i="711"/>
  <c r="I22" i="798"/>
  <c r="C22" i="739"/>
  <c r="I22" i="727"/>
  <c r="B32" i="727" s="1"/>
  <c r="I22" i="729"/>
  <c r="B32" i="729" s="1"/>
  <c r="C22" i="744"/>
  <c r="B26" i="744" s="1"/>
  <c r="E22" i="743"/>
  <c r="B28" i="743" s="1"/>
  <c r="G22" i="826"/>
  <c r="B30" i="826" s="1"/>
  <c r="I22" i="723"/>
  <c r="C22" i="753"/>
  <c r="G22" i="765"/>
  <c r="F22" i="712"/>
  <c r="C22" i="758"/>
  <c r="I22" i="819"/>
  <c r="G22" i="712"/>
  <c r="F22" i="741"/>
  <c r="D22" i="742"/>
  <c r="F22" i="752"/>
  <c r="D22" i="722"/>
  <c r="D22" i="744"/>
  <c r="B27" i="744" s="1"/>
  <c r="H22" i="826"/>
  <c r="B31" i="826" s="1"/>
  <c r="D22" i="753"/>
  <c r="G22" i="805"/>
  <c r="F22" i="818"/>
  <c r="B29" i="818" s="1"/>
  <c r="D22" i="777"/>
  <c r="D22" i="783"/>
  <c r="H22" i="790"/>
  <c r="F22" i="804"/>
  <c r="H22" i="805"/>
  <c r="C22" i="811"/>
  <c r="B26" i="811" s="1"/>
  <c r="I22" i="763"/>
  <c r="G22" i="856"/>
  <c r="B30" i="856" s="1"/>
  <c r="H22" i="765"/>
  <c r="E22" i="773"/>
  <c r="E22" i="777"/>
  <c r="I22" i="781"/>
  <c r="B32" i="781" s="1"/>
  <c r="E22" i="783"/>
  <c r="I22" i="790"/>
  <c r="E22" i="711"/>
  <c r="G22" i="804"/>
  <c r="H22" i="725"/>
  <c r="B31" i="725" s="1"/>
  <c r="D22" i="811"/>
  <c r="B27" i="811" s="1"/>
  <c r="H22" i="761"/>
  <c r="H22" i="856"/>
  <c r="B31" i="856" s="1"/>
  <c r="C22" i="813"/>
  <c r="E22" i="814"/>
  <c r="D22" i="788"/>
  <c r="B27" i="788" s="1"/>
  <c r="F22" i="773"/>
  <c r="H22" i="818"/>
  <c r="B31" i="818" s="1"/>
  <c r="D22" i="822"/>
  <c r="F22" i="777"/>
  <c r="H22" i="780"/>
  <c r="D22" i="776"/>
  <c r="F22" i="783"/>
  <c r="H22" i="784"/>
  <c r="D22" i="710"/>
  <c r="B27" i="710" s="1"/>
  <c r="C22" i="740"/>
  <c r="B26" i="740" s="1"/>
  <c r="C22" i="737"/>
  <c r="B26" i="737" s="1"/>
  <c r="E22" i="742"/>
  <c r="C22" i="757"/>
  <c r="B26" i="757" s="1"/>
  <c r="E22" i="722"/>
  <c r="G22" i="724"/>
  <c r="I22" i="734"/>
  <c r="C22" i="756"/>
  <c r="B26" i="756" s="1"/>
  <c r="E22" i="744"/>
  <c r="B28" i="744" s="1"/>
  <c r="I22" i="826"/>
  <c r="B32" i="826" s="1"/>
  <c r="I22" i="754"/>
  <c r="F22" i="761"/>
  <c r="D22" i="773"/>
  <c r="D22" i="803"/>
  <c r="I22" i="749"/>
  <c r="B32" i="749" s="1"/>
  <c r="G22" i="707"/>
  <c r="C22" i="728"/>
  <c r="B26" i="728" s="1"/>
  <c r="I22" i="774"/>
  <c r="D22" i="814"/>
  <c r="C22" i="788"/>
  <c r="B26" i="788" s="1"/>
  <c r="G22" i="818"/>
  <c r="B30" i="818" s="1"/>
  <c r="C22" i="822"/>
  <c r="G22" i="780"/>
  <c r="C22" i="776"/>
  <c r="G22" i="784"/>
  <c r="E22" i="803"/>
  <c r="I22" i="805"/>
  <c r="F22" i="720"/>
  <c r="D22" i="758"/>
  <c r="H22" i="707"/>
  <c r="F22" i="767"/>
  <c r="I22" i="765"/>
  <c r="F22" i="803"/>
  <c r="H22" i="804"/>
  <c r="C22" i="808"/>
  <c r="E22" i="811"/>
  <c r="B28" i="811" s="1"/>
  <c r="I22" i="761"/>
  <c r="C22" i="853"/>
  <c r="B26" i="853" s="1"/>
  <c r="E22" i="758"/>
  <c r="G22" i="759"/>
  <c r="I22" i="707"/>
  <c r="C22" i="794"/>
  <c r="E22" i="728"/>
  <c r="B28" i="728" s="1"/>
  <c r="G22" i="767"/>
  <c r="I22" i="856"/>
  <c r="B32" i="856" s="1"/>
  <c r="D22" i="813"/>
  <c r="F22" i="814"/>
  <c r="C22" i="815"/>
  <c r="B26" i="815" s="1"/>
  <c r="E22" i="788"/>
  <c r="B28" i="788" s="1"/>
  <c r="G22" i="773"/>
  <c r="I22" i="818"/>
  <c r="B32" i="818" s="1"/>
  <c r="C22" i="821"/>
  <c r="E22" i="822"/>
  <c r="G22" i="777"/>
  <c r="I22" i="780"/>
  <c r="C22" i="785"/>
  <c r="B26" i="785" s="1"/>
  <c r="E22" i="776"/>
  <c r="G22" i="783"/>
  <c r="I22" i="784"/>
  <c r="C22" i="709"/>
  <c r="E22" i="710"/>
  <c r="B28" i="710" s="1"/>
  <c r="G22" i="711"/>
  <c r="I22" i="712"/>
  <c r="F22" i="739"/>
  <c r="D22" i="737"/>
  <c r="B27" i="737" s="1"/>
  <c r="H22" i="752"/>
  <c r="F22" i="722"/>
  <c r="D22" i="756"/>
  <c r="B27" i="756" s="1"/>
  <c r="F22" i="744"/>
  <c r="B29" i="744" s="1"/>
  <c r="H22" i="743"/>
  <c r="B31" i="743" s="1"/>
  <c r="D22" i="760"/>
  <c r="F22" i="753"/>
  <c r="H22" i="717"/>
  <c r="F22" i="788"/>
  <c r="B29" i="788" s="1"/>
  <c r="G22" i="753"/>
  <c r="C22" i="745"/>
  <c r="C22" i="755"/>
  <c r="B26" i="755" s="1"/>
  <c r="G22" i="811"/>
  <c r="B30" i="811" s="1"/>
  <c r="C22" i="824"/>
  <c r="B26" i="824" s="1"/>
  <c r="I22" i="759"/>
  <c r="E22" i="794"/>
  <c r="D22" i="817"/>
  <c r="B27" i="817" s="1"/>
  <c r="C22" i="772"/>
  <c r="B26" i="772" s="1"/>
  <c r="G22" i="788"/>
  <c r="B30" i="788" s="1"/>
  <c r="G22" i="822"/>
  <c r="C22" i="786"/>
  <c r="B26" i="786" s="1"/>
  <c r="C22" i="796"/>
  <c r="B26" i="796" s="1"/>
  <c r="C22" i="716"/>
  <c r="B26" i="716" s="1"/>
  <c r="D22" i="801"/>
  <c r="F22" i="740"/>
  <c r="B29" i="740" s="1"/>
  <c r="H22" i="739"/>
  <c r="D22" i="745"/>
  <c r="F22" i="737"/>
  <c r="B29" i="737" s="1"/>
  <c r="H22" i="742"/>
  <c r="D22" i="825"/>
  <c r="F22" i="757"/>
  <c r="B29" i="757" s="1"/>
  <c r="D22" i="755"/>
  <c r="B27" i="755" s="1"/>
  <c r="H22" i="744"/>
  <c r="B31" i="744" s="1"/>
  <c r="F22" i="760"/>
  <c r="E22" i="804"/>
  <c r="F22" i="856"/>
  <c r="B29" i="856" s="1"/>
  <c r="D22" i="853"/>
  <c r="B27" i="853" s="1"/>
  <c r="D22" i="794"/>
  <c r="D22" i="785"/>
  <c r="B27" i="785" s="1"/>
  <c r="G22" i="739"/>
  <c r="E22" i="757"/>
  <c r="B28" i="757" s="1"/>
  <c r="C22" i="807"/>
  <c r="B26" i="807" s="1"/>
  <c r="E22" i="808"/>
  <c r="I22" i="720"/>
  <c r="E22" i="853"/>
  <c r="B28" i="853" s="1"/>
  <c r="G22" i="758"/>
  <c r="C22" i="705"/>
  <c r="F22" i="813"/>
  <c r="H22" i="814"/>
  <c r="E22" i="815"/>
  <c r="B28" i="815" s="1"/>
  <c r="I22" i="773"/>
  <c r="E22" i="821"/>
  <c r="I22" i="777"/>
  <c r="E22" i="785"/>
  <c r="B28" i="785" s="1"/>
  <c r="I22" i="783"/>
  <c r="E22" i="709"/>
  <c r="B28" i="709" s="1"/>
  <c r="I22" i="803"/>
  <c r="D22" i="807"/>
  <c r="B27" i="807" s="1"/>
  <c r="F22" i="808"/>
  <c r="H22" i="811"/>
  <c r="B31" i="811" s="1"/>
  <c r="D22" i="824"/>
  <c r="B27" i="824" s="1"/>
  <c r="F22" i="853"/>
  <c r="B29" i="853" s="1"/>
  <c r="H22" i="758"/>
  <c r="F22" i="794"/>
  <c r="H22" i="728"/>
  <c r="B31" i="728" s="1"/>
  <c r="C22" i="816"/>
  <c r="E22" i="817"/>
  <c r="B28" i="817" s="1"/>
  <c r="G22" i="813"/>
  <c r="I22" i="814"/>
  <c r="D22" i="772"/>
  <c r="B27" i="772" s="1"/>
  <c r="F22" i="815"/>
  <c r="B29" i="815" s="1"/>
  <c r="H22" i="788"/>
  <c r="B31" i="788" s="1"/>
  <c r="F22" i="821"/>
  <c r="D22" i="786"/>
  <c r="B27" i="786" s="1"/>
  <c r="F22" i="785"/>
  <c r="B29" i="785" s="1"/>
  <c r="H22" i="776"/>
  <c r="D22" i="796"/>
  <c r="B27" i="796" s="1"/>
  <c r="F22" i="709"/>
  <c r="B29" i="709" s="1"/>
  <c r="H22" i="710"/>
  <c r="B31" i="710" s="1"/>
  <c r="D22" i="716"/>
  <c r="B27" i="716" s="1"/>
  <c r="C22" i="800"/>
  <c r="E22" i="801"/>
  <c r="G22" i="740"/>
  <c r="B30" i="740" s="1"/>
  <c r="I22" i="739"/>
  <c r="C22" i="854"/>
  <c r="E22" i="745"/>
  <c r="G22" i="737"/>
  <c r="B30" i="737" s="1"/>
  <c r="I22" i="742"/>
  <c r="E22" i="825"/>
  <c r="I22" i="722"/>
  <c r="E22" i="755"/>
  <c r="B28" i="755" s="1"/>
  <c r="G22" i="756"/>
  <c r="B30" i="756" s="1"/>
  <c r="I22" i="744"/>
  <c r="B32" i="744" s="1"/>
  <c r="C22" i="732"/>
  <c r="B26" i="732" s="1"/>
  <c r="E22" i="733"/>
  <c r="B28" i="733" s="1"/>
  <c r="G22" i="760"/>
  <c r="I22" i="753"/>
  <c r="E22" i="813"/>
  <c r="F22" i="710"/>
  <c r="B29" i="710" s="1"/>
  <c r="G22" i="744"/>
  <c r="B30" i="744" s="1"/>
  <c r="I22" i="811"/>
  <c r="B32" i="811" s="1"/>
  <c r="E22" i="705"/>
  <c r="H22" i="813"/>
  <c r="E22" i="772"/>
  <c r="B28" i="772" s="1"/>
  <c r="G22" i="821"/>
  <c r="G22" i="785"/>
  <c r="B30" i="785" s="1"/>
  <c r="C22" i="858"/>
  <c r="B26" i="858" s="1"/>
  <c r="G22" i="709"/>
  <c r="B30" i="709" s="1"/>
  <c r="D22" i="800"/>
  <c r="H22" i="740"/>
  <c r="B31" i="740" s="1"/>
  <c r="D22" i="854"/>
  <c r="F22" i="745"/>
  <c r="H22" i="737"/>
  <c r="B31" i="737" s="1"/>
  <c r="D22" i="748"/>
  <c r="B27" i="748" s="1"/>
  <c r="F22" i="825"/>
  <c r="H22" i="757"/>
  <c r="B31" i="757" s="1"/>
  <c r="D22" i="718"/>
  <c r="F22" i="755"/>
  <c r="B29" i="755" s="1"/>
  <c r="H22" i="756"/>
  <c r="B31" i="756" s="1"/>
  <c r="D22" i="732"/>
  <c r="B27" i="732" s="1"/>
  <c r="F22" i="733"/>
  <c r="B29" i="733" s="1"/>
  <c r="H22" i="760"/>
  <c r="H22" i="763"/>
  <c r="D22" i="808"/>
  <c r="F22" i="758"/>
  <c r="F22" i="728"/>
  <c r="B29" i="728" s="1"/>
  <c r="G22" i="814"/>
  <c r="D22" i="821"/>
  <c r="F22" i="776"/>
  <c r="D22" i="709"/>
  <c r="B27" i="709" s="1"/>
  <c r="C22" i="801"/>
  <c r="I22" i="743"/>
  <c r="B32" i="743" s="1"/>
  <c r="C22" i="775"/>
  <c r="B26" i="775" s="1"/>
  <c r="D22" i="816"/>
  <c r="F22" i="817"/>
  <c r="B29" i="817" s="1"/>
  <c r="G22" i="815"/>
  <c r="B30" i="815" s="1"/>
  <c r="I22" i="788"/>
  <c r="B32" i="788" s="1"/>
  <c r="C22" i="820"/>
  <c r="I22" i="822"/>
  <c r="C22" i="857"/>
  <c r="B26" i="857" s="1"/>
  <c r="E22" i="786"/>
  <c r="B28" i="786" s="1"/>
  <c r="I22" i="776"/>
  <c r="E22" i="796"/>
  <c r="B28" i="796" s="1"/>
  <c r="E22" i="716"/>
  <c r="B28" i="716" s="1"/>
  <c r="F22" i="801"/>
  <c r="C22" i="855"/>
  <c r="B26" i="855" s="1"/>
  <c r="F22" i="807"/>
  <c r="B29" i="807" s="1"/>
  <c r="H22" i="808"/>
  <c r="D22" i="779"/>
  <c r="F22" i="824"/>
  <c r="B29" i="824" s="1"/>
  <c r="H22" i="853"/>
  <c r="B31" i="853" s="1"/>
  <c r="D22" i="665"/>
  <c r="F22" i="705"/>
  <c r="H22" i="794"/>
  <c r="D22" i="775"/>
  <c r="B27" i="775" s="1"/>
  <c r="C22" i="787"/>
  <c r="B26" i="787" s="1"/>
  <c r="E22" i="816"/>
  <c r="G22" i="817"/>
  <c r="B30" i="817" s="1"/>
  <c r="I22" i="813"/>
  <c r="F22" i="772"/>
  <c r="B29" i="772" s="1"/>
  <c r="H22" i="815"/>
  <c r="B31" i="815" s="1"/>
  <c r="D22" i="820"/>
  <c r="H22" i="821"/>
  <c r="D22" i="857"/>
  <c r="B27" i="857" s="1"/>
  <c r="F22" i="786"/>
  <c r="B29" i="786" s="1"/>
  <c r="H22" i="785"/>
  <c r="B31" i="785" s="1"/>
  <c r="D22" i="858"/>
  <c r="B27" i="858" s="1"/>
  <c r="F22" i="796"/>
  <c r="B29" i="796" s="1"/>
  <c r="H22" i="709"/>
  <c r="B31" i="709" s="1"/>
  <c r="D22" i="715"/>
  <c r="F22" i="716"/>
  <c r="B29" i="716" s="1"/>
  <c r="C22" i="799"/>
  <c r="E22" i="800"/>
  <c r="G22" i="801"/>
  <c r="I22" i="740"/>
  <c r="B32" i="740" s="1"/>
  <c r="C22" i="735"/>
  <c r="E22" i="854"/>
  <c r="G22" i="745"/>
  <c r="I22" i="737"/>
  <c r="B32" i="737" s="1"/>
  <c r="C22" i="747"/>
  <c r="B26" i="747" s="1"/>
  <c r="E22" i="748"/>
  <c r="B28" i="748" s="1"/>
  <c r="G22" i="825"/>
  <c r="I22" i="757"/>
  <c r="B32" i="757" s="1"/>
  <c r="C22" i="730"/>
  <c r="B26" i="730" s="1"/>
  <c r="G22" i="755"/>
  <c r="B30" i="755" s="1"/>
  <c r="I22" i="756"/>
  <c r="B32" i="756" s="1"/>
  <c r="C22" i="731"/>
  <c r="B26" i="731" s="1"/>
  <c r="E22" i="732"/>
  <c r="B28" i="732" s="1"/>
  <c r="G22" i="733"/>
  <c r="B30" i="733" s="1"/>
  <c r="I22" i="760"/>
  <c r="F22" i="707"/>
  <c r="G22" i="803"/>
  <c r="E22" i="737"/>
  <c r="B28" i="737" s="1"/>
  <c r="C22" i="665"/>
  <c r="C22" i="768"/>
  <c r="C22" i="782"/>
  <c r="G22" i="716"/>
  <c r="B30" i="716" s="1"/>
  <c r="D22" i="735"/>
  <c r="F22" i="854"/>
  <c r="H22" i="745"/>
  <c r="D22" i="747"/>
  <c r="B27" i="747" s="1"/>
  <c r="F22" i="748"/>
  <c r="B29" i="748" s="1"/>
  <c r="H22" i="825"/>
  <c r="D22" i="730"/>
  <c r="B27" i="730" s="1"/>
  <c r="F22" i="718"/>
  <c r="H22" i="755"/>
  <c r="B31" i="755" s="1"/>
  <c r="D22" i="731"/>
  <c r="B27" i="731" s="1"/>
  <c r="F22" i="732"/>
  <c r="B29" i="732" s="1"/>
  <c r="H22" i="733"/>
  <c r="B31" i="733" s="1"/>
  <c r="F22" i="725"/>
  <c r="B29" i="725" s="1"/>
  <c r="D22" i="815"/>
  <c r="B27" i="815" s="1"/>
  <c r="G22" i="853"/>
  <c r="B30" i="853" s="1"/>
  <c r="G22" i="794"/>
  <c r="C22" i="726"/>
  <c r="B26" i="726" s="1"/>
  <c r="E22" i="820"/>
  <c r="F22" i="800"/>
  <c r="E22" i="855"/>
  <c r="F22" i="665"/>
  <c r="H22" i="705"/>
  <c r="D22" i="768"/>
  <c r="B27" i="768" s="1"/>
  <c r="F22" i="775"/>
  <c r="B29" i="775" s="1"/>
  <c r="C22" i="766"/>
  <c r="E22" i="787"/>
  <c r="B28" i="787" s="1"/>
  <c r="G22" i="816"/>
  <c r="I22" i="817"/>
  <c r="B32" i="817" s="1"/>
  <c r="H22" i="772"/>
  <c r="B31" i="772" s="1"/>
  <c r="D22" i="706"/>
  <c r="F22" i="820"/>
  <c r="D22" i="782"/>
  <c r="F22" i="857"/>
  <c r="B29" i="857" s="1"/>
  <c r="H22" i="786"/>
  <c r="B31" i="786" s="1"/>
  <c r="D22" i="792"/>
  <c r="F22" i="858"/>
  <c r="B29" i="858" s="1"/>
  <c r="H22" i="796"/>
  <c r="B31" i="796" s="1"/>
  <c r="D22" i="714"/>
  <c r="B27" i="714" s="1"/>
  <c r="F22" i="715"/>
  <c r="H22" i="716"/>
  <c r="B31" i="716" s="1"/>
  <c r="C22" i="798"/>
  <c r="E22" i="799"/>
  <c r="G22" i="800"/>
  <c r="I22" i="801"/>
  <c r="C22" i="746"/>
  <c r="E22" i="735"/>
  <c r="G22" i="854"/>
  <c r="I22" i="745"/>
  <c r="C22" i="727"/>
  <c r="B26" i="727" s="1"/>
  <c r="E22" i="747"/>
  <c r="B28" i="747" s="1"/>
  <c r="G22" i="748"/>
  <c r="B30" i="748" s="1"/>
  <c r="I22" i="825"/>
  <c r="C22" i="729"/>
  <c r="B26" i="729" s="1"/>
  <c r="E22" i="730"/>
  <c r="B28" i="730" s="1"/>
  <c r="G22" i="718"/>
  <c r="I22" i="755"/>
  <c r="B32" i="755" s="1"/>
  <c r="C22" i="723"/>
  <c r="E22" i="731"/>
  <c r="B28" i="731" s="1"/>
  <c r="G22" i="732"/>
  <c r="B30" i="732" s="1"/>
  <c r="I22" i="733"/>
  <c r="B32" i="733" s="1"/>
  <c r="H22" i="759"/>
  <c r="H22" i="777"/>
  <c r="G22" i="807"/>
  <c r="B30" i="807" s="1"/>
  <c r="I22" i="853"/>
  <c r="B32" i="853" s="1"/>
  <c r="I22" i="794"/>
  <c r="E22" i="857"/>
  <c r="H22" i="801"/>
  <c r="D22" i="726"/>
  <c r="B27" i="726" s="1"/>
  <c r="C22" i="763"/>
  <c r="C22" i="721"/>
  <c r="B26" i="721" s="1"/>
  <c r="F22" i="787"/>
  <c r="B29" i="787" s="1"/>
  <c r="E22" i="706"/>
  <c r="G22" i="857"/>
  <c r="B30" i="857" s="1"/>
  <c r="C22" i="790"/>
  <c r="I22" i="796"/>
  <c r="B32" i="796" s="1"/>
  <c r="E22" i="714"/>
  <c r="B28" i="714" s="1"/>
  <c r="F22" i="799"/>
  <c r="F22" i="735"/>
  <c r="D22" i="727"/>
  <c r="B27" i="727" s="1"/>
  <c r="F22" i="747"/>
  <c r="B29" i="747" s="1"/>
  <c r="H22" i="748"/>
  <c r="B31" i="748" s="1"/>
  <c r="D22" i="729"/>
  <c r="B27" i="729" s="1"/>
  <c r="F22" i="730"/>
  <c r="B29" i="730" s="1"/>
  <c r="H22" i="718"/>
  <c r="D22" i="723"/>
  <c r="F22" i="731"/>
  <c r="B29" i="731" s="1"/>
  <c r="H22" i="732"/>
  <c r="B31" i="732" s="1"/>
  <c r="B35" i="780"/>
  <c r="B36" i="803"/>
  <c r="B36" i="782"/>
  <c r="B34" i="854"/>
  <c r="B35" i="792"/>
  <c r="B37" i="825"/>
  <c r="B35" i="854"/>
  <c r="B36" i="825"/>
  <c r="B37" i="782"/>
  <c r="B34" i="814"/>
  <c r="B34" i="792"/>
  <c r="B37" i="808"/>
  <c r="B36" i="854"/>
  <c r="B36" i="819"/>
  <c r="B36" i="809"/>
  <c r="B35" i="821"/>
  <c r="B36" i="769"/>
  <c r="B37" i="854"/>
  <c r="B35" i="825"/>
  <c r="B34" i="774"/>
  <c r="B35" i="798"/>
  <c r="B33" i="825"/>
  <c r="B36" i="778"/>
  <c r="B33" i="854"/>
  <c r="B35" i="771"/>
  <c r="B34" i="760"/>
  <c r="B37" i="745"/>
  <c r="B34" i="825"/>
  <c r="B35" i="802"/>
  <c r="B36" i="771"/>
  <c r="B34" i="777"/>
  <c r="B36" i="774"/>
  <c r="B36" i="797"/>
  <c r="B36" i="822"/>
  <c r="B35" i="808"/>
  <c r="B37" i="783"/>
  <c r="B37" i="794"/>
  <c r="B34" i="779"/>
  <c r="B35" i="745"/>
  <c r="B35" i="783"/>
  <c r="B36" i="759"/>
  <c r="I23" i="854"/>
  <c r="B35" i="800"/>
  <c r="B35" i="819"/>
  <c r="B34" i="803"/>
  <c r="H23" i="854"/>
  <c r="B37" i="771"/>
  <c r="B36" i="799"/>
  <c r="C23" i="854"/>
  <c r="D23" i="854"/>
  <c r="G23" i="854"/>
  <c r="B35" i="822"/>
  <c r="B37" i="814"/>
  <c r="B37" i="805"/>
  <c r="B37" i="779"/>
  <c r="E23" i="854"/>
  <c r="F23" i="854"/>
  <c r="B37" i="793"/>
  <c r="B34" i="776"/>
  <c r="B34" i="808"/>
  <c r="B37" i="773"/>
  <c r="B35" i="790"/>
  <c r="B34" i="784"/>
  <c r="B34" i="822"/>
  <c r="O23" i="858"/>
  <c r="B36" i="761"/>
  <c r="B35" i="820"/>
  <c r="B34" i="773"/>
  <c r="B35" i="801"/>
  <c r="B36" i="806"/>
  <c r="O23" i="857"/>
  <c r="B34" i="805"/>
  <c r="O23" i="856"/>
  <c r="B36" i="766"/>
  <c r="B37" i="764"/>
  <c r="B37" i="809"/>
  <c r="B36" i="792"/>
  <c r="B36" i="779"/>
  <c r="B36" i="808"/>
  <c r="B34" i="810"/>
  <c r="B37" i="780"/>
  <c r="B35" i="804"/>
  <c r="B36" i="810"/>
  <c r="B36" i="784"/>
  <c r="B35" i="809"/>
  <c r="B36" i="820"/>
  <c r="B35" i="776"/>
  <c r="B37" i="799"/>
  <c r="O23" i="855"/>
  <c r="B36" i="773"/>
  <c r="B37" i="822"/>
  <c r="B37" i="801"/>
  <c r="B36" i="777"/>
  <c r="B37" i="802"/>
  <c r="B35" i="797"/>
  <c r="B37" i="776"/>
  <c r="B35" i="719"/>
  <c r="B37" i="758"/>
  <c r="B34" i="813"/>
  <c r="B36" i="783"/>
  <c r="B37" i="790"/>
  <c r="B34" i="739"/>
  <c r="B35" i="767"/>
  <c r="B36" i="765"/>
  <c r="B37" i="763"/>
  <c r="B36" i="752"/>
  <c r="B35" i="805"/>
  <c r="B34" i="799"/>
  <c r="B35" i="803"/>
  <c r="B35" i="806"/>
  <c r="B34" i="754"/>
  <c r="B35" i="751"/>
  <c r="B34" i="794"/>
  <c r="B36" i="801"/>
  <c r="B35" i="739"/>
  <c r="B35" i="758"/>
  <c r="B34" i="751"/>
  <c r="B35" i="766"/>
  <c r="B36" i="764"/>
  <c r="B37" i="762"/>
  <c r="B34" i="816"/>
  <c r="B34" i="723"/>
  <c r="B37" i="741"/>
  <c r="B34" i="793"/>
  <c r="B37" i="760"/>
  <c r="O23" i="853"/>
  <c r="B36" i="745"/>
  <c r="B34" i="809"/>
  <c r="B36" i="802"/>
  <c r="B34" i="800"/>
  <c r="B34" i="797"/>
  <c r="B34" i="783"/>
  <c r="B35" i="769"/>
  <c r="B35" i="761"/>
  <c r="B36" i="754"/>
  <c r="B36" i="722"/>
  <c r="B35" i="777"/>
  <c r="B36" i="712"/>
  <c r="B37" i="719"/>
  <c r="B34" i="767"/>
  <c r="B35" i="765"/>
  <c r="B36" i="763"/>
  <c r="B34" i="734"/>
  <c r="B37" i="800"/>
  <c r="B37" i="759"/>
  <c r="B37" i="718"/>
  <c r="B34" i="766"/>
  <c r="B35" i="764"/>
  <c r="B36" i="762"/>
  <c r="B37" i="742"/>
  <c r="B35" i="784"/>
  <c r="B36" i="790"/>
  <c r="B34" i="717"/>
  <c r="B37" i="819"/>
  <c r="B35" i="774"/>
  <c r="B36" i="739"/>
  <c r="B37" i="767"/>
  <c r="B36" i="804"/>
  <c r="B37" i="813"/>
  <c r="B35" i="754"/>
  <c r="B37" i="806"/>
  <c r="B34" i="769"/>
  <c r="B34" i="806"/>
  <c r="B35" i="752"/>
  <c r="B36" i="813"/>
  <c r="B37" i="821"/>
  <c r="B34" i="782"/>
  <c r="B36" i="780"/>
  <c r="B34" i="745"/>
  <c r="B36" i="791"/>
  <c r="B36" i="805"/>
  <c r="B35" i="779"/>
  <c r="B37" i="774"/>
  <c r="B37" i="798"/>
  <c r="B35" i="791"/>
  <c r="B34" i="778"/>
  <c r="B34" i="746"/>
  <c r="B34" i="761"/>
  <c r="B35" i="760"/>
  <c r="B36" i="741"/>
  <c r="B36" i="746"/>
  <c r="B34" i="802"/>
  <c r="B34" i="820"/>
  <c r="B37" i="778"/>
  <c r="B37" i="712"/>
  <c r="B37" i="715"/>
  <c r="B34" i="753"/>
  <c r="B34" i="763"/>
  <c r="B36" i="753"/>
  <c r="B37" i="746"/>
  <c r="B35" i="799"/>
  <c r="B34" i="752"/>
  <c r="B34" i="765"/>
  <c r="B35" i="763"/>
  <c r="B35" i="723"/>
  <c r="B36" i="800"/>
  <c r="B35" i="812"/>
  <c r="B37" i="797"/>
  <c r="B34" i="724"/>
  <c r="B34" i="798"/>
  <c r="B34" i="821"/>
  <c r="B36" i="798"/>
  <c r="B37" i="722"/>
  <c r="B35" i="773"/>
  <c r="B35" i="816"/>
  <c r="B36" i="793"/>
  <c r="B36" i="794"/>
  <c r="B37" i="803"/>
  <c r="B35" i="782"/>
  <c r="B37" i="777"/>
  <c r="B37" i="804"/>
  <c r="B35" i="712"/>
  <c r="B33" i="780"/>
  <c r="B33" i="799"/>
  <c r="B35" i="810"/>
  <c r="B36" i="814"/>
  <c r="B33" i="774"/>
  <c r="B33" i="782"/>
  <c r="B33" i="813"/>
  <c r="B33" i="822"/>
  <c r="B34" i="790"/>
  <c r="B34" i="819"/>
  <c r="B36" i="776"/>
  <c r="B37" i="812"/>
  <c r="B36" i="715"/>
  <c r="B34" i="771"/>
  <c r="B34" i="812"/>
  <c r="B37" i="753"/>
  <c r="B36" i="816"/>
  <c r="B37" i="791"/>
  <c r="B33" i="777"/>
  <c r="B33" i="783"/>
  <c r="B35" i="746"/>
  <c r="B36" i="821"/>
  <c r="B37" i="769"/>
  <c r="B33" i="773"/>
  <c r="B33" i="801"/>
  <c r="B34" i="791"/>
  <c r="B35" i="778"/>
  <c r="B37" i="816"/>
  <c r="B33" i="802"/>
  <c r="B33" i="820"/>
  <c r="E22" i="810"/>
  <c r="E22" i="812"/>
  <c r="E22" i="802"/>
  <c r="E22" i="795"/>
  <c r="B28" i="795" s="1"/>
  <c r="E22" i="793"/>
  <c r="E22" i="791"/>
  <c r="E22" i="809"/>
  <c r="E22" i="789"/>
  <c r="B28" i="789" s="1"/>
  <c r="E22" i="782"/>
  <c r="E22" i="779"/>
  <c r="E22" i="771"/>
  <c r="E22" i="770"/>
  <c r="B28" i="770" s="1"/>
  <c r="E22" i="769"/>
  <c r="B37" i="711"/>
  <c r="B34" i="735"/>
  <c r="B35" i="734"/>
  <c r="B36" i="767"/>
  <c r="B37" i="752"/>
  <c r="B37" i="765"/>
  <c r="B33" i="751"/>
  <c r="B33" i="769"/>
  <c r="B33" i="798"/>
  <c r="B33" i="803"/>
  <c r="B33" i="819"/>
  <c r="B34" i="718"/>
  <c r="B35" i="735"/>
  <c r="B36" i="734"/>
  <c r="B37" i="766"/>
  <c r="B33" i="804"/>
  <c r="B33" i="821"/>
  <c r="I23" i="818"/>
  <c r="I23" i="815"/>
  <c r="I23" i="822"/>
  <c r="I23" i="821"/>
  <c r="I23" i="819"/>
  <c r="I23" i="825"/>
  <c r="I23" i="826"/>
  <c r="I23" i="817"/>
  <c r="I23" i="820"/>
  <c r="I23" i="824"/>
  <c r="I23" i="813"/>
  <c r="I23" i="810"/>
  <c r="I23" i="807"/>
  <c r="I23" i="814"/>
  <c r="I23" i="811"/>
  <c r="I23" i="808"/>
  <c r="I23" i="805"/>
  <c r="I23" i="804"/>
  <c r="I23" i="803"/>
  <c r="I23" i="802"/>
  <c r="I23" i="812"/>
  <c r="I23" i="809"/>
  <c r="I23" i="801"/>
  <c r="I23" i="799"/>
  <c r="I23" i="796"/>
  <c r="I23" i="795"/>
  <c r="I23" i="794"/>
  <c r="I23" i="800"/>
  <c r="I23" i="798"/>
  <c r="I23" i="816"/>
  <c r="I23" i="786"/>
  <c r="I23" i="790"/>
  <c r="I23" i="783"/>
  <c r="I23" i="782"/>
  <c r="I23" i="781"/>
  <c r="I23" i="780"/>
  <c r="I23" i="779"/>
  <c r="I23" i="787"/>
  <c r="I23" i="791"/>
  <c r="I23" i="784"/>
  <c r="I23" i="789"/>
  <c r="I23" i="793"/>
  <c r="I23" i="788"/>
  <c r="I23" i="785"/>
  <c r="I23" i="776"/>
  <c r="I23" i="772"/>
  <c r="I23" i="771"/>
  <c r="I23" i="770"/>
  <c r="I23" i="769"/>
  <c r="I23" i="768"/>
  <c r="I23" i="773"/>
  <c r="I23" i="792"/>
  <c r="I23" i="777"/>
  <c r="I23" i="775"/>
  <c r="I23" i="774"/>
  <c r="I23" i="778"/>
  <c r="B34" i="720"/>
  <c r="B34" i="801"/>
  <c r="B33" i="771"/>
  <c r="B33" i="792"/>
  <c r="B33" i="805"/>
  <c r="C22" i="826"/>
  <c r="B26" i="826" s="1"/>
  <c r="C22" i="817"/>
  <c r="B26" i="817" s="1"/>
  <c r="C22" i="814"/>
  <c r="C22" i="812"/>
  <c r="C22" i="810"/>
  <c r="C22" i="809"/>
  <c r="C22" i="802"/>
  <c r="C22" i="795"/>
  <c r="B26" i="795" s="1"/>
  <c r="C22" i="793"/>
  <c r="C22" i="791"/>
  <c r="C22" i="789"/>
  <c r="B26" i="789" s="1"/>
  <c r="C22" i="778"/>
  <c r="C22" i="779"/>
  <c r="C22" i="771"/>
  <c r="C22" i="770"/>
  <c r="C22" i="769"/>
  <c r="F22" i="822"/>
  <c r="F22" i="810"/>
  <c r="F22" i="812"/>
  <c r="F22" i="809"/>
  <c r="F22" i="805"/>
  <c r="F22" i="802"/>
  <c r="F22" i="795"/>
  <c r="B29" i="795" s="1"/>
  <c r="F22" i="793"/>
  <c r="F22" i="792"/>
  <c r="F22" i="791"/>
  <c r="F22" i="789"/>
  <c r="B29" i="789" s="1"/>
  <c r="F22" i="771"/>
  <c r="F22" i="770"/>
  <c r="B29" i="770" s="1"/>
  <c r="F22" i="769"/>
  <c r="I22" i="816"/>
  <c r="I22" i="820"/>
  <c r="I22" i="808"/>
  <c r="I22" i="815"/>
  <c r="B32" i="815" s="1"/>
  <c r="I22" i="800"/>
  <c r="I22" i="812"/>
  <c r="I22" i="810"/>
  <c r="I22" i="795"/>
  <c r="B32" i="795" s="1"/>
  <c r="I22" i="802"/>
  <c r="I22" i="809"/>
  <c r="I22" i="789"/>
  <c r="B32" i="789" s="1"/>
  <c r="I22" i="785"/>
  <c r="B32" i="785" s="1"/>
  <c r="I22" i="791"/>
  <c r="I22" i="793"/>
  <c r="I22" i="786"/>
  <c r="B32" i="786" s="1"/>
  <c r="I22" i="772"/>
  <c r="B32" i="772" s="1"/>
  <c r="I22" i="771"/>
  <c r="I22" i="770"/>
  <c r="B32" i="770" s="1"/>
  <c r="I22" i="769"/>
  <c r="B34" i="742"/>
  <c r="B36" i="751"/>
  <c r="B33" i="793"/>
  <c r="B33" i="806"/>
  <c r="D22" i="810"/>
  <c r="D22" i="812"/>
  <c r="D22" i="802"/>
  <c r="D22" i="795"/>
  <c r="B27" i="795" s="1"/>
  <c r="D22" i="793"/>
  <c r="D22" i="791"/>
  <c r="D22" i="790"/>
  <c r="D22" i="789"/>
  <c r="B27" i="789" s="1"/>
  <c r="D22" i="809"/>
  <c r="D22" i="798"/>
  <c r="D22" i="771"/>
  <c r="D22" i="770"/>
  <c r="B27" i="770" s="1"/>
  <c r="D22" i="769"/>
  <c r="D22" i="774"/>
  <c r="H22" i="816"/>
  <c r="H22" i="822"/>
  <c r="H22" i="810"/>
  <c r="H22" i="807"/>
  <c r="B31" i="807" s="1"/>
  <c r="H22" i="812"/>
  <c r="H22" i="809"/>
  <c r="H22" i="802"/>
  <c r="H22" i="800"/>
  <c r="H22" i="799"/>
  <c r="H22" i="795"/>
  <c r="B31" i="795" s="1"/>
  <c r="H22" i="789"/>
  <c r="B31" i="789" s="1"/>
  <c r="H22" i="787"/>
  <c r="B31" i="787" s="1"/>
  <c r="H22" i="783"/>
  <c r="H22" i="781"/>
  <c r="B31" i="781" s="1"/>
  <c r="H22" i="791"/>
  <c r="H22" i="771"/>
  <c r="H22" i="770"/>
  <c r="B31" i="770" s="1"/>
  <c r="H22" i="769"/>
  <c r="H22" i="768"/>
  <c r="B31" i="768" s="1"/>
  <c r="H22" i="793"/>
  <c r="H22" i="778"/>
  <c r="H22" i="775"/>
  <c r="B31" i="775" s="1"/>
  <c r="B34" i="758"/>
  <c r="B35" i="793"/>
  <c r="B37" i="784"/>
  <c r="B33" i="794"/>
  <c r="B33" i="809"/>
  <c r="B35" i="724"/>
  <c r="B36" i="723"/>
  <c r="B35" i="794"/>
  <c r="B33" i="791"/>
  <c r="B33" i="812"/>
  <c r="B34" i="780"/>
  <c r="B34" i="804"/>
  <c r="B35" i="814"/>
  <c r="B33" i="779"/>
  <c r="B33" i="790"/>
  <c r="B33" i="808"/>
  <c r="B35" i="717"/>
  <c r="B37" i="820"/>
  <c r="B33" i="776"/>
  <c r="B33" i="797"/>
  <c r="G22" i="820"/>
  <c r="G22" i="810"/>
  <c r="G22" i="812"/>
  <c r="G22" i="809"/>
  <c r="G22" i="799"/>
  <c r="G22" i="795"/>
  <c r="B30" i="795" s="1"/>
  <c r="G22" i="802"/>
  <c r="G22" i="798"/>
  <c r="G22" i="789"/>
  <c r="B30" i="789" s="1"/>
  <c r="G22" i="787"/>
  <c r="B30" i="787" s="1"/>
  <c r="G22" i="782"/>
  <c r="G22" i="779"/>
  <c r="G22" i="776"/>
  <c r="G22" i="771"/>
  <c r="G22" i="770"/>
  <c r="B30" i="770" s="1"/>
  <c r="G22" i="769"/>
  <c r="G22" i="793"/>
  <c r="G22" i="791"/>
  <c r="G22" i="778"/>
  <c r="G22" i="775"/>
  <c r="B30" i="775" s="1"/>
  <c r="C23" i="826"/>
  <c r="C23" i="825"/>
  <c r="C23" i="824"/>
  <c r="C23" i="817"/>
  <c r="C23" i="820"/>
  <c r="C23" i="822"/>
  <c r="C23" i="818"/>
  <c r="C23" i="821"/>
  <c r="C23" i="819"/>
  <c r="C23" i="812"/>
  <c r="C23" i="809"/>
  <c r="C23" i="805"/>
  <c r="C23" i="815"/>
  <c r="C23" i="813"/>
  <c r="C23" i="810"/>
  <c r="C23" i="807"/>
  <c r="C23" i="814"/>
  <c r="C23" i="811"/>
  <c r="C23" i="808"/>
  <c r="C23" i="816"/>
  <c r="C23" i="798"/>
  <c r="C23" i="804"/>
  <c r="C23" i="802"/>
  <c r="C23" i="801"/>
  <c r="C23" i="803"/>
  <c r="C23" i="799"/>
  <c r="C23" i="792"/>
  <c r="C23" i="788"/>
  <c r="C23" i="785"/>
  <c r="C23" i="790"/>
  <c r="C23" i="786"/>
  <c r="C23" i="796"/>
  <c r="C23" i="791"/>
  <c r="C23" i="783"/>
  <c r="C23" i="782"/>
  <c r="C23" i="795"/>
  <c r="C23" i="787"/>
  <c r="C23" i="793"/>
  <c r="C23" i="789"/>
  <c r="C23" i="800"/>
  <c r="C23" i="774"/>
  <c r="C23" i="780"/>
  <c r="C23" i="778"/>
  <c r="C23" i="784"/>
  <c r="C23" i="781"/>
  <c r="C23" i="775"/>
  <c r="C23" i="794"/>
  <c r="C23" i="779"/>
  <c r="C23" i="776"/>
  <c r="C23" i="772"/>
  <c r="C23" i="771"/>
  <c r="C23" i="770"/>
  <c r="C23" i="769"/>
  <c r="C23" i="768"/>
  <c r="C23" i="777"/>
  <c r="C23" i="773"/>
  <c r="D23" i="826"/>
  <c r="D23" i="825"/>
  <c r="D23" i="824"/>
  <c r="D23" i="822"/>
  <c r="D23" i="820"/>
  <c r="D23" i="818"/>
  <c r="D23" i="821"/>
  <c r="D23" i="819"/>
  <c r="D23" i="817"/>
  <c r="D23" i="812"/>
  <c r="D23" i="809"/>
  <c r="D23" i="805"/>
  <c r="D23" i="804"/>
  <c r="D23" i="803"/>
  <c r="D23" i="815"/>
  <c r="D23" i="813"/>
  <c r="D23" i="810"/>
  <c r="D23" i="807"/>
  <c r="D23" i="814"/>
  <c r="D23" i="811"/>
  <c r="D23" i="808"/>
  <c r="D23" i="816"/>
  <c r="D23" i="798"/>
  <c r="D23" i="802"/>
  <c r="D23" i="801"/>
  <c r="D23" i="799"/>
  <c r="D23" i="785"/>
  <c r="D23" i="790"/>
  <c r="D23" i="786"/>
  <c r="D23" i="796"/>
  <c r="D23" i="791"/>
  <c r="D23" i="783"/>
  <c r="D23" i="782"/>
  <c r="D23" i="795"/>
  <c r="D23" i="787"/>
  <c r="D23" i="793"/>
  <c r="D23" i="789"/>
  <c r="D23" i="800"/>
  <c r="D23" i="794"/>
  <c r="D23" i="784"/>
  <c r="D23" i="774"/>
  <c r="D23" i="780"/>
  <c r="D23" i="778"/>
  <c r="D23" i="781"/>
  <c r="D23" i="775"/>
  <c r="D23" i="779"/>
  <c r="D23" i="792"/>
  <c r="D23" i="776"/>
  <c r="D23" i="772"/>
  <c r="D23" i="771"/>
  <c r="D23" i="770"/>
  <c r="D23" i="769"/>
  <c r="D23" i="768"/>
  <c r="D23" i="773"/>
  <c r="D23" i="788"/>
  <c r="D23" i="777"/>
  <c r="E23" i="826"/>
  <c r="E23" i="825"/>
  <c r="E23" i="824"/>
  <c r="E23" i="822"/>
  <c r="E23" i="821"/>
  <c r="E23" i="820"/>
  <c r="E23" i="819"/>
  <c r="E23" i="818"/>
  <c r="E23" i="817"/>
  <c r="E23" i="816"/>
  <c r="E23" i="815"/>
  <c r="E23" i="814"/>
  <c r="E23" i="813"/>
  <c r="E23" i="812"/>
  <c r="E23" i="811"/>
  <c r="E23" i="810"/>
  <c r="E23" i="809"/>
  <c r="E23" i="808"/>
  <c r="E23" i="807"/>
  <c r="E23" i="805"/>
  <c r="E23" i="804"/>
  <c r="E23" i="803"/>
  <c r="E23" i="802"/>
  <c r="E23" i="801"/>
  <c r="E23" i="800"/>
  <c r="E23" i="799"/>
  <c r="E23" i="798"/>
  <c r="E23" i="796"/>
  <c r="E23" i="795"/>
  <c r="E23" i="794"/>
  <c r="E23" i="793"/>
  <c r="E23" i="792"/>
  <c r="E23" i="791"/>
  <c r="E23" i="790"/>
  <c r="E23" i="789"/>
  <c r="E23" i="785"/>
  <c r="E23" i="786"/>
  <c r="E23" i="783"/>
  <c r="E23" i="782"/>
  <c r="E23" i="781"/>
  <c r="E23" i="780"/>
  <c r="E23" i="787"/>
  <c r="E23" i="784"/>
  <c r="E23" i="778"/>
  <c r="E23" i="774"/>
  <c r="E23" i="775"/>
  <c r="E23" i="779"/>
  <c r="E23" i="776"/>
  <c r="E23" i="772"/>
  <c r="E23" i="771"/>
  <c r="E23" i="770"/>
  <c r="E23" i="769"/>
  <c r="E23" i="768"/>
  <c r="E23" i="773"/>
  <c r="E23" i="777"/>
  <c r="E23" i="788"/>
  <c r="F23" i="826"/>
  <c r="F23" i="825"/>
  <c r="F23" i="824"/>
  <c r="F23" i="818"/>
  <c r="F23" i="822"/>
  <c r="F23" i="821"/>
  <c r="F23" i="819"/>
  <c r="F23" i="820"/>
  <c r="F23" i="817"/>
  <c r="F23" i="812"/>
  <c r="F23" i="809"/>
  <c r="F23" i="815"/>
  <c r="F23" i="813"/>
  <c r="F23" i="810"/>
  <c r="F23" i="807"/>
  <c r="F23" i="814"/>
  <c r="F23" i="811"/>
  <c r="F23" i="808"/>
  <c r="F23" i="816"/>
  <c r="F23" i="802"/>
  <c r="F23" i="804"/>
  <c r="F23" i="805"/>
  <c r="F23" i="801"/>
  <c r="F23" i="803"/>
  <c r="F23" i="799"/>
  <c r="F23" i="796"/>
  <c r="F23" i="795"/>
  <c r="F23" i="794"/>
  <c r="F23" i="793"/>
  <c r="F23" i="792"/>
  <c r="F23" i="791"/>
  <c r="F23" i="790"/>
  <c r="F23" i="789"/>
  <c r="F23" i="800"/>
  <c r="F23" i="798"/>
  <c r="F23" i="786"/>
  <c r="F23" i="783"/>
  <c r="F23" i="782"/>
  <c r="F23" i="781"/>
  <c r="F23" i="780"/>
  <c r="F23" i="787"/>
  <c r="F23" i="784"/>
  <c r="F23" i="788"/>
  <c r="F23" i="775"/>
  <c r="F23" i="779"/>
  <c r="F23" i="776"/>
  <c r="F23" i="772"/>
  <c r="F23" i="771"/>
  <c r="F23" i="770"/>
  <c r="F23" i="769"/>
  <c r="F23" i="768"/>
  <c r="F23" i="773"/>
  <c r="F23" i="785"/>
  <c r="F23" i="777"/>
  <c r="F23" i="774"/>
  <c r="F23" i="778"/>
  <c r="G23" i="826"/>
  <c r="G23" i="825"/>
  <c r="G23" i="824"/>
  <c r="G23" i="818"/>
  <c r="G23" i="815"/>
  <c r="G23" i="822"/>
  <c r="G23" i="821"/>
  <c r="G23" i="819"/>
  <c r="G23" i="816"/>
  <c r="G23" i="817"/>
  <c r="G23" i="813"/>
  <c r="G23" i="810"/>
  <c r="G23" i="807"/>
  <c r="G23" i="802"/>
  <c r="G23" i="804"/>
  <c r="G23" i="812"/>
  <c r="G23" i="805"/>
  <c r="G23" i="801"/>
  <c r="G23" i="814"/>
  <c r="G23" i="803"/>
  <c r="G23" i="809"/>
  <c r="G23" i="799"/>
  <c r="G23" i="796"/>
  <c r="G23" i="795"/>
  <c r="G23" i="794"/>
  <c r="G23" i="793"/>
  <c r="G23" i="792"/>
  <c r="G23" i="791"/>
  <c r="G23" i="790"/>
  <c r="G23" i="811"/>
  <c r="G23" i="800"/>
  <c r="G23" i="820"/>
  <c r="G23" i="808"/>
  <c r="G23" i="786"/>
  <c r="G23" i="783"/>
  <c r="G23" i="782"/>
  <c r="G23" i="781"/>
  <c r="G23" i="780"/>
  <c r="G23" i="787"/>
  <c r="G23" i="789"/>
  <c r="G23" i="784"/>
  <c r="G23" i="788"/>
  <c r="G23" i="775"/>
  <c r="G23" i="779"/>
  <c r="G23" i="776"/>
  <c r="G23" i="798"/>
  <c r="G23" i="772"/>
  <c r="G23" i="771"/>
  <c r="G23" i="770"/>
  <c r="G23" i="769"/>
  <c r="G23" i="768"/>
  <c r="G23" i="773"/>
  <c r="G23" i="785"/>
  <c r="G23" i="777"/>
  <c r="G23" i="774"/>
  <c r="G23" i="778"/>
  <c r="B35" i="718"/>
  <c r="B34" i="759"/>
  <c r="B34" i="764"/>
  <c r="B35" i="742"/>
  <c r="B35" i="762"/>
  <c r="B36" i="760"/>
  <c r="B37" i="754"/>
  <c r="B36" i="812"/>
  <c r="B33" i="810"/>
  <c r="B33" i="814"/>
  <c r="H23" i="824"/>
  <c r="H23" i="818"/>
  <c r="H23" i="822"/>
  <c r="H23" i="821"/>
  <c r="H23" i="819"/>
  <c r="H23" i="825"/>
  <c r="H23" i="826"/>
  <c r="H23" i="817"/>
  <c r="H23" i="820"/>
  <c r="H23" i="815"/>
  <c r="H23" i="813"/>
  <c r="H23" i="810"/>
  <c r="H23" i="807"/>
  <c r="H23" i="814"/>
  <c r="H23" i="811"/>
  <c r="H23" i="808"/>
  <c r="H23" i="816"/>
  <c r="H23" i="805"/>
  <c r="H23" i="804"/>
  <c r="H23" i="803"/>
  <c r="H23" i="802"/>
  <c r="H23" i="801"/>
  <c r="H23" i="812"/>
  <c r="H23" i="809"/>
  <c r="H23" i="799"/>
  <c r="H23" i="796"/>
  <c r="H23" i="795"/>
  <c r="H23" i="794"/>
  <c r="H23" i="793"/>
  <c r="H23" i="792"/>
  <c r="H23" i="791"/>
  <c r="H23" i="790"/>
  <c r="H23" i="789"/>
  <c r="H23" i="800"/>
  <c r="H23" i="786"/>
  <c r="H23" i="783"/>
  <c r="H23" i="782"/>
  <c r="H23" i="781"/>
  <c r="H23" i="780"/>
  <c r="H23" i="787"/>
  <c r="H23" i="784"/>
  <c r="H23" i="788"/>
  <c r="H23" i="785"/>
  <c r="H23" i="775"/>
  <c r="H23" i="779"/>
  <c r="H23" i="776"/>
  <c r="H23" i="798"/>
  <c r="H23" i="772"/>
  <c r="H23" i="771"/>
  <c r="H23" i="770"/>
  <c r="H23" i="769"/>
  <c r="H23" i="768"/>
  <c r="H23" i="773"/>
  <c r="H23" i="777"/>
  <c r="H23" i="774"/>
  <c r="H23" i="778"/>
  <c r="B37" i="717"/>
  <c r="B37" i="810"/>
  <c r="B33" i="778"/>
  <c r="B33" i="784"/>
  <c r="B33" i="800"/>
  <c r="B33" i="816"/>
  <c r="E22" i="762"/>
  <c r="E22" i="759"/>
  <c r="E22" i="752"/>
  <c r="E22" i="756"/>
  <c r="B28" i="756" s="1"/>
  <c r="E22" i="749"/>
  <c r="B28" i="749" s="1"/>
  <c r="E22" i="753"/>
  <c r="E22" i="767"/>
  <c r="E22" i="750"/>
  <c r="B28" i="750" s="1"/>
  <c r="E22" i="766"/>
  <c r="E22" i="760"/>
  <c r="E22" i="765"/>
  <c r="E22" i="739"/>
  <c r="E22" i="741"/>
  <c r="F22" i="759"/>
  <c r="F22" i="756"/>
  <c r="B29" i="756" s="1"/>
  <c r="F22" i="749"/>
  <c r="B29" i="749" s="1"/>
  <c r="F22" i="763"/>
  <c r="F22" i="754"/>
  <c r="F22" i="766"/>
  <c r="F22" i="762"/>
  <c r="F22" i="746"/>
  <c r="F22" i="765"/>
  <c r="F22" i="742"/>
  <c r="F22" i="743"/>
  <c r="B29" i="743" s="1"/>
  <c r="G22" i="766"/>
  <c r="G22" i="762"/>
  <c r="G22" i="761"/>
  <c r="G22" i="754"/>
  <c r="G22" i="757"/>
  <c r="B30" i="757" s="1"/>
  <c r="G22" i="751"/>
  <c r="G22" i="752"/>
  <c r="G22" i="741"/>
  <c r="G22" i="742"/>
  <c r="G22" i="743"/>
  <c r="B30" i="743" s="1"/>
  <c r="I23" i="767"/>
  <c r="I23" i="766"/>
  <c r="I23" i="765"/>
  <c r="I23" i="763"/>
  <c r="I23" i="762"/>
  <c r="I23" i="761"/>
  <c r="I23" i="760"/>
  <c r="I23" i="759"/>
  <c r="I23" i="752"/>
  <c r="I23" i="756"/>
  <c r="I23" i="749"/>
  <c r="I23" i="753"/>
  <c r="I23" i="758"/>
  <c r="I23" i="750"/>
  <c r="I23" i="754"/>
  <c r="I23" i="747"/>
  <c r="I23" i="751"/>
  <c r="I23" i="744"/>
  <c r="I23" i="740"/>
  <c r="I23" i="739"/>
  <c r="I23" i="737"/>
  <c r="I23" i="748"/>
  <c r="I23" i="757"/>
  <c r="I23" i="741"/>
  <c r="I23" i="745"/>
  <c r="I23" i="746"/>
  <c r="I23" i="742"/>
  <c r="I23" i="755"/>
  <c r="I23" i="743"/>
  <c r="H22" i="766"/>
  <c r="H22" i="762"/>
  <c r="H22" i="749"/>
  <c r="B31" i="749" s="1"/>
  <c r="H22" i="753"/>
  <c r="H22" i="750"/>
  <c r="B31" i="750" s="1"/>
  <c r="H22" i="754"/>
  <c r="H22" i="741"/>
  <c r="H22" i="747"/>
  <c r="B31" i="747" s="1"/>
  <c r="H22" i="751"/>
  <c r="B36" i="720"/>
  <c r="B36" i="735"/>
  <c r="B37" i="734"/>
  <c r="H23" i="748"/>
  <c r="H23" i="752"/>
  <c r="H23" i="760"/>
  <c r="H23" i="767"/>
  <c r="H23" i="763"/>
  <c r="H23" i="756"/>
  <c r="H23" i="749"/>
  <c r="H23" i="759"/>
  <c r="H23" i="753"/>
  <c r="H23" i="766"/>
  <c r="H23" i="758"/>
  <c r="H23" i="750"/>
  <c r="H23" i="754"/>
  <c r="H23" i="761"/>
  <c r="H23" i="765"/>
  <c r="H23" i="762"/>
  <c r="H23" i="747"/>
  <c r="H23" i="744"/>
  <c r="H23" i="740"/>
  <c r="H23" i="739"/>
  <c r="H23" i="737"/>
  <c r="H23" i="743"/>
  <c r="H23" i="757"/>
  <c r="H23" i="741"/>
  <c r="H23" i="751"/>
  <c r="H23" i="745"/>
  <c r="H23" i="746"/>
  <c r="H23" i="742"/>
  <c r="H23" i="755"/>
  <c r="I22" i="767"/>
  <c r="I22" i="766"/>
  <c r="I22" i="762"/>
  <c r="I22" i="758"/>
  <c r="I22" i="750"/>
  <c r="B32" i="750" s="1"/>
  <c r="I22" i="747"/>
  <c r="B32" i="747" s="1"/>
  <c r="I22" i="751"/>
  <c r="I22" i="748"/>
  <c r="B32" i="748" s="1"/>
  <c r="I22" i="746"/>
  <c r="I22" i="741"/>
  <c r="B36" i="719"/>
  <c r="B34" i="722"/>
  <c r="B35" i="720"/>
  <c r="B37" i="720"/>
  <c r="B37" i="735"/>
  <c r="B37" i="751"/>
  <c r="B33" i="742"/>
  <c r="B33" i="760"/>
  <c r="C23" i="767"/>
  <c r="C23" i="766"/>
  <c r="C23" i="765"/>
  <c r="C23" i="763"/>
  <c r="C23" i="762"/>
  <c r="C23" i="761"/>
  <c r="C23" i="760"/>
  <c r="C23" i="747"/>
  <c r="C23" i="757"/>
  <c r="C23" i="751"/>
  <c r="C23" i="755"/>
  <c r="C23" i="748"/>
  <c r="C23" i="752"/>
  <c r="C23" i="759"/>
  <c r="C23" i="756"/>
  <c r="C23" i="749"/>
  <c r="C23" i="753"/>
  <c r="C23" i="758"/>
  <c r="C23" i="754"/>
  <c r="C23" i="743"/>
  <c r="C23" i="744"/>
  <c r="C23" i="740"/>
  <c r="C23" i="739"/>
  <c r="C23" i="737"/>
  <c r="C23" i="741"/>
  <c r="C23" i="745"/>
  <c r="C23" i="750"/>
  <c r="C23" i="746"/>
  <c r="C23" i="742"/>
  <c r="B35" i="722"/>
  <c r="B33" i="762"/>
  <c r="B33" i="745"/>
  <c r="D23" i="767"/>
  <c r="D23" i="766"/>
  <c r="D23" i="765"/>
  <c r="D23" i="763"/>
  <c r="D23" i="762"/>
  <c r="D23" i="761"/>
  <c r="D23" i="760"/>
  <c r="D23" i="759"/>
  <c r="D23" i="758"/>
  <c r="D23" i="757"/>
  <c r="D23" i="756"/>
  <c r="D23" i="747"/>
  <c r="D23" i="751"/>
  <c r="D23" i="755"/>
  <c r="D23" i="748"/>
  <c r="D23" i="752"/>
  <c r="D23" i="749"/>
  <c r="D23" i="753"/>
  <c r="D23" i="754"/>
  <c r="D23" i="743"/>
  <c r="D23" i="744"/>
  <c r="D23" i="740"/>
  <c r="D23" i="739"/>
  <c r="D23" i="737"/>
  <c r="D23" i="741"/>
  <c r="D23" i="750"/>
  <c r="D23" i="746"/>
  <c r="D23" i="742"/>
  <c r="D23" i="745"/>
  <c r="B34" i="741"/>
  <c r="B37" i="739"/>
  <c r="B33" i="746"/>
  <c r="E23" i="767"/>
  <c r="E23" i="766"/>
  <c r="E23" i="765"/>
  <c r="E23" i="763"/>
  <c r="E23" i="762"/>
  <c r="E23" i="761"/>
  <c r="E23" i="760"/>
  <c r="E23" i="759"/>
  <c r="E23" i="751"/>
  <c r="E23" i="757"/>
  <c r="E23" i="755"/>
  <c r="E23" i="748"/>
  <c r="E23" i="752"/>
  <c r="E23" i="756"/>
  <c r="E23" i="749"/>
  <c r="E23" i="753"/>
  <c r="E23" i="758"/>
  <c r="E23" i="750"/>
  <c r="E23" i="747"/>
  <c r="E23" i="754"/>
  <c r="E23" i="743"/>
  <c r="E23" i="744"/>
  <c r="E23" i="740"/>
  <c r="E23" i="739"/>
  <c r="E23" i="737"/>
  <c r="E23" i="741"/>
  <c r="E23" i="746"/>
  <c r="E23" i="745"/>
  <c r="E23" i="742"/>
  <c r="B34" i="762"/>
  <c r="B33" i="754"/>
  <c r="F23" i="767"/>
  <c r="F23" i="766"/>
  <c r="F23" i="765"/>
  <c r="F23" i="763"/>
  <c r="F23" i="762"/>
  <c r="F23" i="761"/>
  <c r="F23" i="760"/>
  <c r="F23" i="757"/>
  <c r="F23" i="755"/>
  <c r="F23" i="748"/>
  <c r="F23" i="752"/>
  <c r="F23" i="756"/>
  <c r="F23" i="749"/>
  <c r="F23" i="759"/>
  <c r="F23" i="753"/>
  <c r="F23" i="758"/>
  <c r="F23" i="750"/>
  <c r="F23" i="754"/>
  <c r="F23" i="746"/>
  <c r="F23" i="751"/>
  <c r="F23" i="743"/>
  <c r="F23" i="744"/>
  <c r="F23" i="740"/>
  <c r="F23" i="739"/>
  <c r="F23" i="737"/>
  <c r="F23" i="741"/>
  <c r="F23" i="745"/>
  <c r="F23" i="742"/>
  <c r="F23" i="747"/>
  <c r="B35" i="753"/>
  <c r="B33" i="761"/>
  <c r="G23" i="748"/>
  <c r="G23" i="752"/>
  <c r="G23" i="760"/>
  <c r="G23" i="767"/>
  <c r="G23" i="763"/>
  <c r="G23" i="756"/>
  <c r="G23" i="749"/>
  <c r="G23" i="759"/>
  <c r="G23" i="753"/>
  <c r="G23" i="766"/>
  <c r="G23" i="758"/>
  <c r="G23" i="750"/>
  <c r="G23" i="754"/>
  <c r="G23" i="746"/>
  <c r="G23" i="761"/>
  <c r="G23" i="757"/>
  <c r="G23" i="755"/>
  <c r="G23" i="765"/>
  <c r="G23" i="744"/>
  <c r="G23" i="740"/>
  <c r="G23" i="739"/>
  <c r="G23" i="737"/>
  <c r="G23" i="762"/>
  <c r="G23" i="741"/>
  <c r="G23" i="747"/>
  <c r="G23" i="751"/>
  <c r="G23" i="745"/>
  <c r="G23" i="742"/>
  <c r="G23" i="743"/>
  <c r="B36" i="758"/>
  <c r="B33" i="758"/>
  <c r="B36" i="742"/>
  <c r="B33" i="741"/>
  <c r="B33" i="753"/>
  <c r="B33" i="759"/>
  <c r="B33" i="763"/>
  <c r="B37" i="705"/>
  <c r="B34" i="707"/>
  <c r="B37" i="761"/>
  <c r="B33" i="764"/>
  <c r="B33" i="722"/>
  <c r="B35" i="741"/>
  <c r="B33" i="752"/>
  <c r="B33" i="765"/>
  <c r="C22" i="762"/>
  <c r="C22" i="761"/>
  <c r="C22" i="760"/>
  <c r="C22" i="759"/>
  <c r="C22" i="748"/>
  <c r="B26" i="748" s="1"/>
  <c r="C22" i="750"/>
  <c r="B26" i="750" s="1"/>
  <c r="C22" i="754"/>
  <c r="C22" i="743"/>
  <c r="B26" i="743" s="1"/>
  <c r="C22" i="741"/>
  <c r="C22" i="742"/>
  <c r="D22" i="767"/>
  <c r="D22" i="762"/>
  <c r="D22" i="761"/>
  <c r="D22" i="759"/>
  <c r="D22" i="754"/>
  <c r="D22" i="740"/>
  <c r="B27" i="740" s="1"/>
  <c r="D22" i="739"/>
  <c r="D22" i="757"/>
  <c r="B27" i="757" s="1"/>
  <c r="D22" i="751"/>
  <c r="B35" i="759"/>
  <c r="B33" i="739"/>
  <c r="B33" i="766"/>
  <c r="B33" i="767"/>
  <c r="I23" i="735"/>
  <c r="I23" i="734"/>
  <c r="I23" i="733"/>
  <c r="I23" i="732"/>
  <c r="I23" i="731"/>
  <c r="I23" i="730"/>
  <c r="I23" i="729"/>
  <c r="I23" i="728"/>
  <c r="I23" i="727"/>
  <c r="I23" i="726"/>
  <c r="I23" i="725"/>
  <c r="I23" i="724"/>
  <c r="I23" i="723"/>
  <c r="I23" i="722"/>
  <c r="I23" i="721"/>
  <c r="I23" i="720"/>
  <c r="B34" i="712"/>
  <c r="B33" i="720"/>
  <c r="B33" i="724"/>
  <c r="D22" i="734"/>
  <c r="D22" i="733"/>
  <c r="B27" i="733" s="1"/>
  <c r="D22" i="728"/>
  <c r="B27" i="728" s="1"/>
  <c r="D22" i="724"/>
  <c r="D22" i="721"/>
  <c r="B27" i="721" s="1"/>
  <c r="D22" i="720"/>
  <c r="E22" i="725"/>
  <c r="B28" i="725" s="1"/>
  <c r="E22" i="721"/>
  <c r="B28" i="721" s="1"/>
  <c r="E22" i="734"/>
  <c r="E22" i="726"/>
  <c r="B28" i="726" s="1"/>
  <c r="E22" i="724"/>
  <c r="E22" i="729"/>
  <c r="B28" i="729" s="1"/>
  <c r="E22" i="720"/>
  <c r="B36" i="706"/>
  <c r="C22" i="734"/>
  <c r="C22" i="733"/>
  <c r="B26" i="733" s="1"/>
  <c r="C22" i="724"/>
  <c r="C22" i="722"/>
  <c r="B36" i="707"/>
  <c r="B36" i="717"/>
  <c r="B37" i="707"/>
  <c r="B34" i="719"/>
  <c r="B36" i="718"/>
  <c r="F22" i="727"/>
  <c r="B29" i="727" s="1"/>
  <c r="F22" i="734"/>
  <c r="F22" i="726"/>
  <c r="B29" i="726" s="1"/>
  <c r="F22" i="724"/>
  <c r="G22" i="734"/>
  <c r="G22" i="731"/>
  <c r="B30" i="731" s="1"/>
  <c r="G22" i="730"/>
  <c r="B30" i="730" s="1"/>
  <c r="G22" i="729"/>
  <c r="B30" i="729" s="1"/>
  <c r="G22" i="728"/>
  <c r="B30" i="728" s="1"/>
  <c r="G22" i="726"/>
  <c r="B30" i="726" s="1"/>
  <c r="G22" i="725"/>
  <c r="B30" i="725" s="1"/>
  <c r="G22" i="723"/>
  <c r="G22" i="722"/>
  <c r="G22" i="721"/>
  <c r="B30" i="721" s="1"/>
  <c r="G22" i="720"/>
  <c r="H22" i="734"/>
  <c r="H22" i="729"/>
  <c r="B31" i="729" s="1"/>
  <c r="H22" i="727"/>
  <c r="B31" i="727" s="1"/>
  <c r="H22" i="724"/>
  <c r="H22" i="721"/>
  <c r="B31" i="721" s="1"/>
  <c r="H22" i="720"/>
  <c r="I22" i="732"/>
  <c r="B32" i="732" s="1"/>
  <c r="I22" i="731"/>
  <c r="B32" i="731" s="1"/>
  <c r="I22" i="728"/>
  <c r="B32" i="728" s="1"/>
  <c r="I22" i="726"/>
  <c r="B32" i="726" s="1"/>
  <c r="I22" i="725"/>
  <c r="B32" i="725" s="1"/>
  <c r="I22" i="721"/>
  <c r="B32" i="721" s="1"/>
  <c r="C23" i="735"/>
  <c r="C23" i="734"/>
  <c r="C23" i="733"/>
  <c r="C23" i="732"/>
  <c r="C23" i="731"/>
  <c r="C23" i="730"/>
  <c r="C23" i="729"/>
  <c r="C23" i="728"/>
  <c r="C23" i="727"/>
  <c r="C23" i="726"/>
  <c r="C23" i="725"/>
  <c r="C23" i="724"/>
  <c r="C23" i="723"/>
  <c r="C23" i="722"/>
  <c r="C23" i="721"/>
  <c r="C23" i="720"/>
  <c r="D23" i="735"/>
  <c r="D23" i="734"/>
  <c r="D23" i="733"/>
  <c r="D23" i="732"/>
  <c r="D23" i="731"/>
  <c r="D23" i="730"/>
  <c r="D23" i="729"/>
  <c r="D23" i="728"/>
  <c r="D23" i="727"/>
  <c r="D23" i="726"/>
  <c r="D23" i="725"/>
  <c r="D23" i="724"/>
  <c r="D23" i="723"/>
  <c r="D23" i="722"/>
  <c r="D23" i="721"/>
  <c r="D23" i="720"/>
  <c r="E23" i="735"/>
  <c r="E23" i="734"/>
  <c r="E23" i="733"/>
  <c r="E23" i="732"/>
  <c r="E23" i="731"/>
  <c r="E23" i="730"/>
  <c r="E23" i="729"/>
  <c r="E23" i="728"/>
  <c r="E23" i="727"/>
  <c r="E23" i="726"/>
  <c r="E23" i="725"/>
  <c r="E23" i="724"/>
  <c r="E23" i="723"/>
  <c r="E23" i="721"/>
  <c r="E23" i="720"/>
  <c r="B36" i="724"/>
  <c r="B37" i="723"/>
  <c r="F23" i="735"/>
  <c r="F23" i="734"/>
  <c r="F23" i="733"/>
  <c r="F23" i="732"/>
  <c r="F23" i="731"/>
  <c r="F23" i="730"/>
  <c r="F23" i="729"/>
  <c r="F23" i="728"/>
  <c r="F23" i="727"/>
  <c r="F23" i="726"/>
  <c r="F23" i="725"/>
  <c r="F23" i="724"/>
  <c r="F23" i="723"/>
  <c r="F23" i="722"/>
  <c r="F23" i="721"/>
  <c r="F23" i="720"/>
  <c r="B37" i="724"/>
  <c r="G23" i="735"/>
  <c r="G23" i="731"/>
  <c r="G23" i="727"/>
  <c r="G23" i="722"/>
  <c r="G23" i="720"/>
  <c r="G23" i="734"/>
  <c r="G23" i="730"/>
  <c r="G23" i="726"/>
  <c r="G23" i="724"/>
  <c r="G23" i="733"/>
  <c r="G23" i="723"/>
  <c r="G23" i="729"/>
  <c r="G23" i="721"/>
  <c r="G23" i="732"/>
  <c r="G23" i="728"/>
  <c r="G23" i="725"/>
  <c r="B33" i="734"/>
  <c r="H23" i="735"/>
  <c r="H23" i="727"/>
  <c r="H23" i="720"/>
  <c r="H23" i="734"/>
  <c r="H23" i="730"/>
  <c r="H23" i="726"/>
  <c r="H23" i="724"/>
  <c r="H23" i="733"/>
  <c r="H23" i="723"/>
  <c r="H23" i="729"/>
  <c r="H23" i="721"/>
  <c r="H23" i="732"/>
  <c r="H23" i="731"/>
  <c r="H23" i="728"/>
  <c r="H23" i="725"/>
  <c r="B33" i="723"/>
  <c r="B33" i="735"/>
  <c r="G23" i="719"/>
  <c r="G23" i="713"/>
  <c r="G23" i="716"/>
  <c r="G23" i="714"/>
  <c r="G23" i="717"/>
  <c r="G23" i="715"/>
  <c r="G23" i="712"/>
  <c r="F22" i="713"/>
  <c r="B29" i="713" s="1"/>
  <c r="F22" i="714"/>
  <c r="B29" i="714" s="1"/>
  <c r="F22" i="717"/>
  <c r="H22" i="715"/>
  <c r="H22" i="713"/>
  <c r="B31" i="713" s="1"/>
  <c r="H22" i="712"/>
  <c r="G22" i="717"/>
  <c r="G22" i="715"/>
  <c r="G22" i="714"/>
  <c r="B30" i="714" s="1"/>
  <c r="G22" i="713"/>
  <c r="B30" i="713" s="1"/>
  <c r="B34" i="711"/>
  <c r="C23" i="719"/>
  <c r="C23" i="718"/>
  <c r="C23" i="717"/>
  <c r="C23" i="716"/>
  <c r="C23" i="715"/>
  <c r="C23" i="714"/>
  <c r="C23" i="713"/>
  <c r="C23" i="712"/>
  <c r="D23" i="719"/>
  <c r="D23" i="718"/>
  <c r="D23" i="717"/>
  <c r="D23" i="716"/>
  <c r="D23" i="715"/>
  <c r="D23" i="714"/>
  <c r="D23" i="713"/>
  <c r="D23" i="712"/>
  <c r="B35" i="715"/>
  <c r="I22" i="719"/>
  <c r="I22" i="717"/>
  <c r="I22" i="716"/>
  <c r="B32" i="716" s="1"/>
  <c r="I22" i="715"/>
  <c r="I22" i="714"/>
  <c r="B32" i="714" s="1"/>
  <c r="I22" i="713"/>
  <c r="B32" i="713" s="1"/>
  <c r="E23" i="719"/>
  <c r="E23" i="718"/>
  <c r="E23" i="717"/>
  <c r="E23" i="716"/>
  <c r="E23" i="715"/>
  <c r="E23" i="714"/>
  <c r="E23" i="713"/>
  <c r="E23" i="712"/>
  <c r="F23" i="719"/>
  <c r="F23" i="718"/>
  <c r="F23" i="717"/>
  <c r="F23" i="716"/>
  <c r="F23" i="715"/>
  <c r="F23" i="714"/>
  <c r="F23" i="713"/>
  <c r="F23" i="712"/>
  <c r="B33" i="712"/>
  <c r="B34" i="706"/>
  <c r="B33" i="715"/>
  <c r="B36" i="711"/>
  <c r="H23" i="715"/>
  <c r="H23" i="719"/>
  <c r="H23" i="716"/>
  <c r="H23" i="714"/>
  <c r="H23" i="712"/>
  <c r="H23" i="717"/>
  <c r="H23" i="713"/>
  <c r="B35" i="706"/>
  <c r="B33" i="717"/>
  <c r="I23" i="719"/>
  <c r="I23" i="718"/>
  <c r="I23" i="717"/>
  <c r="I23" i="716"/>
  <c r="I23" i="715"/>
  <c r="I23" i="714"/>
  <c r="I23" i="713"/>
  <c r="I23" i="712"/>
  <c r="C22" i="719"/>
  <c r="C22" i="718"/>
  <c r="C22" i="717"/>
  <c r="C22" i="715"/>
  <c r="C22" i="714"/>
  <c r="B26" i="714" s="1"/>
  <c r="C22" i="713"/>
  <c r="B26" i="713" s="1"/>
  <c r="D22" i="719"/>
  <c r="D22" i="717"/>
  <c r="D22" i="713"/>
  <c r="B27" i="713" s="1"/>
  <c r="B34" i="715"/>
  <c r="B33" i="718"/>
  <c r="E22" i="712"/>
  <c r="E22" i="717"/>
  <c r="B33" i="719"/>
  <c r="B35" i="707"/>
  <c r="B36" i="705"/>
  <c r="H23" i="709"/>
  <c r="H23" i="710"/>
  <c r="H23" i="711"/>
  <c r="I23" i="711"/>
  <c r="I23" i="710"/>
  <c r="I23" i="709"/>
  <c r="C22" i="710"/>
  <c r="B26" i="710" s="1"/>
  <c r="B37" i="706"/>
  <c r="H22" i="711"/>
  <c r="D23" i="711"/>
  <c r="D23" i="710"/>
  <c r="D23" i="709"/>
  <c r="E23" i="711"/>
  <c r="E23" i="710"/>
  <c r="E23" i="709"/>
  <c r="F22" i="711"/>
  <c r="G22" i="710"/>
  <c r="B30" i="710" s="1"/>
  <c r="I22" i="711"/>
  <c r="I22" i="710"/>
  <c r="B32" i="710" s="1"/>
  <c r="I22" i="709"/>
  <c r="B32" i="709" s="1"/>
  <c r="C23" i="711"/>
  <c r="C23" i="710"/>
  <c r="C23" i="709"/>
  <c r="F23" i="711"/>
  <c r="F23" i="710"/>
  <c r="F23" i="709"/>
  <c r="B35" i="711"/>
  <c r="G23" i="710"/>
  <c r="G23" i="709"/>
  <c r="G23" i="711"/>
  <c r="B33" i="711"/>
  <c r="C23" i="705"/>
  <c r="C23" i="707"/>
  <c r="C23" i="706"/>
  <c r="B34" i="705"/>
  <c r="B33" i="706"/>
  <c r="B33" i="707"/>
  <c r="D23" i="707"/>
  <c r="D23" i="706"/>
  <c r="E23" i="707"/>
  <c r="E23" i="706"/>
  <c r="F23" i="707"/>
  <c r="F23" i="706"/>
  <c r="G23" i="706"/>
  <c r="G23" i="707"/>
  <c r="H23" i="707"/>
  <c r="H23" i="706"/>
  <c r="I23" i="707"/>
  <c r="I23" i="706"/>
  <c r="C22" i="707"/>
  <c r="C22" i="706"/>
  <c r="O22" i="706" s="1"/>
  <c r="E22" i="707"/>
  <c r="D22" i="705"/>
  <c r="G22" i="665"/>
  <c r="G22" i="705"/>
  <c r="I22" i="705"/>
  <c r="I23" i="665"/>
  <c r="I23" i="705"/>
  <c r="H22" i="665"/>
  <c r="D23" i="665"/>
  <c r="D23" i="705"/>
  <c r="E23" i="665"/>
  <c r="E23" i="705"/>
  <c r="F23" i="665"/>
  <c r="F23" i="705"/>
  <c r="B35" i="705"/>
  <c r="G23" i="665"/>
  <c r="G23" i="705"/>
  <c r="B33" i="705"/>
  <c r="H23" i="665"/>
  <c r="H23" i="705"/>
  <c r="C28" i="665"/>
  <c r="C23" i="665"/>
  <c r="B37" i="665"/>
  <c r="B36" i="665"/>
  <c r="B34" i="665"/>
  <c r="D23" i="738"/>
  <c r="C23" i="764"/>
  <c r="C22" i="806"/>
  <c r="G22" i="797"/>
  <c r="D23" i="764"/>
  <c r="H22" i="797"/>
  <c r="F23" i="764"/>
  <c r="E23" i="738"/>
  <c r="D22" i="806"/>
  <c r="F23" i="738"/>
  <c r="E23" i="764"/>
  <c r="E22" i="806"/>
  <c r="I22" i="797"/>
  <c r="H23" i="738"/>
  <c r="G23" i="764"/>
  <c r="G22" i="806"/>
  <c r="D23" i="797"/>
  <c r="I23" i="738"/>
  <c r="H23" i="764"/>
  <c r="H22" i="806"/>
  <c r="E23" i="797"/>
  <c r="C23" i="797"/>
  <c r="I23" i="764"/>
  <c r="I22" i="806"/>
  <c r="F23" i="797"/>
  <c r="C22" i="738"/>
  <c r="B26" i="738" s="1"/>
  <c r="C23" i="806"/>
  <c r="G23" i="797"/>
  <c r="G23" i="738"/>
  <c r="C22" i="764"/>
  <c r="D23" i="806"/>
  <c r="H23" i="797"/>
  <c r="F22" i="806"/>
  <c r="D22" i="738"/>
  <c r="B27" i="738" s="1"/>
  <c r="E22" i="738"/>
  <c r="B28" i="738" s="1"/>
  <c r="D22" i="764"/>
  <c r="E23" i="806"/>
  <c r="I23" i="797"/>
  <c r="F22" i="738"/>
  <c r="B29" i="738" s="1"/>
  <c r="E22" i="764"/>
  <c r="F23" i="806"/>
  <c r="G22" i="738"/>
  <c r="B30" i="738" s="1"/>
  <c r="F22" i="764"/>
  <c r="G23" i="806"/>
  <c r="C22" i="797"/>
  <c r="G22" i="764"/>
  <c r="H23" i="806"/>
  <c r="D22" i="797"/>
  <c r="I22" i="738"/>
  <c r="B32" i="738" s="1"/>
  <c r="H22" i="764"/>
  <c r="I23" i="806"/>
  <c r="E22" i="797"/>
  <c r="H22" i="738"/>
  <c r="B31" i="738" s="1"/>
  <c r="C23" i="738"/>
  <c r="I22" i="764"/>
  <c r="F22" i="797"/>
  <c r="O22" i="766" l="1"/>
  <c r="O23" i="765"/>
  <c r="O22" i="765"/>
  <c r="O22" i="769"/>
  <c r="B31" i="718"/>
  <c r="O22" i="718"/>
  <c r="B26" i="770"/>
  <c r="O22" i="770"/>
  <c r="O23" i="665"/>
  <c r="O23" i="774"/>
  <c r="O22" i="793"/>
  <c r="O23" i="793"/>
  <c r="O23" i="769"/>
  <c r="O23" i="770"/>
  <c r="O22" i="774"/>
  <c r="O22" i="791"/>
  <c r="O23" i="791"/>
  <c r="O23" i="764"/>
  <c r="O22" i="764"/>
  <c r="O23" i="771"/>
  <c r="O23" i="773"/>
  <c r="O23" i="766"/>
  <c r="O22" i="773"/>
  <c r="O23" i="718"/>
  <c r="B26" i="718"/>
  <c r="O22" i="665"/>
  <c r="H22" i="722"/>
  <c r="O22" i="722" s="1"/>
  <c r="O23" i="722"/>
  <c r="O22" i="808"/>
  <c r="O23" i="808"/>
  <c r="O22" i="855"/>
  <c r="B38" i="855" s="1"/>
  <c r="B31" i="773"/>
  <c r="O23" i="767"/>
  <c r="O22" i="767"/>
  <c r="O22" i="858"/>
  <c r="B38" i="858" s="1"/>
  <c r="O22" i="853"/>
  <c r="B38" i="853" s="1"/>
  <c r="O22" i="857"/>
  <c r="B38" i="857" s="1"/>
  <c r="B28" i="855"/>
  <c r="B28" i="857"/>
  <c r="O22" i="856"/>
  <c r="B38" i="856" s="1"/>
  <c r="B32" i="825"/>
  <c r="B32" i="798"/>
  <c r="O22" i="790"/>
  <c r="O23" i="790"/>
  <c r="O23" i="768"/>
  <c r="B26" i="768"/>
  <c r="O22" i="768"/>
  <c r="B38" i="768" s="1"/>
  <c r="O23" i="705"/>
  <c r="O22" i="709"/>
  <c r="B38" i="709" s="1"/>
  <c r="B26" i="709"/>
  <c r="B32" i="854"/>
  <c r="O22" i="854"/>
  <c r="B29" i="825"/>
  <c r="B28" i="825"/>
  <c r="B26" i="825"/>
  <c r="B27" i="825"/>
  <c r="B31" i="825"/>
  <c r="B30" i="825"/>
  <c r="B28" i="854"/>
  <c r="B26" i="854"/>
  <c r="B30" i="854"/>
  <c r="B29" i="854"/>
  <c r="B31" i="854"/>
  <c r="B27" i="854"/>
  <c r="O23" i="854"/>
  <c r="B27" i="753"/>
  <c r="B32" i="808"/>
  <c r="B27" i="741"/>
  <c r="B32" i="812"/>
  <c r="B27" i="764"/>
  <c r="B32" i="809"/>
  <c r="B32" i="782"/>
  <c r="B32" i="769"/>
  <c r="B28" i="718"/>
  <c r="B32" i="783"/>
  <c r="B27" i="752"/>
  <c r="B32" i="760"/>
  <c r="B32" i="780"/>
  <c r="B32" i="806"/>
  <c r="B32" i="773"/>
  <c r="B32" i="722"/>
  <c r="B32" i="762"/>
  <c r="B32" i="746"/>
  <c r="B32" i="793"/>
  <c r="B32" i="794"/>
  <c r="B32" i="805"/>
  <c r="B32" i="816"/>
  <c r="B32" i="800"/>
  <c r="B32" i="776"/>
  <c r="B32" i="821"/>
  <c r="B27" i="751"/>
  <c r="B32" i="758"/>
  <c r="B32" i="764"/>
  <c r="B32" i="742"/>
  <c r="B32" i="822"/>
  <c r="B27" i="758"/>
  <c r="B27" i="706"/>
  <c r="B28" i="717"/>
  <c r="B27" i="765"/>
  <c r="B27" i="754"/>
  <c r="B32" i="720"/>
  <c r="B27" i="745"/>
  <c r="B32" i="819"/>
  <c r="B32" i="765"/>
  <c r="B32" i="804"/>
  <c r="B32" i="751"/>
  <c r="B31" i="792"/>
  <c r="B27" i="766"/>
  <c r="B32" i="754"/>
  <c r="B27" i="742"/>
  <c r="B27" i="767"/>
  <c r="B30" i="759"/>
  <c r="B32" i="779"/>
  <c r="B32" i="801"/>
  <c r="B32" i="766"/>
  <c r="B32" i="778"/>
  <c r="B32" i="803"/>
  <c r="B32" i="802"/>
  <c r="B32" i="814"/>
  <c r="B30" i="816"/>
  <c r="B32" i="790"/>
  <c r="O23" i="772"/>
  <c r="O23" i="798"/>
  <c r="B30" i="774"/>
  <c r="B30" i="797"/>
  <c r="B30" i="822"/>
  <c r="B30" i="821"/>
  <c r="B31" i="801"/>
  <c r="B31" i="822"/>
  <c r="B27" i="780"/>
  <c r="B27" i="794"/>
  <c r="B27" i="813"/>
  <c r="B29" i="780"/>
  <c r="B29" i="799"/>
  <c r="B28" i="791"/>
  <c r="O23" i="776"/>
  <c r="O23" i="816"/>
  <c r="B30" i="791"/>
  <c r="B30" i="784"/>
  <c r="B30" i="800"/>
  <c r="B31" i="779"/>
  <c r="B31" i="802"/>
  <c r="B27" i="778"/>
  <c r="B27" i="782"/>
  <c r="B29" i="777"/>
  <c r="B29" i="810"/>
  <c r="B28" i="790"/>
  <c r="B28" i="792"/>
  <c r="B28" i="814"/>
  <c r="B27" i="718"/>
  <c r="B32" i="734"/>
  <c r="B30" i="793"/>
  <c r="B30" i="792"/>
  <c r="B30" i="810"/>
  <c r="B31" i="782"/>
  <c r="B31" i="803"/>
  <c r="B27" i="783"/>
  <c r="B27" i="820"/>
  <c r="B32" i="792"/>
  <c r="B32" i="820"/>
  <c r="B29" i="802"/>
  <c r="B29" i="813"/>
  <c r="B28" i="778"/>
  <c r="B28" i="803"/>
  <c r="B28" i="793"/>
  <c r="B28" i="816"/>
  <c r="B30" i="712"/>
  <c r="B32" i="723"/>
  <c r="B32" i="771"/>
  <c r="B32" i="745"/>
  <c r="B32" i="753"/>
  <c r="B31" i="742"/>
  <c r="B31" i="765"/>
  <c r="B30" i="773"/>
  <c r="B32" i="724"/>
  <c r="B32" i="741"/>
  <c r="O22" i="796"/>
  <c r="B38" i="796" s="1"/>
  <c r="B32" i="735"/>
  <c r="O23" i="741"/>
  <c r="O23" i="748"/>
  <c r="B32" i="752"/>
  <c r="B31" i="760"/>
  <c r="B31" i="763"/>
  <c r="B29" i="765"/>
  <c r="O23" i="794"/>
  <c r="O23" i="796"/>
  <c r="O23" i="811"/>
  <c r="O23" i="817"/>
  <c r="B30" i="779"/>
  <c r="B30" i="799"/>
  <c r="B30" i="813"/>
  <c r="B31" i="783"/>
  <c r="B31" i="804"/>
  <c r="B31" i="820"/>
  <c r="B27" i="777"/>
  <c r="B27" i="797"/>
  <c r="B27" i="816"/>
  <c r="B32" i="810"/>
  <c r="B29" i="773"/>
  <c r="B29" i="803"/>
  <c r="B29" i="822"/>
  <c r="O22" i="785"/>
  <c r="B38" i="785" s="1"/>
  <c r="O22" i="781"/>
  <c r="B38" i="781" s="1"/>
  <c r="O22" i="799"/>
  <c r="B26" i="799"/>
  <c r="B26" i="814"/>
  <c r="O22" i="814"/>
  <c r="B28" i="774"/>
  <c r="B28" i="806"/>
  <c r="B28" i="794"/>
  <c r="O22" i="826"/>
  <c r="B38" i="826" s="1"/>
  <c r="B31" i="777"/>
  <c r="B31" i="764"/>
  <c r="O23" i="775"/>
  <c r="O23" i="786"/>
  <c r="O23" i="814"/>
  <c r="B30" i="777"/>
  <c r="B30" i="780"/>
  <c r="B30" i="803"/>
  <c r="B31" i="805"/>
  <c r="B27" i="773"/>
  <c r="B27" i="802"/>
  <c r="B27" i="819"/>
  <c r="B29" i="798"/>
  <c r="B29" i="804"/>
  <c r="B26" i="777"/>
  <c r="O22" i="777"/>
  <c r="B26" i="782"/>
  <c r="O22" i="782"/>
  <c r="O22" i="800"/>
  <c r="B26" i="800"/>
  <c r="O22" i="815"/>
  <c r="B38" i="815" s="1"/>
  <c r="B28" i="780"/>
  <c r="B28" i="810"/>
  <c r="O23" i="818"/>
  <c r="O23" i="779"/>
  <c r="O23" i="781"/>
  <c r="O23" i="807"/>
  <c r="O23" i="824"/>
  <c r="B30" i="804"/>
  <c r="B31" i="769"/>
  <c r="B31" i="806"/>
  <c r="B31" i="816"/>
  <c r="B27" i="798"/>
  <c r="B27" i="814"/>
  <c r="B27" i="821"/>
  <c r="B29" i="769"/>
  <c r="B29" i="805"/>
  <c r="B26" i="773"/>
  <c r="O22" i="783"/>
  <c r="B26" i="783"/>
  <c r="O22" i="801"/>
  <c r="B26" i="801"/>
  <c r="B26" i="816"/>
  <c r="O22" i="816"/>
  <c r="B28" i="777"/>
  <c r="B28" i="784"/>
  <c r="B28" i="813"/>
  <c r="B29" i="782"/>
  <c r="O23" i="784"/>
  <c r="O23" i="797"/>
  <c r="O23" i="810"/>
  <c r="O23" i="825"/>
  <c r="B30" i="782"/>
  <c r="B30" i="805"/>
  <c r="B31" i="794"/>
  <c r="B31" i="809"/>
  <c r="B31" i="819"/>
  <c r="B27" i="769"/>
  <c r="B27" i="805"/>
  <c r="B32" i="799"/>
  <c r="B29" i="790"/>
  <c r="B29" i="806"/>
  <c r="O22" i="787"/>
  <c r="B38" i="787" s="1"/>
  <c r="O22" i="802"/>
  <c r="B26" i="802"/>
  <c r="O22" i="817"/>
  <c r="B38" i="817" s="1"/>
  <c r="B28" i="773"/>
  <c r="B28" i="797"/>
  <c r="B27" i="665"/>
  <c r="B27" i="707"/>
  <c r="B30" i="715"/>
  <c r="B32" i="759"/>
  <c r="O23" i="778"/>
  <c r="O23" i="785"/>
  <c r="O23" i="813"/>
  <c r="O23" i="826"/>
  <c r="B30" i="769"/>
  <c r="B30" i="783"/>
  <c r="B30" i="806"/>
  <c r="B31" i="771"/>
  <c r="B31" i="812"/>
  <c r="B31" i="821"/>
  <c r="B27" i="803"/>
  <c r="B27" i="804"/>
  <c r="B32" i="813"/>
  <c r="B29" i="771"/>
  <c r="B29" i="791"/>
  <c r="B29" i="809"/>
  <c r="B29" i="820"/>
  <c r="B26" i="769"/>
  <c r="O22" i="786"/>
  <c r="B38" i="786" s="1"/>
  <c r="O22" i="803"/>
  <c r="B26" i="803"/>
  <c r="O22" i="818"/>
  <c r="B38" i="818" s="1"/>
  <c r="B28" i="782"/>
  <c r="B28" i="802"/>
  <c r="B28" i="820"/>
  <c r="B32" i="763"/>
  <c r="O23" i="780"/>
  <c r="O23" i="788"/>
  <c r="O23" i="815"/>
  <c r="B30" i="809"/>
  <c r="B30" i="820"/>
  <c r="B31" i="808"/>
  <c r="B27" i="771"/>
  <c r="B27" i="806"/>
  <c r="B27" i="800"/>
  <c r="B27" i="822"/>
  <c r="B29" i="792"/>
  <c r="B29" i="812"/>
  <c r="B38" i="770"/>
  <c r="O22" i="798"/>
  <c r="B26" i="798"/>
  <c r="O22" i="804"/>
  <c r="B26" i="804"/>
  <c r="B26" i="819"/>
  <c r="B28" i="769"/>
  <c r="B28" i="783"/>
  <c r="B28" i="805"/>
  <c r="O23" i="783"/>
  <c r="O23" i="820"/>
  <c r="O22" i="813"/>
  <c r="B26" i="813"/>
  <c r="O23" i="805"/>
  <c r="B30" i="771"/>
  <c r="B30" i="812"/>
  <c r="B31" i="776"/>
  <c r="B31" i="797"/>
  <c r="B27" i="809"/>
  <c r="B27" i="812"/>
  <c r="B32" i="791"/>
  <c r="B29" i="776"/>
  <c r="B29" i="793"/>
  <c r="O22" i="771"/>
  <c r="B26" i="771"/>
  <c r="O22" i="789"/>
  <c r="B38" i="789" s="1"/>
  <c r="O22" i="805"/>
  <c r="B26" i="805"/>
  <c r="O22" i="820"/>
  <c r="B26" i="820"/>
  <c r="B28" i="804"/>
  <c r="B28" i="819"/>
  <c r="O23" i="822"/>
  <c r="B26" i="774"/>
  <c r="O23" i="777"/>
  <c r="O23" i="800"/>
  <c r="O23" i="799"/>
  <c r="O23" i="806"/>
  <c r="B30" i="798"/>
  <c r="B30" i="808"/>
  <c r="B31" i="791"/>
  <c r="B31" i="814"/>
  <c r="B27" i="776"/>
  <c r="B27" i="799"/>
  <c r="B29" i="779"/>
  <c r="B29" i="794"/>
  <c r="B29" i="808"/>
  <c r="O22" i="772"/>
  <c r="B38" i="772" s="1"/>
  <c r="B26" i="790"/>
  <c r="O22" i="806"/>
  <c r="B26" i="806"/>
  <c r="O22" i="821"/>
  <c r="B26" i="821"/>
  <c r="B28" i="771"/>
  <c r="B28" i="800"/>
  <c r="B28" i="821"/>
  <c r="O22" i="795"/>
  <c r="B38" i="795" s="1"/>
  <c r="B26" i="784"/>
  <c r="O22" i="784"/>
  <c r="B26" i="797"/>
  <c r="O22" i="797"/>
  <c r="B30" i="719"/>
  <c r="B27" i="739"/>
  <c r="O23" i="789"/>
  <c r="O23" i="803"/>
  <c r="O23" i="809"/>
  <c r="B30" i="776"/>
  <c r="B30" i="802"/>
  <c r="B31" i="778"/>
  <c r="B31" i="790"/>
  <c r="B27" i="779"/>
  <c r="B27" i="790"/>
  <c r="B27" i="808"/>
  <c r="B26" i="776"/>
  <c r="O22" i="776"/>
  <c r="B26" i="791"/>
  <c r="O22" i="807"/>
  <c r="B38" i="807" s="1"/>
  <c r="O22" i="822"/>
  <c r="B26" i="822"/>
  <c r="B28" i="812"/>
  <c r="O23" i="782"/>
  <c r="O22" i="788"/>
  <c r="B38" i="788" s="1"/>
  <c r="B32" i="784"/>
  <c r="B29" i="783"/>
  <c r="O22" i="812"/>
  <c r="B26" i="812"/>
  <c r="B32" i="797"/>
  <c r="B26" i="780"/>
  <c r="O22" i="780"/>
  <c r="B27" i="759"/>
  <c r="B27" i="712"/>
  <c r="B27" i="760"/>
  <c r="B27" i="761"/>
  <c r="B32" i="767"/>
  <c r="O23" i="801"/>
  <c r="O23" i="812"/>
  <c r="B30" i="801"/>
  <c r="B30" i="794"/>
  <c r="B30" i="814"/>
  <c r="B31" i="780"/>
  <c r="B31" i="798"/>
  <c r="B27" i="791"/>
  <c r="B27" i="801"/>
  <c r="B29" i="814"/>
  <c r="B29" i="819"/>
  <c r="B26" i="779"/>
  <c r="O22" i="779"/>
  <c r="B26" i="792"/>
  <c r="B26" i="808"/>
  <c r="B28" i="776"/>
  <c r="B28" i="798"/>
  <c r="B28" i="799"/>
  <c r="B28" i="822"/>
  <c r="B27" i="746"/>
  <c r="O23" i="787"/>
  <c r="O23" i="802"/>
  <c r="B30" i="790"/>
  <c r="B31" i="774"/>
  <c r="B31" i="799"/>
  <c r="B31" i="810"/>
  <c r="B27" i="792"/>
  <c r="B32" i="774"/>
  <c r="B29" i="778"/>
  <c r="B29" i="784"/>
  <c r="B29" i="797"/>
  <c r="B29" i="821"/>
  <c r="O22" i="775"/>
  <c r="B38" i="775" s="1"/>
  <c r="B26" i="793"/>
  <c r="O22" i="809"/>
  <c r="B26" i="809"/>
  <c r="O22" i="824"/>
  <c r="B38" i="824" s="1"/>
  <c r="B28" i="779"/>
  <c r="B28" i="801"/>
  <c r="O22" i="811"/>
  <c r="B38" i="811" s="1"/>
  <c r="B29" i="801"/>
  <c r="O23" i="795"/>
  <c r="O23" i="804"/>
  <c r="O23" i="821"/>
  <c r="B30" i="778"/>
  <c r="B30" i="819"/>
  <c r="B31" i="793"/>
  <c r="B31" i="784"/>
  <c r="B31" i="800"/>
  <c r="B31" i="813"/>
  <c r="B27" i="774"/>
  <c r="B27" i="784"/>
  <c r="B27" i="793"/>
  <c r="B27" i="810"/>
  <c r="B32" i="777"/>
  <c r="B29" i="774"/>
  <c r="B29" i="800"/>
  <c r="B29" i="816"/>
  <c r="B26" i="778"/>
  <c r="O22" i="778"/>
  <c r="B26" i="794"/>
  <c r="O22" i="794"/>
  <c r="O22" i="810"/>
  <c r="B26" i="810"/>
  <c r="O22" i="825"/>
  <c r="B28" i="809"/>
  <c r="B28" i="808"/>
  <c r="B28" i="715"/>
  <c r="O22" i="757"/>
  <c r="B38" i="757" s="1"/>
  <c r="B26" i="764"/>
  <c r="O23" i="745"/>
  <c r="O23" i="752"/>
  <c r="B31" i="762"/>
  <c r="B29" i="741"/>
  <c r="B29" i="754"/>
  <c r="B28" i="745"/>
  <c r="B28" i="754"/>
  <c r="B31" i="711"/>
  <c r="O22" i="742"/>
  <c r="B26" i="742"/>
  <c r="O22" i="750"/>
  <c r="B38" i="750" s="1"/>
  <c r="B26" i="766"/>
  <c r="O23" i="755"/>
  <c r="B31" i="741"/>
  <c r="B30" i="739"/>
  <c r="B30" i="760"/>
  <c r="B29" i="763"/>
  <c r="B28" i="741"/>
  <c r="B28" i="763"/>
  <c r="B26" i="745"/>
  <c r="O22" i="745"/>
  <c r="O22" i="758"/>
  <c r="B26" i="758"/>
  <c r="B26" i="767"/>
  <c r="O23" i="737"/>
  <c r="O23" i="751"/>
  <c r="B30" i="761"/>
  <c r="B29" i="758"/>
  <c r="B28" i="758"/>
  <c r="B26" i="741"/>
  <c r="O22" i="741"/>
  <c r="O22" i="753"/>
  <c r="B26" i="753"/>
  <c r="O23" i="738"/>
  <c r="O23" i="757"/>
  <c r="B31" i="752"/>
  <c r="B31" i="766"/>
  <c r="B30" i="746"/>
  <c r="B30" i="762"/>
  <c r="B29" i="767"/>
  <c r="B28" i="767"/>
  <c r="O22" i="749"/>
  <c r="B38" i="749" s="1"/>
  <c r="O23" i="739"/>
  <c r="O23" i="747"/>
  <c r="B31" i="767"/>
  <c r="B30" i="763"/>
  <c r="B29" i="739"/>
  <c r="B29" i="753"/>
  <c r="B28" i="753"/>
  <c r="O22" i="737"/>
  <c r="B38" i="737" s="1"/>
  <c r="O22" i="756"/>
  <c r="B38" i="756" s="1"/>
  <c r="O23" i="740"/>
  <c r="O23" i="760"/>
  <c r="B31" i="745"/>
  <c r="B30" i="752"/>
  <c r="B30" i="764"/>
  <c r="O22" i="754"/>
  <c r="B26" i="754"/>
  <c r="B32" i="711"/>
  <c r="O22" i="738"/>
  <c r="B38" i="738" s="1"/>
  <c r="O22" i="752"/>
  <c r="B26" i="752"/>
  <c r="O23" i="744"/>
  <c r="O23" i="761"/>
  <c r="B31" i="746"/>
  <c r="B30" i="765"/>
  <c r="B29" i="746"/>
  <c r="B28" i="739"/>
  <c r="B30" i="718"/>
  <c r="O23" i="728"/>
  <c r="O22" i="739"/>
  <c r="B26" i="739"/>
  <c r="O22" i="748"/>
  <c r="B38" i="748" s="1"/>
  <c r="O23" i="743"/>
  <c r="O23" i="762"/>
  <c r="B32" i="761"/>
  <c r="B31" i="754"/>
  <c r="B30" i="751"/>
  <c r="B30" i="766"/>
  <c r="B29" i="764"/>
  <c r="B28" i="764"/>
  <c r="O22" i="740"/>
  <c r="B38" i="740" s="1"/>
  <c r="O22" i="755"/>
  <c r="B38" i="755" s="1"/>
  <c r="O23" i="754"/>
  <c r="O23" i="763"/>
  <c r="B31" i="739"/>
  <c r="B30" i="742"/>
  <c r="B30" i="767"/>
  <c r="B29" i="762"/>
  <c r="B29" i="752"/>
  <c r="B28" i="746"/>
  <c r="B28" i="752"/>
  <c r="B26" i="746"/>
  <c r="O22" i="746"/>
  <c r="O22" i="759"/>
  <c r="B26" i="759"/>
  <c r="O23" i="758"/>
  <c r="B31" i="758"/>
  <c r="B30" i="754"/>
  <c r="B29" i="751"/>
  <c r="B29" i="759"/>
  <c r="B28" i="759"/>
  <c r="B27" i="762"/>
  <c r="O22" i="744"/>
  <c r="B38" i="744" s="1"/>
  <c r="O22" i="760"/>
  <c r="B26" i="760"/>
  <c r="O23" i="753"/>
  <c r="B31" i="759"/>
  <c r="B31" i="753"/>
  <c r="B30" i="745"/>
  <c r="B29" i="742"/>
  <c r="B29" i="761"/>
  <c r="B28" i="765"/>
  <c r="B28" i="761"/>
  <c r="B26" i="765"/>
  <c r="B27" i="763"/>
  <c r="O22" i="747"/>
  <c r="B38" i="747" s="1"/>
  <c r="O22" i="761"/>
  <c r="B26" i="761"/>
  <c r="O23" i="742"/>
  <c r="O23" i="749"/>
  <c r="B32" i="739"/>
  <c r="B30" i="741"/>
  <c r="B30" i="758"/>
  <c r="O23" i="733"/>
  <c r="O22" i="743"/>
  <c r="B38" i="743" s="1"/>
  <c r="O22" i="762"/>
  <c r="B26" i="762"/>
  <c r="O23" i="746"/>
  <c r="O23" i="756"/>
  <c r="B31" i="751"/>
  <c r="B30" i="753"/>
  <c r="B29" i="745"/>
  <c r="B29" i="760"/>
  <c r="B28" i="742"/>
  <c r="B28" i="760"/>
  <c r="B28" i="762"/>
  <c r="O22" i="751"/>
  <c r="B26" i="751"/>
  <c r="O22" i="763"/>
  <c r="B26" i="763"/>
  <c r="O23" i="750"/>
  <c r="O23" i="759"/>
  <c r="B31" i="761"/>
  <c r="B29" i="766"/>
  <c r="B28" i="751"/>
  <c r="B28" i="766"/>
  <c r="B30" i="724"/>
  <c r="O22" i="729"/>
  <c r="B38" i="729" s="1"/>
  <c r="B28" i="724"/>
  <c r="O23" i="729"/>
  <c r="O22" i="730"/>
  <c r="B38" i="730" s="1"/>
  <c r="O23" i="730"/>
  <c r="O22" i="731"/>
  <c r="B38" i="731" s="1"/>
  <c r="B29" i="665"/>
  <c r="O23" i="731"/>
  <c r="B29" i="722"/>
  <c r="O22" i="732"/>
  <c r="B38" i="732" s="1"/>
  <c r="B28" i="734"/>
  <c r="B27" i="715"/>
  <c r="O23" i="732"/>
  <c r="B29" i="724"/>
  <c r="O22" i="733"/>
  <c r="B38" i="733" s="1"/>
  <c r="O23" i="734"/>
  <c r="O22" i="720"/>
  <c r="B26" i="720"/>
  <c r="O22" i="735"/>
  <c r="B26" i="735"/>
  <c r="O23" i="720"/>
  <c r="O23" i="735"/>
  <c r="B29" i="734"/>
  <c r="O22" i="721"/>
  <c r="B38" i="721" s="1"/>
  <c r="B28" i="723"/>
  <c r="B27" i="719"/>
  <c r="O23" i="721"/>
  <c r="B29" i="723"/>
  <c r="B26" i="722"/>
  <c r="B28" i="735"/>
  <c r="B31" i="734"/>
  <c r="O22" i="723"/>
  <c r="B26" i="723"/>
  <c r="B28" i="720"/>
  <c r="B27" i="734"/>
  <c r="O23" i="723"/>
  <c r="B31" i="723"/>
  <c r="B31" i="735"/>
  <c r="B30" i="734"/>
  <c r="O22" i="724"/>
  <c r="B26" i="724"/>
  <c r="B27" i="720"/>
  <c r="B27" i="735"/>
  <c r="O23" i="724"/>
  <c r="B31" i="720"/>
  <c r="B30" i="720"/>
  <c r="B30" i="735"/>
  <c r="O22" i="725"/>
  <c r="B38" i="725" s="1"/>
  <c r="O23" i="725"/>
  <c r="B29" i="735"/>
  <c r="O22" i="726"/>
  <c r="B38" i="726" s="1"/>
  <c r="B27" i="722"/>
  <c r="O23" i="726"/>
  <c r="B30" i="722"/>
  <c r="B29" i="720"/>
  <c r="O22" i="727"/>
  <c r="B38" i="727" s="1"/>
  <c r="B27" i="723"/>
  <c r="O22" i="734"/>
  <c r="B26" i="734"/>
  <c r="B30" i="717"/>
  <c r="O23" i="727"/>
  <c r="B31" i="724"/>
  <c r="B30" i="723"/>
  <c r="O22" i="728"/>
  <c r="B38" i="728" s="1"/>
  <c r="B28" i="722"/>
  <c r="B27" i="724"/>
  <c r="B29" i="718"/>
  <c r="B26" i="705"/>
  <c r="O22" i="716"/>
  <c r="B38" i="716" s="1"/>
  <c r="O22" i="717"/>
  <c r="B26" i="717"/>
  <c r="B32" i="715"/>
  <c r="O23" i="712"/>
  <c r="B29" i="719"/>
  <c r="O22" i="719"/>
  <c r="B26" i="719"/>
  <c r="O23" i="713"/>
  <c r="B29" i="712"/>
  <c r="B32" i="717"/>
  <c r="O23" i="714"/>
  <c r="B31" i="712"/>
  <c r="B29" i="715"/>
  <c r="B32" i="718"/>
  <c r="O23" i="715"/>
  <c r="B32" i="719"/>
  <c r="O23" i="716"/>
  <c r="B32" i="712"/>
  <c r="O23" i="717"/>
  <c r="B31" i="715"/>
  <c r="B28" i="712"/>
  <c r="B27" i="717"/>
  <c r="O22" i="714"/>
  <c r="B38" i="714" s="1"/>
  <c r="O23" i="719"/>
  <c r="B31" i="717"/>
  <c r="O22" i="715"/>
  <c r="B26" i="715"/>
  <c r="O22" i="712"/>
  <c r="B26" i="712"/>
  <c r="B31" i="719"/>
  <c r="B28" i="719"/>
  <c r="O22" i="713"/>
  <c r="B38" i="713" s="1"/>
  <c r="B29" i="717"/>
  <c r="B27" i="711"/>
  <c r="B28" i="706"/>
  <c r="O22" i="710"/>
  <c r="B38" i="710" s="1"/>
  <c r="B30" i="711"/>
  <c r="O22" i="711"/>
  <c r="B26" i="711"/>
  <c r="B29" i="711"/>
  <c r="B28" i="707"/>
  <c r="O23" i="709"/>
  <c r="O23" i="710"/>
  <c r="O23" i="711"/>
  <c r="B28" i="711"/>
  <c r="O22" i="707"/>
  <c r="B26" i="707"/>
  <c r="B31" i="706"/>
  <c r="B31" i="707"/>
  <c r="B26" i="706"/>
  <c r="O23" i="707"/>
  <c r="B32" i="707"/>
  <c r="O22" i="705"/>
  <c r="B32" i="706"/>
  <c r="B30" i="706"/>
  <c r="B31" i="705"/>
  <c r="B30" i="707"/>
  <c r="B31" i="665"/>
  <c r="B29" i="707"/>
  <c r="B29" i="706"/>
  <c r="B32" i="705"/>
  <c r="B30" i="705"/>
  <c r="B29" i="705"/>
  <c r="B28" i="705"/>
  <c r="B26" i="665"/>
  <c r="B27" i="705"/>
  <c r="C29" i="665"/>
  <c r="B33" i="665"/>
  <c r="B35" i="665"/>
  <c r="B30" i="665"/>
  <c r="B28" i="665"/>
  <c r="B32" i="665"/>
  <c r="B31" i="722" l="1"/>
  <c r="B38" i="767"/>
  <c r="B38" i="776"/>
  <c r="B38" i="706"/>
  <c r="B38" i="854"/>
  <c r="B38" i="778"/>
  <c r="B38" i="825"/>
  <c r="B38" i="794"/>
  <c r="B38" i="820"/>
  <c r="B38" i="809"/>
  <c r="B38" i="739"/>
  <c r="B38" i="798"/>
  <c r="B38" i="741"/>
  <c r="B38" i="816"/>
  <c r="B38" i="790"/>
  <c r="B38" i="808"/>
  <c r="B38" i="797"/>
  <c r="B38" i="812"/>
  <c r="B38" i="779"/>
  <c r="B38" i="763"/>
  <c r="B38" i="822"/>
  <c r="B38" i="752"/>
  <c r="B38" i="784"/>
  <c r="B38" i="793"/>
  <c r="B38" i="765"/>
  <c r="B38" i="780"/>
  <c r="B38" i="821"/>
  <c r="B38" i="774"/>
  <c r="B38" i="810"/>
  <c r="B38" i="806"/>
  <c r="B38" i="734"/>
  <c r="B38" i="791"/>
  <c r="B38" i="813"/>
  <c r="B38" i="814"/>
  <c r="B38" i="803"/>
  <c r="B38" i="805"/>
  <c r="B38" i="801"/>
  <c r="B38" i="799"/>
  <c r="B38" i="760"/>
  <c r="B38" i="783"/>
  <c r="B38" i="769"/>
  <c r="B38" i="773"/>
  <c r="B38" i="771"/>
  <c r="B38" i="751"/>
  <c r="B38" i="819"/>
  <c r="B38" i="802"/>
  <c r="B38" i="762"/>
  <c r="B38" i="804"/>
  <c r="B38" i="800"/>
  <c r="B38" i="724"/>
  <c r="B38" i="782"/>
  <c r="B38" i="723"/>
  <c r="B38" i="745"/>
  <c r="B38" i="777"/>
  <c r="B38" i="761"/>
  <c r="B38" i="759"/>
  <c r="B38" i="746"/>
  <c r="B38" i="766"/>
  <c r="B38" i="758"/>
  <c r="B38" i="764"/>
  <c r="B38" i="753"/>
  <c r="B38" i="742"/>
  <c r="B38" i="754"/>
  <c r="B38" i="722"/>
  <c r="B38" i="735"/>
  <c r="B38" i="720"/>
  <c r="B38" i="711"/>
  <c r="B38" i="718"/>
  <c r="B38" i="715"/>
  <c r="B38" i="712"/>
  <c r="B38" i="719"/>
  <c r="B38" i="717"/>
  <c r="B38" i="705"/>
  <c r="B38" i="707"/>
  <c r="C30" i="665"/>
  <c r="B38" i="665"/>
  <c r="C31" i="665" l="1"/>
  <c r="C32" i="665" l="1"/>
  <c r="C33" i="665" l="1"/>
  <c r="C34" i="665" l="1"/>
  <c r="C35" i="665" l="1"/>
  <c r="C36" i="665" l="1"/>
  <c r="C37" i="665" l="1"/>
  <c r="C38" i="665" s="1"/>
  <c r="C9" i="11" l="1"/>
  <c r="C8" i="11"/>
  <c r="B38" i="11"/>
  <c r="B37" i="11"/>
  <c r="B36" i="11"/>
  <c r="B35" i="11"/>
  <c r="C35" i="11" s="1"/>
  <c r="B34" i="11"/>
  <c r="C34" i="11" s="1"/>
  <c r="B33" i="11"/>
  <c r="C33" i="11" s="1"/>
  <c r="B32" i="11"/>
  <c r="C32" i="11" s="1"/>
  <c r="B31" i="11"/>
  <c r="C31" i="11" s="1"/>
  <c r="B30" i="11"/>
  <c r="C30" i="11" s="1"/>
  <c r="B29" i="11"/>
  <c r="C29" i="11" s="1"/>
  <c r="B28" i="11"/>
  <c r="C28" i="11" s="1"/>
  <c r="B27" i="11"/>
  <c r="C27" i="11" s="1"/>
  <c r="D38" i="11" l="1"/>
  <c r="D37" i="11"/>
  <c r="D36" i="11"/>
  <c r="D35" i="11"/>
  <c r="D34" i="11"/>
  <c r="D33" i="11"/>
  <c r="D32" i="11"/>
  <c r="D31" i="11"/>
  <c r="D30" i="11"/>
  <c r="D29" i="11"/>
  <c r="D28" i="11"/>
  <c r="D27" i="11"/>
  <c r="X24" i="11"/>
  <c r="C36" i="11" s="1"/>
  <c r="X23" i="11"/>
  <c r="B39" i="11" l="1"/>
  <c r="D39" i="11"/>
  <c r="C37" i="11"/>
  <c r="C38"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CU1" authorId="0" shapeId="0" xr:uid="{357E7478-1DFD-4686-984A-0EB64A9E2E47}">
      <text>
        <r>
          <rPr>
            <sz val="9"/>
            <color indexed="81"/>
            <rFont val="Tahoma"/>
            <family val="2"/>
          </rPr>
          <t>Relacionar y proyectar por mes la meta del año</t>
        </r>
      </text>
    </comment>
    <comment ref="BA2" authorId="0" shapeId="0" xr:uid="{52275A16-936C-42C5-A7EC-34B69B0896A5}">
      <text>
        <r>
          <rPr>
            <sz val="9"/>
            <color indexed="81"/>
            <rFont val="Tahoma"/>
            <family val="2"/>
          </rPr>
          <t>Punto de proyección en que se quiere llegar con la ejecución de la actividad</t>
        </r>
      </text>
    </comment>
    <comment ref="BB2" authorId="0" shapeId="0" xr:uid="{A7B2D825-2018-4388-8594-B18967AE24C4}">
      <text>
        <r>
          <rPr>
            <sz val="9"/>
            <color indexed="81"/>
            <rFont val="Tahoma"/>
            <family val="2"/>
          </rPr>
          <t>Relacionar y proyectar por mes la meta del año</t>
        </r>
      </text>
    </comment>
    <comment ref="BN2" authorId="0" shapeId="0" xr:uid="{9E882EE0-8F34-4796-BA79-8F2997DDC7D5}">
      <text>
        <r>
          <rPr>
            <sz val="9"/>
            <color indexed="81"/>
            <rFont val="Tahoma"/>
            <family val="2"/>
          </rPr>
          <t>Relacionar y proyectar por mes la meta del año</t>
        </r>
      </text>
    </comment>
    <comment ref="CB2" authorId="0" shapeId="0" xr:uid="{93CF3BC5-2A64-448F-A678-F1BF423FC215}">
      <text>
        <r>
          <rPr>
            <sz val="9"/>
            <color indexed="81"/>
            <rFont val="Tahoma"/>
            <family val="2"/>
          </rPr>
          <t>Relacionar y proyectar por mes la meta del año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BE01108-F922-4F74-8664-C886B5D1D43F}">
      <text>
        <r>
          <rPr>
            <sz val="9"/>
            <color indexed="81"/>
            <rFont val="Tahoma"/>
            <family val="2"/>
          </rPr>
          <t>En este espacio se realiza por funcionario de la OAP, las observaciones relevantes resultado de la medición del indicador.</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042A09F-4E1D-4F8D-A0F6-80A5A6945866}">
      <text>
        <r>
          <rPr>
            <sz val="9"/>
            <color indexed="81"/>
            <rFont val="Tahoma"/>
            <family val="2"/>
          </rPr>
          <t>En este espacio se realiza por funcionario de la OAP, las observaciones relevantes resultado de la medición del indicador.</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5B8F649-312F-4385-B801-5D4DF4B4D896}">
      <text>
        <r>
          <rPr>
            <sz val="9"/>
            <color indexed="81"/>
            <rFont val="Tahoma"/>
            <family val="2"/>
          </rPr>
          <t>En este espacio se realiza por funcionario de la OAP, las observaciones relevantes resultado de la medición del indicador.</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734DE53-EA8F-4680-9C45-09EEBF082D3C}">
      <text>
        <r>
          <rPr>
            <sz val="9"/>
            <color indexed="81"/>
            <rFont val="Tahoma"/>
            <family val="2"/>
          </rPr>
          <t>En este espacio se realiza por funcionario de la OAP, las observaciones relevantes resultado de la medición del indicador.</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AFD33D4-4BB6-451D-AF97-E51A7CCAA33B}">
      <text>
        <r>
          <rPr>
            <sz val="9"/>
            <color indexed="81"/>
            <rFont val="Tahoma"/>
            <family val="2"/>
          </rPr>
          <t>En este espacio se realiza por funcionario de la OAP, las observaciones relevantes resultado de la medición del indicador.</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00501F5-759E-408A-B162-89E0FC9161A5}">
      <text>
        <r>
          <rPr>
            <sz val="9"/>
            <color indexed="81"/>
            <rFont val="Tahoma"/>
            <family val="2"/>
          </rPr>
          <t>En este espacio se realiza por funcionario de la OAP, las observaciones relevantes resultado de la medición del indicador.</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82EA566-9425-489B-A3CB-28EBFE8F2C92}">
      <text>
        <r>
          <rPr>
            <sz val="9"/>
            <color indexed="81"/>
            <rFont val="Tahoma"/>
            <family val="2"/>
          </rPr>
          <t>En este espacio se realiza por funcionario de la OAP, las observaciones relevantes resultado de la medición del indicador.</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146DD27-BE5A-4594-902A-33876D6F5C32}">
      <text>
        <r>
          <rPr>
            <sz val="9"/>
            <color indexed="81"/>
            <rFont val="Tahoma"/>
            <family val="2"/>
          </rPr>
          <t>En este espacio se realiza por funcionario de la OAP, las observaciones relevantes resultado de la medición del indicador.</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350DFB5-E471-48A8-BDCB-AA2FED1F62DB}">
      <text>
        <r>
          <rPr>
            <sz val="9"/>
            <color indexed="81"/>
            <rFont val="Tahoma"/>
            <family val="2"/>
          </rPr>
          <t>En este espacio se realiza por funcionario de la OAP, las observaciones relevantes resultado de la medición del indicador.</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2EBB8A5-E899-4A41-8C3B-0F6679B66311}">
      <text>
        <r>
          <rPr>
            <sz val="9"/>
            <color indexed="81"/>
            <rFont val="Tahoma"/>
            <family val="2"/>
          </rPr>
          <t>En este espacio se realiza por funcionario de la OAP, las observaciones relevantes resultado de la medición del indicador.</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97766E7-9DF5-4553-B3D3-F2B477B9EFD8}">
      <text>
        <r>
          <rPr>
            <sz val="9"/>
            <color indexed="81"/>
            <rFont val="Tahoma"/>
            <family val="2"/>
          </rPr>
          <t>En este espacio se realiza por funcionario de la OAP, las observaciones relevantes resultado de la medición del indicador.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5728414-EC81-47C7-A8F2-AA23CED57144}">
      <text>
        <r>
          <rPr>
            <sz val="9"/>
            <color indexed="81"/>
            <rFont val="Tahoma"/>
            <family val="2"/>
          </rPr>
          <t>En este espacio se realiza por funcionario de la OAP, las observaciones relevantes resultado de la medición del indicador.</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28C49D9-3E8E-4DA4-9D48-91A4E36A70DB}">
      <text>
        <r>
          <rPr>
            <sz val="9"/>
            <color indexed="81"/>
            <rFont val="Tahoma"/>
            <family val="2"/>
          </rPr>
          <t>En este espacio se realiza por funcionario de la OAP, las observaciones relevantes resultado de la medición del indicador.</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0291CA9-8A2F-46CF-8E43-57848677A518}">
      <text>
        <r>
          <rPr>
            <sz val="9"/>
            <color indexed="81"/>
            <rFont val="Tahoma"/>
            <family val="2"/>
          </rPr>
          <t>En este espacio se realiza por funcionario de la OAP, las observaciones relevantes resultado de la medición del indicador.</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2536FCC-E4AB-41B3-AFA6-E2C302E26AAE}">
      <text>
        <r>
          <rPr>
            <sz val="9"/>
            <color indexed="81"/>
            <rFont val="Tahoma"/>
            <family val="2"/>
          </rPr>
          <t>En este espacio se realiza por funcionario de la OAP, las observaciones relevantes resultado de la medición del indicador.</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E6A824F-6B28-4690-9A04-8A30D5AFDD1B}">
      <text>
        <r>
          <rPr>
            <sz val="9"/>
            <color indexed="81"/>
            <rFont val="Tahoma"/>
            <family val="2"/>
          </rPr>
          <t>En este espacio se realiza por funcionario de la OAP, las observaciones relevantes resultado de la medición del indicador.</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11A579B-6DD5-499F-AE34-CBFC810B81A6}">
      <text>
        <r>
          <rPr>
            <sz val="9"/>
            <color indexed="81"/>
            <rFont val="Tahoma"/>
            <family val="2"/>
          </rPr>
          <t>En este espacio se realiza por funcionario de la OAP, las observaciones relevantes resultado de la medición del indicador.</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3DD4400-DA7F-4122-B049-71EEDEB85C78}">
      <text>
        <r>
          <rPr>
            <sz val="9"/>
            <color indexed="81"/>
            <rFont val="Tahoma"/>
            <family val="2"/>
          </rPr>
          <t>En este espacio se realiza por funcionario de la OAP, las observaciones relevantes resultado de la medición del indicador.</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04AEE1D-AB62-4F27-B230-BBD2B381DBFD}">
      <text>
        <r>
          <rPr>
            <sz val="9"/>
            <color indexed="81"/>
            <rFont val="Tahoma"/>
            <family val="2"/>
          </rPr>
          <t>En este espacio se realiza por funcionario de la OAP, las observaciones relevantes resultado de la medición del indicador.</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28E7C42-F4E2-4A1F-9DF0-4311D40A12A2}">
      <text>
        <r>
          <rPr>
            <sz val="9"/>
            <color indexed="81"/>
            <rFont val="Tahoma"/>
            <family val="2"/>
          </rPr>
          <t>En este espacio se realiza por funcionario de la OAP, las observaciones relevantes resultado de la medición del indicador.</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95AEE3C-2B99-4603-9834-AEB2FA6FC6FD}">
      <text>
        <r>
          <rPr>
            <sz val="9"/>
            <color indexed="81"/>
            <rFont val="Tahoma"/>
            <family val="2"/>
          </rPr>
          <t>En este espacio se realiza por funcionario de la OAP, las observaciones relevantes resultado de la medición del indicador.</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8ADC2D2-0D92-4192-AA3E-1CE4FC0B3C14}">
      <text>
        <r>
          <rPr>
            <sz val="9"/>
            <color indexed="81"/>
            <rFont val="Tahoma"/>
            <family val="2"/>
          </rPr>
          <t>En este espacio se realiza por funcionario de la OAP, las observaciones relevantes resultado de la medición del indicador.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1640404-CFBF-4D5C-A9AC-32554296E209}">
      <text>
        <r>
          <rPr>
            <sz val="9"/>
            <color indexed="81"/>
            <rFont val="Tahoma"/>
            <family val="2"/>
          </rPr>
          <t>En este espacio se realiza por funcionario de la OAP, las observaciones relevantes resultado de la medición del indicador.</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CC7BE90-500F-44E7-B56A-B820979A61E3}">
      <text>
        <r>
          <rPr>
            <sz val="9"/>
            <color indexed="81"/>
            <rFont val="Tahoma"/>
            <family val="2"/>
          </rPr>
          <t>En este espacio se realiza por funcionario de la OAP, las observaciones relevantes resultado de la medición del indicador.</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A229ED1-EA4D-40FE-9E39-C1DC3A25318B}">
      <text>
        <r>
          <rPr>
            <sz val="9"/>
            <color indexed="81"/>
            <rFont val="Tahoma"/>
            <family val="2"/>
          </rPr>
          <t>En este espacio se realiza por funcionario de la OAP, las observaciones relevantes resultado de la medición del indicador.</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C4CF126-D416-44E1-890A-5BE4E9A2E187}">
      <text>
        <r>
          <rPr>
            <sz val="9"/>
            <color indexed="81"/>
            <rFont val="Tahoma"/>
            <family val="2"/>
          </rPr>
          <t>En este espacio se realiza por funcionario de la OAP, las observaciones relevantes resultado de la medición del indicador.</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59C497A-4D77-4AE0-A4E5-F0AC914923D6}">
      <text>
        <r>
          <rPr>
            <sz val="9"/>
            <color indexed="81"/>
            <rFont val="Tahoma"/>
            <family val="2"/>
          </rPr>
          <t>En este espacio se realiza por funcionario de la OAP, las observaciones relevantes resultado de la medición del indicador.</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4B59015-7856-49FA-A13B-5F2FCCAD55E3}">
      <text>
        <r>
          <rPr>
            <sz val="9"/>
            <color indexed="81"/>
            <rFont val="Tahoma"/>
            <family val="2"/>
          </rPr>
          <t>En este espacio se realiza por funcionario de la OAP, las observaciones relevantes resultado de la medición del indicador.</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E5BCE36-6277-4A8D-9925-65857A67173E}">
      <text>
        <r>
          <rPr>
            <sz val="9"/>
            <color indexed="81"/>
            <rFont val="Tahoma"/>
            <family val="2"/>
          </rPr>
          <t>En este espacio se realiza por funcionario de la OAP, las observaciones relevantes resultado de la medición del indicador.</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34828FB-D5A2-488D-BE56-ABF2DA7C06C6}">
      <text>
        <r>
          <rPr>
            <sz val="9"/>
            <color indexed="81"/>
            <rFont val="Tahoma"/>
            <family val="2"/>
          </rPr>
          <t>En este espacio se realiza por funcionario de la OAP, las observaciones relevantes resultado de la medición del indicador.</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A6E9BCE-92D1-410E-B9A8-2075C05C77A2}">
      <text>
        <r>
          <rPr>
            <sz val="9"/>
            <color indexed="81"/>
            <rFont val="Tahoma"/>
            <family val="2"/>
          </rPr>
          <t>En este espacio se realiza por funcionario de la OAP, las observaciones relevantes resultado de la medición del indicador.</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57726F4-05A6-494D-B05B-DE9AC23DB9CE}">
      <text>
        <r>
          <rPr>
            <sz val="9"/>
            <color indexed="81"/>
            <rFont val="Tahoma"/>
            <family val="2"/>
          </rPr>
          <t>En este espacio se realiza por funcionario de la OAP, las observaciones relevantes resultado de la medición del indicador.</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8F59FA2-58EC-4CC8-81AC-A7A069973DE7}">
      <text>
        <r>
          <rPr>
            <sz val="9"/>
            <color indexed="81"/>
            <rFont val="Tahoma"/>
            <family val="2"/>
          </rPr>
          <t>En este espacio se realiza por funcionario de la OAP, las observaciones relevantes resultado de la medición del indicador.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9310FE4-49F1-407D-B70F-BC75480D9C2E}">
      <text>
        <r>
          <rPr>
            <sz val="9"/>
            <color indexed="81"/>
            <rFont val="Tahoma"/>
            <family val="2"/>
          </rPr>
          <t>En este espacio se realiza por funcionario de la OAP, las observaciones relevantes resultado de la medición del indicador.</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62BE384-8CBD-457C-97E8-D9C407C156C1}">
      <text>
        <r>
          <rPr>
            <sz val="9"/>
            <color indexed="81"/>
            <rFont val="Tahoma"/>
            <family val="2"/>
          </rPr>
          <t>En este espacio se realiza por funcionario de la OAP, las observaciones relevantes resultado de la medición del indicador.</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6432B4D-1256-454B-9807-8E88BB73430F}">
      <text>
        <r>
          <rPr>
            <sz val="9"/>
            <color indexed="81"/>
            <rFont val="Tahoma"/>
            <family val="2"/>
          </rPr>
          <t>En este espacio se realiza por funcionario de la OAP, las observaciones relevantes resultado de la medición del indicador.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E9B662D-7C29-48C7-83A8-AF3CF8299F77}">
      <text>
        <r>
          <rPr>
            <sz val="9"/>
            <color indexed="81"/>
            <rFont val="Tahoma"/>
            <family val="2"/>
          </rPr>
          <t>En este espacio se realiza por funcionario de la OAP, las observaciones relevantes resultado de la medición del indicador.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CED30E0-31EF-470D-8FA4-742465949ECD}">
      <text>
        <r>
          <rPr>
            <sz val="9"/>
            <color indexed="81"/>
            <rFont val="Tahoma"/>
            <family val="2"/>
          </rPr>
          <t>En este espacio se realiza por funcionario de la OAP, las observaciones relevantes resultado de la medición del indicador.</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08738AF-666F-4FDF-8600-BF964D760332}">
      <text>
        <r>
          <rPr>
            <sz val="9"/>
            <color indexed="81"/>
            <rFont val="Tahoma"/>
            <family val="2"/>
          </rPr>
          <t>En este espacio se realiza por funcionario de la OAP, las observaciones relevantes resultado de la medición del indicador.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7FA3A9F-D6B3-41FC-AF64-72016E6E3BF7}">
      <text>
        <r>
          <rPr>
            <sz val="9"/>
            <color indexed="81"/>
            <rFont val="Tahoma"/>
            <family val="2"/>
          </rPr>
          <t>En este espacio se realiza por funcionario de la OAP, las observaciones relevantes resultado de la medición del indicador.</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25ADC3A-4337-490B-A85D-99499F384152}">
      <text>
        <r>
          <rPr>
            <sz val="9"/>
            <color indexed="81"/>
            <rFont val="Tahoma"/>
            <family val="2"/>
          </rPr>
          <t>En este espacio se realiza por funcionario de la OAP, las observaciones relevantes resultado de la medición del indicador.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4C427B7-E69C-4214-B852-091D74C414F7}">
      <text>
        <r>
          <rPr>
            <sz val="9"/>
            <color indexed="81"/>
            <rFont val="Tahoma"/>
            <family val="2"/>
          </rPr>
          <t>En este espacio se realiza por funcionario de la OAP, las observaciones relevantes resultado de la medición del indicador.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Andrea del Pilar Lopez</author>
    <author>Viviana Marcela Pardo Beltran</author>
  </authors>
  <commentList>
    <comment ref="B3" authorId="0" shapeId="0" xr:uid="{475C41B7-BA18-4462-91EF-48770AD69FB7}">
      <text>
        <r>
          <rPr>
            <sz val="9"/>
            <color indexed="81"/>
            <rFont val="Tahoma"/>
            <family val="2"/>
          </rPr>
          <t xml:space="preserve">
Seleccionar el Objetivo de la lista desplegable de acuerdo con la actividad e indicador.</t>
        </r>
      </text>
    </comment>
    <comment ref="C3" authorId="0" shapeId="0" xr:uid="{9A03F13E-A811-4DF8-84D3-9853F3BD152A}">
      <text>
        <r>
          <rPr>
            <sz val="9"/>
            <color indexed="81"/>
            <rFont val="Tahoma"/>
            <family val="2"/>
          </rPr>
          <t xml:space="preserve">
Seleccionar el Objetivo de la lista desplegable  de acuerdo con la actividad e indicador.</t>
        </r>
      </text>
    </comment>
    <comment ref="D3" authorId="0" shapeId="0" xr:uid="{6B9AA51C-4EC6-4C16-88E1-219071334095}">
      <text>
        <r>
          <rPr>
            <sz val="9"/>
            <color indexed="81"/>
            <rFont val="Tahoma"/>
            <family val="2"/>
          </rPr>
          <t xml:space="preserve">
Seleccionar el Objetivo de la lista desplegable , de acuerdo con la actividad e indicador.</t>
        </r>
      </text>
    </comment>
    <comment ref="E3" authorId="0" shapeId="0" xr:uid="{0B6F3E0E-4FC2-4F13-B662-01C5AB04ED9E}">
      <text>
        <r>
          <rPr>
            <sz val="9"/>
            <color indexed="81"/>
            <rFont val="Tahoma"/>
            <family val="2"/>
          </rPr>
          <t xml:space="preserve">
Seleccionar la Dimensión de la lista desplegable , de acuerdo con la actividad e indicador.</t>
        </r>
      </text>
    </comment>
    <comment ref="F3" authorId="0" shapeId="0" xr:uid="{216EAF8B-7475-41C1-BE29-A5BFEC98575E}">
      <text>
        <r>
          <rPr>
            <sz val="9"/>
            <color indexed="81"/>
            <rFont val="Tahoma"/>
            <family val="2"/>
          </rPr>
          <t xml:space="preserve">
Seleccionar la Política asociada a la Dimensión de la lista desplegable de acuerdo con la actividad e indicador.</t>
        </r>
      </text>
    </comment>
    <comment ref="G3" authorId="0" shapeId="0" xr:uid="{C784C0B4-7013-4704-AA28-549C50C71D49}">
      <text>
        <r>
          <rPr>
            <sz val="9"/>
            <color indexed="81"/>
            <rFont val="Tahoma"/>
            <family val="2"/>
          </rPr>
          <t xml:space="preserve">
Seleccionar el Objetivo de la lista desplegable  de acuerdo con la actividad e indicador.</t>
        </r>
      </text>
    </comment>
    <comment ref="H3" authorId="0" shapeId="0" xr:uid="{78B205B7-0BD7-4ED3-897A-79D02EFB9A1C}">
      <text>
        <r>
          <rPr>
            <sz val="9"/>
            <color indexed="81"/>
            <rFont val="Tahoma"/>
            <family val="2"/>
          </rPr>
          <t xml:space="preserve">
Seleccionar el Objetivo de la lista desplegable, de acuerdo con la actividad e indicador.</t>
        </r>
      </text>
    </comment>
    <comment ref="I3" authorId="0" shapeId="0" xr:uid="{9B417A29-FB68-4380-B5D3-5309C118C388}">
      <text>
        <r>
          <rPr>
            <sz val="9"/>
            <color indexed="81"/>
            <rFont val="Tahoma"/>
            <family val="2"/>
          </rPr>
          <t xml:space="preserve">
Seleccionar el proceso de la lista desplegable, de acuerdo con la actividad e indicador.</t>
        </r>
      </text>
    </comment>
    <comment ref="K3" authorId="1" shapeId="0" xr:uid="{1CF881C2-3FEE-4679-8892-EA2F37E01639}">
      <text>
        <r>
          <rPr>
            <b/>
            <sz val="9"/>
            <color indexed="81"/>
            <rFont val="Tahoma"/>
            <family val="2"/>
          </rPr>
          <t>En este espacio relacione al grupo de valor que le apunta con la realización de la actividad.</t>
        </r>
        <r>
          <rPr>
            <sz val="9"/>
            <color indexed="81"/>
            <rFont val="Tahoma"/>
            <family val="2"/>
          </rPr>
          <t xml:space="preserve">
</t>
        </r>
      </text>
    </comment>
    <comment ref="L3" authorId="0" shapeId="0" xr:uid="{02F65DFD-8ADC-4D05-B6A7-FC4C01823532}">
      <text>
        <r>
          <rPr>
            <sz val="9"/>
            <color indexed="81"/>
            <rFont val="Tahoma"/>
            <family val="2"/>
          </rPr>
          <t xml:space="preserve">Relacionar la apuesta estratégica formulada en el Plan Estratégico Institucional, con que se articulará con la actividad del PAG.
</t>
        </r>
      </text>
    </comment>
    <comment ref="M3" authorId="0" shapeId="0" xr:uid="{55DA1C4D-6A79-4B2D-A751-5E49EAEF89E0}">
      <text>
        <r>
          <rPr>
            <sz val="9"/>
            <color indexed="81"/>
            <rFont val="Tahoma"/>
            <family val="2"/>
          </rPr>
          <t xml:space="preserve">
Realizar la actividad que realizará en la vigencia</t>
        </r>
      </text>
    </comment>
    <comment ref="N3" authorId="0" shapeId="0" xr:uid="{C902B794-7A07-49EC-9F8D-0DAF3B334D8F}">
      <text>
        <r>
          <rPr>
            <b/>
            <sz val="9"/>
            <color indexed="81"/>
            <rFont val="Tahoma"/>
            <family val="2"/>
          </rPr>
          <t>Andrea del Pilar Lopez:</t>
        </r>
        <r>
          <rPr>
            <sz val="9"/>
            <color indexed="81"/>
            <rFont val="Tahoma"/>
            <family val="2"/>
          </rPr>
          <t xml:space="preserve">
Informativo</t>
        </r>
      </text>
    </comment>
    <comment ref="W3" authorId="0" shapeId="0" xr:uid="{9BC98309-08D7-43FA-BD8B-15FA5A88DF0C}">
      <text>
        <r>
          <rPr>
            <sz val="9"/>
            <color indexed="81"/>
            <rFont val="Tahoma"/>
            <family val="2"/>
          </rPr>
          <t>Relacionar la cifra que corresponde a la Línea o punto de partida en que inicia la actividad</t>
        </r>
      </text>
    </comment>
    <comment ref="AK3" authorId="0" shapeId="0" xr:uid="{0B56C047-A398-47C9-BFF8-2B1AF509E580}">
      <text>
        <r>
          <rPr>
            <sz val="9"/>
            <color indexed="81"/>
            <rFont val="Tahoma"/>
            <family val="2"/>
          </rPr>
          <t xml:space="preserve">
Seleccionar el nombre del proyecto de Inversión de la lista desplegable</t>
        </r>
      </text>
    </comment>
    <comment ref="AL3" authorId="0" shapeId="0" xr:uid="{8462D2F6-FB11-414B-812E-AE386EE77285}">
      <text>
        <r>
          <rPr>
            <b/>
            <sz val="9"/>
            <color indexed="81"/>
            <rFont val="Tahoma"/>
            <family val="2"/>
          </rPr>
          <t xml:space="preserve">
</t>
        </r>
        <r>
          <rPr>
            <sz val="9"/>
            <color indexed="81"/>
            <rFont val="Tahoma"/>
            <family val="2"/>
          </rPr>
          <t>Relacionar la actividad del proyecto de Inversión</t>
        </r>
      </text>
    </comment>
    <comment ref="AM3" authorId="0" shapeId="0" xr:uid="{698D41A3-CC6A-44E6-8098-241D37B5BE55}">
      <text>
        <r>
          <rPr>
            <sz val="9"/>
            <color indexed="81"/>
            <rFont val="Tahoma"/>
            <family val="2"/>
          </rPr>
          <t xml:space="preserve">
Informativo</t>
        </r>
      </text>
    </comment>
    <comment ref="AO3" authorId="0" shapeId="0" xr:uid="{1EB4AEC8-1146-43B8-9012-CC79E8611245}">
      <text>
        <r>
          <rPr>
            <sz val="9"/>
            <color indexed="81"/>
            <rFont val="Tahoma"/>
            <family val="2"/>
          </rPr>
          <t>Seleccionar la depedencia de la lista desplegable responsable de la actividad e indicador</t>
        </r>
      </text>
    </comment>
    <comment ref="N4" authorId="0" shapeId="0" xr:uid="{A7A40EB6-817D-43B4-B12D-20A7AC9BB765}">
      <text>
        <r>
          <rPr>
            <sz val="9"/>
            <color indexed="81"/>
            <rFont val="Tahoma"/>
            <family val="2"/>
          </rPr>
          <t>Se relaciona el Código, emitido por la OAP</t>
        </r>
      </text>
    </comment>
    <comment ref="O4" authorId="0" shapeId="0" xr:uid="{94C161BF-4CDD-463B-8EB8-667AC245BBDF}">
      <text>
        <r>
          <rPr>
            <sz val="9"/>
            <color indexed="81"/>
            <rFont val="Tahoma"/>
            <family val="2"/>
          </rPr>
          <t>Relacionar el Nombre del indicador, el cual medirá la ejecución de la actividad.</t>
        </r>
      </text>
    </comment>
    <comment ref="P4" authorId="0" shapeId="0" xr:uid="{884204D9-F71D-4EB7-BE2E-003706DD21C6}">
      <text>
        <r>
          <rPr>
            <sz val="9"/>
            <color indexed="81"/>
            <rFont val="Tahoma"/>
            <family val="2"/>
          </rPr>
          <t>Relacionar la formula del indicador</t>
        </r>
      </text>
    </comment>
    <comment ref="T4" authorId="0" shapeId="0" xr:uid="{509D5AA6-5B97-4D84-BEA4-3F4F93B33157}">
      <text>
        <r>
          <rPr>
            <sz val="9"/>
            <color indexed="81"/>
            <rFont val="Tahoma"/>
            <family val="2"/>
          </rPr>
          <t>Seleccionar el tipo de indicador de la lista desplegable</t>
        </r>
      </text>
    </comment>
    <comment ref="U4" authorId="0" shapeId="0" xr:uid="{23737507-DBD7-4A8B-813B-C4B5BC05F0AD}">
      <text>
        <r>
          <rPr>
            <b/>
            <sz val="9"/>
            <color indexed="81"/>
            <rFont val="Tahoma"/>
            <family val="2"/>
          </rPr>
          <t>Andrea del Pilar Lopez:</t>
        </r>
        <r>
          <rPr>
            <sz val="9"/>
            <color indexed="81"/>
            <rFont val="Tahoma"/>
            <family val="2"/>
          </rPr>
          <t xml:space="preserve">
Seleccionar la unidad de medida de la lista desplegable que apunta al Indicador.</t>
        </r>
      </text>
    </comment>
    <comment ref="V4" authorId="0" shapeId="0" xr:uid="{2785ECC3-C814-4B82-BC0B-1118A44D35AA}">
      <text>
        <r>
          <rPr>
            <sz val="9"/>
            <color indexed="81"/>
            <rFont val="Tahoma"/>
            <family val="2"/>
          </rPr>
          <t>Seleccionar la frecuencia de reporte de la lista desplegable que apunta al Indicador</t>
        </r>
      </text>
    </comment>
    <comment ref="X4" authorId="0" shapeId="0" xr:uid="{D6053DBC-6227-464D-BC84-645A4B0AEA7F}">
      <text>
        <r>
          <rPr>
            <sz val="9"/>
            <color indexed="81"/>
            <rFont val="Tahoma"/>
            <family val="2"/>
          </rPr>
          <t>Punto de proyección en que se quiere llegar con la ejecución de la actividad</t>
        </r>
      </text>
    </comment>
    <comment ref="Y4" authorId="0" shapeId="0" xr:uid="{7C4BF887-857A-43FB-8D08-C41C56A7CB2E}">
      <text>
        <r>
          <rPr>
            <sz val="9"/>
            <color indexed="81"/>
            <rFont val="Tahoma"/>
            <family val="2"/>
          </rPr>
          <t>Relacionar y proyectar por mes la meta del año</t>
        </r>
      </text>
    </comment>
    <comment ref="AM4" authorId="0" shapeId="0" xr:uid="{4ACC2D2D-0B50-47E1-BDF0-FF9E2186AA48}">
      <text>
        <r>
          <rPr>
            <sz val="9"/>
            <color indexed="81"/>
            <rFont val="Tahoma"/>
            <family val="2"/>
          </rPr>
          <t>Relacionar el rubro asociado a la actividad del proyecto de inversión, ejemplo: C-1999-0300-10</t>
        </r>
      </text>
    </comment>
    <comment ref="AN4" authorId="0" shapeId="0" xr:uid="{27A4A227-20F1-4F9E-B2E2-139E1252ADFC}">
      <text>
        <r>
          <rPr>
            <sz val="9"/>
            <color indexed="81"/>
            <rFont val="Tahoma"/>
            <family val="2"/>
          </rPr>
          <t>Relacionar el valor asociado a la actividad del proyecto de inversión, ejemplo: $234.402.000</t>
        </r>
      </text>
    </comment>
    <comment ref="AP4" authorId="0" shapeId="0" xr:uid="{15B5784E-EDE5-4F94-9D10-6047730F3BB3}">
      <text>
        <r>
          <rPr>
            <sz val="9"/>
            <color indexed="81"/>
            <rFont val="Tahoma"/>
            <family val="2"/>
          </rPr>
          <t>Punto de proyección en que se quiere llegar con la ejecución de la actividad</t>
        </r>
      </text>
    </comment>
    <comment ref="AQ4" authorId="0" shapeId="0" xr:uid="{0973F842-997E-4532-9B1E-379FB1D1D3AD}">
      <text>
        <r>
          <rPr>
            <sz val="9"/>
            <color indexed="81"/>
            <rFont val="Tahoma"/>
            <family val="2"/>
          </rPr>
          <t>Relacionar y proyectar por mes la meta del año</t>
        </r>
      </text>
    </comment>
    <comment ref="BC4" authorId="0" shapeId="0" xr:uid="{79F185EA-46E4-426E-9BD1-9B2DBB530016}">
      <text>
        <r>
          <rPr>
            <sz val="9"/>
            <color indexed="81"/>
            <rFont val="Tahoma"/>
            <family val="2"/>
          </rPr>
          <t>Relacionar y proyectar por mes la meta del año</t>
        </r>
      </text>
    </comment>
    <comment ref="BO4" authorId="0" shapeId="0" xr:uid="{4278BEFB-4B13-4C2D-B092-C7F58970FDAA}">
      <text>
        <r>
          <rPr>
            <sz val="9"/>
            <color indexed="81"/>
            <rFont val="Tahoma"/>
            <family val="2"/>
          </rPr>
          <t>Relacionar y proyectar por mes la meta del año</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65B6684-A44F-4F95-BB51-BCC6064FFBC5}">
      <text>
        <r>
          <rPr>
            <sz val="9"/>
            <color indexed="81"/>
            <rFont val="Tahoma"/>
            <family val="2"/>
          </rPr>
          <t>En este espacio se realiza por funcionario de la OAP, las observaciones relevantes resultado de la medición del indicador.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0A30507-BA56-49F6-908C-C996719C6810}">
      <text>
        <r>
          <rPr>
            <sz val="9"/>
            <color indexed="81"/>
            <rFont val="Tahoma"/>
            <family val="2"/>
          </rPr>
          <t>En este espacio se realiza por funcionario de la OAP, las observaciones relevantes resultado de la medición del indicador.</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1CE6758-45F8-428E-89C7-1C806156AE49}">
      <text>
        <r>
          <rPr>
            <sz val="9"/>
            <color indexed="81"/>
            <rFont val="Tahoma"/>
            <family val="2"/>
          </rPr>
          <t>En este espacio se realiza por funcionario de la OAP, las observaciones relevantes resultado de la medición del indicador.</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3B66D77-25E4-4652-A689-9DEDC58A127D}">
      <text>
        <r>
          <rPr>
            <sz val="9"/>
            <color indexed="81"/>
            <rFont val="Tahoma"/>
            <family val="2"/>
          </rPr>
          <t>En este espacio se realiza por funcionario de la OAP, las observaciones relevantes resultado de la medición del indicador.</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4D86368-A05C-460E-96E9-6ED61CF00957}">
      <text>
        <r>
          <rPr>
            <sz val="9"/>
            <color indexed="81"/>
            <rFont val="Tahoma"/>
            <family val="2"/>
          </rPr>
          <t>En este espacio se realiza por funcionario de la OAP, las observaciones relevantes resultado de la medición del indicador.</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99D9BF8-0829-4137-8EC4-5AF787BC5E64}">
      <text>
        <r>
          <rPr>
            <sz val="9"/>
            <color indexed="81"/>
            <rFont val="Tahoma"/>
            <family val="2"/>
          </rPr>
          <t>En este espacio se realiza por funcionario de la OAP, las observaciones relevantes resultado de la medición del indicador.</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A02909A-D8FE-45B3-B602-B38AA961465D}">
      <text>
        <r>
          <rPr>
            <sz val="9"/>
            <color indexed="81"/>
            <rFont val="Tahoma"/>
            <family val="2"/>
          </rPr>
          <t>En este espacio se realiza por funcionario de la OAP, las observaciones relevantes resultado de la medición del indicador.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3605C48-FC2D-4D09-8D50-88A4D615DE8C}">
      <text>
        <r>
          <rPr>
            <sz val="9"/>
            <color indexed="81"/>
            <rFont val="Tahoma"/>
            <family val="2"/>
          </rPr>
          <t>En este espacio se realiza por funcionario de la OAP, las observaciones relevantes resultado de la medición del indicador.</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8402F6D-F163-489F-BA5E-C5268D4ED3A9}">
      <text>
        <r>
          <rPr>
            <sz val="9"/>
            <color indexed="81"/>
            <rFont val="Tahoma"/>
            <family val="2"/>
          </rPr>
          <t>En este espacio se realiza por funcionario de la OAP, las observaciones relevantes resultado de la medición del indicador.</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559B8D1-16ED-45BB-AAA6-A8B3070F173B}">
      <text>
        <r>
          <rPr>
            <sz val="9"/>
            <color indexed="81"/>
            <rFont val="Tahoma"/>
            <family val="2"/>
          </rPr>
          <t>En este espacio se realiza por funcionario de la OAP, las observaciones relevantes resultado de la medición del indicador.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BC6D27F-BCAA-440C-AB65-C2472DF08CD5}">
      <text>
        <r>
          <rPr>
            <sz val="9"/>
            <color indexed="81"/>
            <rFont val="Tahoma"/>
            <family val="2"/>
          </rPr>
          <t>En este espacio se realiza por funcionario de la OAP, las observaciones relevantes resultado de la medición del indicador.</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6904911-83E6-45D1-B776-D5138E343D81}">
      <text>
        <r>
          <rPr>
            <sz val="9"/>
            <color indexed="81"/>
            <rFont val="Tahoma"/>
            <family val="2"/>
          </rPr>
          <t>En este espacio se realiza por funcionario de la OAP, las observaciones relevantes resultado de la medición del indicador.</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C8582BB-E2CB-409B-8D82-5A0999345EDB}">
      <text>
        <r>
          <rPr>
            <sz val="9"/>
            <color indexed="81"/>
            <rFont val="Tahoma"/>
            <family val="2"/>
          </rPr>
          <t>En este espacio se realiza por funcionario de la OAP, las observaciones relevantes resultado de la medición del indicador.</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713F820-5CF8-4E54-A305-94E2B2440713}">
      <text>
        <r>
          <rPr>
            <sz val="9"/>
            <color indexed="81"/>
            <rFont val="Tahoma"/>
            <family val="2"/>
          </rPr>
          <t>En este espacio se realiza por funcionario de la OAP, las observaciones relevantes resultado de la medición del indicador.</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35D38C2-6563-4683-883B-879E5E9CD9F7}">
      <text>
        <r>
          <rPr>
            <sz val="9"/>
            <color indexed="81"/>
            <rFont val="Tahoma"/>
            <family val="2"/>
          </rPr>
          <t>En este espacio se realiza por funcionario de la OAP, las observaciones relevantes resultado de la medición del indicador.</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15ED66C-7605-4B15-9A2E-D396ABFAFDEB}">
      <text>
        <r>
          <rPr>
            <sz val="9"/>
            <color indexed="81"/>
            <rFont val="Tahoma"/>
            <family val="2"/>
          </rPr>
          <t>En este espacio se realiza por funcionario de la OAP, las observaciones relevantes resultado de la medición del indicador.</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A0D68DF-E5B9-4EE6-8E49-2008DD0C313B}">
      <text>
        <r>
          <rPr>
            <sz val="9"/>
            <color indexed="81"/>
            <rFont val="Tahoma"/>
            <family val="2"/>
          </rPr>
          <t>En este espacio se realiza por funcionario de la OAP, las observaciones relevantes resultado de la medición del indicador.</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C500846-654D-4387-8879-6E960374A187}">
      <text>
        <r>
          <rPr>
            <sz val="9"/>
            <color indexed="81"/>
            <rFont val="Tahoma"/>
            <family val="2"/>
          </rPr>
          <t>En este espacio se realiza por funcionario de la OAP, las observaciones relevantes resultado de la medición del indicador.</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9DF515C-8F61-47EA-BCE4-BE0F7C50C1C3}">
      <text>
        <r>
          <rPr>
            <sz val="9"/>
            <color indexed="81"/>
            <rFont val="Tahoma"/>
            <family val="2"/>
          </rPr>
          <t>En este espacio se realiza por funcionario de la OAP, las observaciones relevantes resultado de la medición del indicador.</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454DC4D-145A-46FD-BD46-3A5931F828F5}">
      <text>
        <r>
          <rPr>
            <sz val="9"/>
            <color indexed="81"/>
            <rFont val="Tahoma"/>
            <family val="2"/>
          </rPr>
          <t>En este espacio se realiza por funcionario de la OAP, las observaciones relevantes resultado de la medición del indicador.</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DC3271A-1251-40E9-A078-24E106FAA51D}">
      <text>
        <r>
          <rPr>
            <sz val="9"/>
            <color indexed="81"/>
            <rFont val="Tahoma"/>
            <family val="2"/>
          </rPr>
          <t>En este espacio se realiza por funcionario de la OAP, las observaciones relevantes resultado de la medición del indicador.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EBB205A-7391-44B7-9CD0-266B6005F869}">
      <text>
        <r>
          <rPr>
            <sz val="9"/>
            <color indexed="81"/>
            <rFont val="Tahoma"/>
            <family val="2"/>
          </rPr>
          <t>En este espacio se realiza por funcionario de la OAP, las observaciones relevantes resultado de la medición del indicador.</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8079E44-435E-468E-91BB-C76742F8DB07}">
      <text>
        <r>
          <rPr>
            <sz val="9"/>
            <color indexed="81"/>
            <rFont val="Tahoma"/>
            <family val="2"/>
          </rPr>
          <t>En este espacio se realiza por funcionario de la OAP, las observaciones relevantes resultado de la medición del indicador.</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AF21239-D09A-4091-8E8F-2519D10C2ABC}">
      <text>
        <r>
          <rPr>
            <sz val="9"/>
            <color indexed="81"/>
            <rFont val="Tahoma"/>
            <family val="2"/>
          </rPr>
          <t>En este espacio se realiza por funcionario de la OAP, las observaciones relevantes resultado de la medición del indicador.</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BBDADC4-3C62-4750-A256-D7D035FAE28A}">
      <text>
        <r>
          <rPr>
            <sz val="9"/>
            <color indexed="81"/>
            <rFont val="Tahoma"/>
            <family val="2"/>
          </rPr>
          <t>En este espacio se realiza por funcionario de la OAP, las observaciones relevantes resultado de la medición del indicador.</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C14A9A0-5BAB-439B-934C-7289F40E4611}">
      <text>
        <r>
          <rPr>
            <sz val="9"/>
            <color indexed="81"/>
            <rFont val="Tahoma"/>
            <family val="2"/>
          </rPr>
          <t>En este espacio se realiza por funcionario de la OAP, las observaciones relevantes resultado de la medición del indicador.</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74228E5-9D90-45FA-A2AD-00083F5EDF46}">
      <text>
        <r>
          <rPr>
            <sz val="9"/>
            <color indexed="81"/>
            <rFont val="Tahoma"/>
            <family val="2"/>
          </rPr>
          <t>En este espacio se realiza por funcionario de la OAP, las observaciones relevantes resultado de la medición del indicador.</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A4B770C-B5FA-41F0-AA73-CE73F46505AF}">
      <text>
        <r>
          <rPr>
            <sz val="9"/>
            <color indexed="81"/>
            <rFont val="Tahoma"/>
            <family val="2"/>
          </rPr>
          <t>En este espacio se realiza por funcionario de la OAP, las observaciones relevantes resultado de la medición del indicador.</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C15BA18-FFD0-4D01-A8B7-539EA7CF592C}">
      <text>
        <r>
          <rPr>
            <sz val="9"/>
            <color indexed="81"/>
            <rFont val="Tahoma"/>
            <family val="2"/>
          </rPr>
          <t>En este espacio se realiza por funcionario de la OAP, las observaciones relevantes resultado de la medición del indicador.</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0F660F5-1A03-42CE-9488-3077AFD8938E}">
      <text>
        <r>
          <rPr>
            <sz val="9"/>
            <color indexed="81"/>
            <rFont val="Tahoma"/>
            <family val="2"/>
          </rPr>
          <t>En este espacio se realiza por funcionario de la OAP, las observaciones relevantes resultado de la medición del indicador.</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CF0DFF9-804F-4FF6-83CD-444813FD2018}">
      <text>
        <r>
          <rPr>
            <sz val="9"/>
            <color indexed="81"/>
            <rFont val="Tahoma"/>
            <family val="2"/>
          </rPr>
          <t>En este espacio se realiza por funcionario de la OAP, las observaciones relevantes resultado de la medición del indicador.</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15AD0CAB-E583-41AD-9B85-BF7BEC7F34B9}">
      <text>
        <r>
          <rPr>
            <sz val="9"/>
            <color indexed="81"/>
            <rFont val="Tahoma"/>
            <family val="2"/>
          </rPr>
          <t>En este espacio se realiza por funcionario de la OAP, las observaciones relevantes resultado de la medición del indicador.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CC8D038-4EA7-4C7F-A95E-BFDE25786396}">
      <text>
        <r>
          <rPr>
            <sz val="9"/>
            <color indexed="81"/>
            <rFont val="Tahoma"/>
            <family val="2"/>
          </rPr>
          <t>En este espacio se realiza por funcionario de la OAP, las observaciones relevantes resultado de la medición del indicador.</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B2D2137-478B-4869-9B83-394932F5B9F3}">
      <text>
        <r>
          <rPr>
            <sz val="9"/>
            <color indexed="81"/>
            <rFont val="Tahoma"/>
            <family val="2"/>
          </rPr>
          <t>En este espacio se realiza por funcionario de la OAP, las observaciones relevantes resultado de la medición del indicador.</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AEECB68-DA43-4577-90D1-89B083395724}">
      <text>
        <r>
          <rPr>
            <sz val="9"/>
            <color indexed="81"/>
            <rFont val="Tahoma"/>
            <family val="2"/>
          </rPr>
          <t>En este espacio se realiza por funcionario de la OAP, las observaciones relevantes resultado de la medición del indicador.</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7F37AE9-7B8F-4B2B-83B6-073B19487A15}">
      <text>
        <r>
          <rPr>
            <sz val="9"/>
            <color indexed="81"/>
            <rFont val="Tahoma"/>
            <family val="2"/>
          </rPr>
          <t>En este espacio se realiza por funcionario de la OAP, las observaciones relevantes resultado de la medición del indicador.</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8013E0F-4330-4AA7-A179-86CEEF3C0E3D}">
      <text>
        <r>
          <rPr>
            <sz val="9"/>
            <color indexed="81"/>
            <rFont val="Tahoma"/>
            <family val="2"/>
          </rPr>
          <t>En este espacio se realiza por funcionario de la OAP, las observaciones relevantes resultado de la medición del indicador.</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9CFF537-C1D9-4970-AC5A-DDC4844A24FE}">
      <text>
        <r>
          <rPr>
            <sz val="9"/>
            <color indexed="81"/>
            <rFont val="Tahoma"/>
            <family val="2"/>
          </rPr>
          <t>En este espacio se realiza por funcionario de la OAP, las observaciones relevantes resultado de la medición del indicador.</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E6FDDE3-9EBA-43F2-90F3-7260BFE67A63}">
      <text>
        <r>
          <rPr>
            <sz val="9"/>
            <color indexed="81"/>
            <rFont val="Tahoma"/>
            <family val="2"/>
          </rPr>
          <t>En este espacio se realiza por funcionario de la OAP, las observaciones relevantes resultado de la medición del indicador.</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B63D9BE-11B9-4D23-91D7-C910939F6513}">
      <text>
        <r>
          <rPr>
            <sz val="9"/>
            <color indexed="81"/>
            <rFont val="Tahoma"/>
            <family val="2"/>
          </rPr>
          <t>En este espacio se realiza por funcionario de la OAP, las observaciones relevantes resultado de la medición del indicador.</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B5B3175-FE86-40D8-A40B-6164417FDD5B}">
      <text>
        <r>
          <rPr>
            <sz val="9"/>
            <color indexed="81"/>
            <rFont val="Tahoma"/>
            <family val="2"/>
          </rPr>
          <t>En este espacio se realiza por funcionario de la OAP, las observaciones relevantes resultado de la medición del indicador.</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C5A2E14-8EBE-40E7-8E06-0FD44186461C}">
      <text>
        <r>
          <rPr>
            <sz val="9"/>
            <color indexed="81"/>
            <rFont val="Tahoma"/>
            <family val="2"/>
          </rPr>
          <t>En este espacio se realiza por funcionario de la OAP, las observaciones relevantes resultado de la medición del indicador.</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F688110-A072-4242-AC95-ACD5173D3BB3}">
      <text>
        <r>
          <rPr>
            <sz val="9"/>
            <color indexed="81"/>
            <rFont val="Tahoma"/>
            <family val="2"/>
          </rPr>
          <t>En este espacio se realiza por funcionario de la OAP, las observaciones relevantes resultado de la medición del indicador.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CF115B9-E96A-425F-B243-11A622639B45}">
      <text>
        <r>
          <rPr>
            <sz val="9"/>
            <color indexed="81"/>
            <rFont val="Tahoma"/>
            <family val="2"/>
          </rPr>
          <t>En este espacio se realiza por funcionario de la OAP, las observaciones relevantes resultado de la medición del indicador.</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8BE32FB-43B2-4F82-8887-A5096D4B1441}">
      <text>
        <r>
          <rPr>
            <sz val="9"/>
            <color indexed="81"/>
            <rFont val="Tahoma"/>
            <family val="2"/>
          </rPr>
          <t>En este espacio se realiza por funcionario de la OAP, las observaciones relevantes resultado de la medición del indicador.</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9170A34-5AD4-4895-91BC-411736C651E1}">
      <text>
        <r>
          <rPr>
            <sz val="9"/>
            <color indexed="81"/>
            <rFont val="Tahoma"/>
            <family val="2"/>
          </rPr>
          <t>En este espacio se realiza por funcionario de la OAP, las observaciones relevantes resultado de la medición del indicador.</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73E6DCB-DF86-4BB1-ACF2-62867B632B9C}">
      <text>
        <r>
          <rPr>
            <sz val="9"/>
            <color indexed="81"/>
            <rFont val="Tahoma"/>
            <family val="2"/>
          </rPr>
          <t>En este espacio se realiza por funcionario de la OAP, las observaciones relevantes resultado de la medición del indicador.</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09417B1-033E-4518-A893-F8ECDCDD1D3D}">
      <text>
        <r>
          <rPr>
            <sz val="9"/>
            <color indexed="81"/>
            <rFont val="Tahoma"/>
            <family val="2"/>
          </rPr>
          <t>En este espacio se realiza por funcionario de la OAP, las observaciones relevantes resultado de la medición del indicador.</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D420726-A052-4BD4-9D08-EAA22A05D7D3}">
      <text>
        <r>
          <rPr>
            <sz val="9"/>
            <color indexed="81"/>
            <rFont val="Tahoma"/>
            <family val="2"/>
          </rPr>
          <t>En este espacio se realiza por funcionario de la OAP, las observaciones relevantes resultado de la medición del indicador.</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37D8C10-32D7-4A28-B5A2-F66D12C7B8D1}">
      <text>
        <r>
          <rPr>
            <sz val="9"/>
            <color indexed="81"/>
            <rFont val="Tahoma"/>
            <family val="2"/>
          </rPr>
          <t>En este espacio se realiza por funcionario de la OAP, las observaciones relevantes resultado de la medición del indicador.</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772223EA-C477-4363-BFA4-64FC72B5A787}">
      <text>
        <r>
          <rPr>
            <sz val="9"/>
            <color indexed="81"/>
            <rFont val="Tahoma"/>
            <family val="2"/>
          </rPr>
          <t>En este espacio se realiza por funcionario de la OAP, las observaciones relevantes resultado de la medición del indicador.</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83D2896-7B8B-4A99-BE39-3020F64312AD}">
      <text>
        <r>
          <rPr>
            <sz val="9"/>
            <color indexed="81"/>
            <rFont val="Tahoma"/>
            <family val="2"/>
          </rPr>
          <t>En este espacio se realiza por funcionario de la OAP, las observaciones relevantes resultado de la medición del indicador.</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5C875B5-2EC4-4103-B9E9-69F6B907754E}">
      <text>
        <r>
          <rPr>
            <sz val="9"/>
            <color indexed="81"/>
            <rFont val="Tahoma"/>
            <family val="2"/>
          </rPr>
          <t>En este espacio se realiza por funcionario de la OAP, las observaciones relevantes resultado de la medición del indicador.</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A9262BC-7F0C-4945-B033-6BCB0C20A398}">
      <text>
        <r>
          <rPr>
            <sz val="9"/>
            <color indexed="81"/>
            <rFont val="Tahoma"/>
            <family val="2"/>
          </rPr>
          <t>En este espacio se realiza por funcionario de la OAP, las observaciones relevantes resultado de la medición del indicador.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8EEEA47-1C81-4ED4-8F43-369A9B8F8617}">
      <text>
        <r>
          <rPr>
            <sz val="9"/>
            <color indexed="81"/>
            <rFont val="Tahoma"/>
            <family val="2"/>
          </rPr>
          <t>En este espacio se realiza por funcionario de la OAP, las observaciones relevantes resultado de la medición del indicador.</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B3FEB7AB-9ABB-4326-AA41-A558716EEE05}">
      <text>
        <r>
          <rPr>
            <sz val="9"/>
            <color indexed="81"/>
            <rFont val="Tahoma"/>
            <family val="2"/>
          </rPr>
          <t>En este espacio se realiza por funcionario de la OAP, las observaciones relevantes resultado de la medición del indicador.</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44CE9CB-DFCB-47A3-AD69-8DC25F023127}">
      <text>
        <r>
          <rPr>
            <sz val="9"/>
            <color indexed="81"/>
            <rFont val="Tahoma"/>
            <family val="2"/>
          </rPr>
          <t>En este espacio se realiza por funcionario de la OAP, las observaciones relevantes resultado de la medición del indicador.</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4F4857C-B5AA-409B-8BB4-784C4FD946E5}">
      <text>
        <r>
          <rPr>
            <sz val="9"/>
            <color indexed="81"/>
            <rFont val="Tahoma"/>
            <family val="2"/>
          </rPr>
          <t>En este espacio se realiza por funcionario de la OAP, las observaciones relevantes resultado de la medición del indicador.</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E65AF25-3A07-4CAA-9FC0-249BA9003D6F}">
      <text>
        <r>
          <rPr>
            <sz val="9"/>
            <color indexed="81"/>
            <rFont val="Tahoma"/>
            <family val="2"/>
          </rPr>
          <t>En este espacio se realiza por funcionario de la OAP, las observaciones relevantes resultado de la medición del indicador.</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B9AFDF3-83D8-4FD2-B901-A5A6ED37102F}">
      <text>
        <r>
          <rPr>
            <sz val="9"/>
            <color indexed="81"/>
            <rFont val="Tahoma"/>
            <family val="2"/>
          </rPr>
          <t>En este espacio se realiza por funcionario de la OAP, las observaciones relevantes resultado de la medición del indicador.</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0D51E5E-39AA-46AF-A7BA-C1F5A1D69460}">
      <text>
        <r>
          <rPr>
            <sz val="9"/>
            <color indexed="81"/>
            <rFont val="Tahoma"/>
            <family val="2"/>
          </rPr>
          <t>En este espacio se realiza por funcionario de la OAP, las observaciones relevantes resultado de la medición del indicador.</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9DBD74C-F914-4D6D-BEE3-CAD5F8DCD1BC}">
      <text>
        <r>
          <rPr>
            <sz val="9"/>
            <color indexed="81"/>
            <rFont val="Tahoma"/>
            <family val="2"/>
          </rPr>
          <t>En este espacio se realiza por funcionario de la OAP, las observaciones relevantes resultado de la medición del indicador.</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A139FA4-BD9A-4DBC-AD16-4675E3F69081}">
      <text>
        <r>
          <rPr>
            <sz val="9"/>
            <color indexed="81"/>
            <rFont val="Tahoma"/>
            <family val="2"/>
          </rPr>
          <t>En este espacio se realiza por funcionario de la OAP, las observaciones relevantes resultado de la medición del indicador.</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B161FAB-FBF0-46D6-A895-24592B593124}">
      <text>
        <r>
          <rPr>
            <sz val="9"/>
            <color indexed="81"/>
            <rFont val="Tahoma"/>
            <family val="2"/>
          </rPr>
          <t>En este espacio se realiza por funcionario de la OAP, las observaciones relevantes resultado de la medición del indicador.</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61FCA88-982C-49D3-9484-380FF64F9830}">
      <text>
        <r>
          <rPr>
            <sz val="9"/>
            <color indexed="81"/>
            <rFont val="Tahoma"/>
            <family val="2"/>
          </rPr>
          <t>En este espacio se realiza por funcionario de la OAP, las observaciones relevantes resultado de la medición del indicador.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C5AE9E29-9BCE-4352-88FB-A3AD2782D8C6}">
      <text>
        <r>
          <rPr>
            <sz val="9"/>
            <color indexed="81"/>
            <rFont val="Tahoma"/>
            <family val="2"/>
          </rPr>
          <t>En este espacio se realiza por funcionario de la OAP, las observaciones relevantes resultado de la medición del indicador.</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D8FCAC7-7AA7-4938-92AF-569A324B3620}">
      <text>
        <r>
          <rPr>
            <sz val="9"/>
            <color indexed="81"/>
            <rFont val="Tahoma"/>
            <family val="2"/>
          </rPr>
          <t>En este espacio se realiza por funcionario de la OAP, las observaciones relevantes resultado de la medición del indicador.</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9927A8B-A1B9-4645-8557-03080341B40E}">
      <text>
        <r>
          <rPr>
            <sz val="9"/>
            <color indexed="81"/>
            <rFont val="Tahoma"/>
            <family val="2"/>
          </rPr>
          <t>En este espacio se realiza por funcionario de la OAP, las observaciones relevantes resultado de la medición del indicador.</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E1D94E48-B7C1-490C-BDB8-0A3015419E43}">
      <text>
        <r>
          <rPr>
            <sz val="9"/>
            <color indexed="81"/>
            <rFont val="Tahoma"/>
            <family val="2"/>
          </rPr>
          <t>En este espacio se realiza por funcionario de la OAP, las observaciones relevantes resultado de la medición del indicador.</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4493195D-2249-433A-8809-AD7E8D7F50AD}">
      <text>
        <r>
          <rPr>
            <sz val="9"/>
            <color indexed="81"/>
            <rFont val="Tahoma"/>
            <family val="2"/>
          </rPr>
          <t>En este espacio se realiza por funcionario de la OAP, las observaciones relevantes resultado de la medición del indicador.</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5C333BD-B515-4EA7-A077-22FFDA4930F7}">
      <text>
        <r>
          <rPr>
            <sz val="9"/>
            <color indexed="81"/>
            <rFont val="Tahoma"/>
            <family val="2"/>
          </rPr>
          <t>En este espacio se realiza por funcionario de la OAP, las observaciones relevantes resultado de la medición del indicador.</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9E62F44-6A60-4176-81AA-8D7DAC3A4B19}">
      <text>
        <r>
          <rPr>
            <sz val="9"/>
            <color indexed="81"/>
            <rFont val="Tahoma"/>
            <family val="2"/>
          </rPr>
          <t>En este espacio se realiza por funcionario de la OAP, las observaciones relevantes resultado de la medición del indicador.</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6977FE0F-BF34-4CEB-A956-E354E79FE60D}">
      <text>
        <r>
          <rPr>
            <sz val="9"/>
            <color indexed="81"/>
            <rFont val="Tahoma"/>
            <family val="2"/>
          </rPr>
          <t>En este espacio se realiza por funcionario de la OAP, las observaciones relevantes resultado de la medición del indicador.</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49C9604-BD64-4ED1-AE30-73E49C49B3FD}">
      <text>
        <r>
          <rPr>
            <sz val="9"/>
            <color indexed="81"/>
            <rFont val="Tahoma"/>
            <family val="2"/>
          </rPr>
          <t>En este espacio se realiza por funcionario de la OAP, las observaciones relevantes resultado de la medición del indicador.</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434F249-E44D-420C-B653-179B06B67305}">
      <text>
        <r>
          <rPr>
            <sz val="9"/>
            <color indexed="81"/>
            <rFont val="Tahoma"/>
            <family val="2"/>
          </rPr>
          <t>En este espacio se realiza por funcionario de la OAP, las observaciones relevantes resultado de la medición del indicador.</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B51D39B-4ECE-4BBE-BF7D-E4D76B123832}">
      <text>
        <r>
          <rPr>
            <sz val="9"/>
            <color indexed="81"/>
            <rFont val="Tahoma"/>
            <family val="2"/>
          </rPr>
          <t>En este espacio se realiza por funcionario de la OAP, las observaciones relevantes resultado de la medición del indicador.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D972A0A2-86A5-4125-871A-5841EAB520E2}">
      <text>
        <r>
          <rPr>
            <sz val="9"/>
            <color indexed="81"/>
            <rFont val="Tahoma"/>
            <family val="2"/>
          </rPr>
          <t>En este espacio se realiza por funcionario de la OAP, las observaciones relevantes resultado de la medición del indicador.</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3160963D-B2F9-40F8-A50C-BB827C8CD43D}">
      <text>
        <r>
          <rPr>
            <sz val="9"/>
            <color indexed="81"/>
            <rFont val="Tahoma"/>
            <family val="2"/>
          </rPr>
          <t>En este espacio se realiza por funcionario de la OAP, las observaciones relevantes resultado de la medición del indicador.</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8B9F6E34-36DE-4D9F-BB89-FFB43AF8951B}">
      <text>
        <r>
          <rPr>
            <sz val="9"/>
            <color indexed="81"/>
            <rFont val="Tahoma"/>
            <family val="2"/>
          </rPr>
          <t>En este espacio se realiza por funcionario de la OAP, las observaciones relevantes resultado de la medición del indicador.</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951416A2-7671-48E7-91A0-D20311E5C7D1}">
      <text>
        <r>
          <rPr>
            <sz val="9"/>
            <color indexed="81"/>
            <rFont val="Tahoma"/>
            <family val="2"/>
          </rPr>
          <t>En este espacio se realiza por funcionario de la OAP, las observaciones relevantes resultado de la medición del indicador.</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AFE2AEE1-4199-46EE-9CDF-D26DBDB540C3}">
      <text>
        <r>
          <rPr>
            <sz val="9"/>
            <color indexed="81"/>
            <rFont val="Tahoma"/>
            <family val="2"/>
          </rPr>
          <t>En este espacio se realiza por funcionario de la OAP, las observaciones relevantes resultado de la medición del indicador.</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24874108-7D7A-4BBC-A1B6-774DC344BF37}">
      <text>
        <r>
          <rPr>
            <sz val="9"/>
            <color indexed="81"/>
            <rFont val="Tahoma"/>
            <family val="2"/>
          </rPr>
          <t>En este espacio se realiza por funcionario de la OAP, las observaciones relevantes resultado de la medición del indicador.</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ABB65B4-B415-4F40-B1DD-CECA9300B439}">
      <text>
        <r>
          <rPr>
            <sz val="9"/>
            <color indexed="81"/>
            <rFont val="Tahoma"/>
            <family val="2"/>
          </rPr>
          <t>En este espacio se realiza por funcionario de la OAP, las observaciones relevantes resultado de la medición del indicador.</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0BDFA307-2210-4547-A214-E86B911E99B5}">
      <text>
        <r>
          <rPr>
            <sz val="9"/>
            <color indexed="81"/>
            <rFont val="Tahoma"/>
            <family val="2"/>
          </rPr>
          <t>En este espacio se realiza por funcionario de la OAP, las observaciones relevantes resultado de la medición del indicador.</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C686736-9D50-447A-8304-2A854ACBFC2E}">
      <text>
        <r>
          <rPr>
            <sz val="9"/>
            <color indexed="81"/>
            <rFont val="Tahoma"/>
            <family val="2"/>
          </rPr>
          <t>En este espacio se realiza por funcionario de la OAP, las observaciones relevantes resultado de la medición del indicador.</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500C14D7-00EF-48A5-BC55-A44B9CC1E37F}">
      <text>
        <r>
          <rPr>
            <sz val="9"/>
            <color indexed="81"/>
            <rFont val="Tahoma"/>
            <family val="2"/>
          </rPr>
          <t>En este espacio se realiza por funcionario de la OAP, las observaciones relevantes resultado de la medición del indicador.</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Andrea del Pilar Lopez</author>
  </authors>
  <commentList>
    <comment ref="A64" authorId="0" shapeId="0" xr:uid="{FDEBA9A0-F264-4063-8FE0-A76A56F3DB6D}">
      <text>
        <r>
          <rPr>
            <sz val="9"/>
            <color indexed="81"/>
            <rFont val="Tahoma"/>
            <family val="2"/>
          </rPr>
          <t>En este espacio se realiza por funcionario de la OAP, las observaciones relevantes resultado de la medición del indicador.</t>
        </r>
      </text>
    </comment>
  </commentList>
</comments>
</file>

<file path=xl/sharedStrings.xml><?xml version="1.0" encoding="utf-8"?>
<sst xmlns="http://schemas.openxmlformats.org/spreadsheetml/2006/main" count="28352" uniqueCount="3564">
  <si>
    <t>PROCESO</t>
  </si>
  <si>
    <t xml:space="preserve">FORMULACIÓN, IMPLEMENTACIÓN Y EVALUACIÓN DE PLANES Y PROGRAMAS </t>
  </si>
  <si>
    <t>CÓDIGO</t>
  </si>
  <si>
    <t>PIFT12</t>
  </si>
  <si>
    <t>FORMATO</t>
  </si>
  <si>
    <t>HOJA DE VIDA DEL INDICADOR</t>
  </si>
  <si>
    <t>VERSIÓN</t>
  </si>
  <si>
    <t>&lt;PROC_PROCESO&gt;</t>
  </si>
  <si>
    <t>NOMBRE DEL INDICADOR</t>
  </si>
  <si>
    <t>&lt;IND_NOMBRE&gt;</t>
  </si>
  <si>
    <t>OBJETIVO DEL PROCESO</t>
  </si>
  <si>
    <t>ACTIVIDAD PAG</t>
  </si>
  <si>
    <t xml:space="preserve">
FÓRMULA DEL INDICADOR
</t>
  </si>
  <si>
    <t>A- VARIABLE 1</t>
  </si>
  <si>
    <t>DESCRIPCIÓN DEL INDICADOR</t>
  </si>
  <si>
    <t>DATOS DEL INIDICADOR</t>
  </si>
  <si>
    <t>&lt;IND_FOR_VAR1&gt;</t>
  </si>
  <si>
    <t>&lt;IND_DESC&gt;</t>
  </si>
  <si>
    <t>NATURALEZA DEL INDICADOR</t>
  </si>
  <si>
    <t xml:space="preserve">CÓDIGO DEL INDICADOR </t>
  </si>
  <si>
    <t>VERSIÓN DEL INDICADOR</t>
  </si>
  <si>
    <t>B- VARIABLE 2</t>
  </si>
  <si>
    <t>&lt;IND_FOR_VAR2&gt;</t>
  </si>
  <si>
    <t>&lt;IND_TIPO&gt;</t>
  </si>
  <si>
    <t>&lt;IND_COD&gt;</t>
  </si>
  <si>
    <t>&lt;IND_VS&gt;</t>
  </si>
  <si>
    <t xml:space="preserve">INFORMACIÓN PARA LA MEDICIÓN DEL INDICADOR </t>
  </si>
  <si>
    <t>UNIDAD DE MEDIDA</t>
  </si>
  <si>
    <t>META VIGENCIA</t>
  </si>
  <si>
    <t>META - RANGO</t>
  </si>
  <si>
    <t>PERIODICIDAD</t>
  </si>
  <si>
    <t>RANGOS</t>
  </si>
  <si>
    <t>RESPONSABLE DE MEDICIÓN Y ANÁLISIS</t>
  </si>
  <si>
    <t>&lt;IND_UMED&gt;</t>
  </si>
  <si>
    <t>&lt;META_VIG&gt;</t>
  </si>
  <si>
    <t>&lt;RANGO_MET&gt;</t>
  </si>
  <si>
    <t>&lt;IND_PERIODO&gt;</t>
  </si>
  <si>
    <t>BUENO</t>
  </si>
  <si>
    <t>&lt;RANGO_BUENO&gt;</t>
  </si>
  <si>
    <t>&lt;DEPENDENCIA&gt;</t>
  </si>
  <si>
    <t>REGULAR</t>
  </si>
  <si>
    <t>&lt;RANGO_REG&gt;</t>
  </si>
  <si>
    <t>MALO</t>
  </si>
  <si>
    <t>&lt;RANGO_MAL&gt;</t>
  </si>
  <si>
    <t>FÓRMULAS DE CÁLCULOS</t>
  </si>
  <si>
    <t>Compuesto 
(A/B)*100</t>
  </si>
  <si>
    <t>Simple
Númerico</t>
  </si>
  <si>
    <r>
      <t xml:space="preserve">Indice
</t>
    </r>
    <r>
      <rPr>
        <b/>
        <sz val="10"/>
        <color rgb="FF00000A"/>
        <rFont val="Arial1"/>
      </rPr>
      <t>Variable1 + Variable2 + Variable3.</t>
    </r>
    <r>
      <rPr>
        <b/>
        <sz val="11"/>
        <color indexed="18"/>
        <rFont val="Arial1"/>
      </rPr>
      <t>.</t>
    </r>
  </si>
  <si>
    <t>COMPORTAMIENTO INDICADOR</t>
  </si>
  <si>
    <t>Meses</t>
  </si>
  <si>
    <t>ENE</t>
  </si>
  <si>
    <t>FEB</t>
  </si>
  <si>
    <t>MAR</t>
  </si>
  <si>
    <t>ABR</t>
  </si>
  <si>
    <t>MAY</t>
  </si>
  <si>
    <t>JUN</t>
  </si>
  <si>
    <t>JUL</t>
  </si>
  <si>
    <t>AGO</t>
  </si>
  <si>
    <t>SEP</t>
  </si>
  <si>
    <t>OCT</t>
  </si>
  <si>
    <t>NOV</t>
  </si>
  <si>
    <t>DIC</t>
  </si>
  <si>
    <t>TOTAL</t>
  </si>
  <si>
    <t>Dato Numerador</t>
  </si>
  <si>
    <t>&lt;VAL_ENE_Num&gt;</t>
  </si>
  <si>
    <t>&lt;VAL_FEB_Num&gt;</t>
  </si>
  <si>
    <t>&lt;VAL_MAR_Num&gt;</t>
  </si>
  <si>
    <t>&lt;VAL_ABR_Num&gt;</t>
  </si>
  <si>
    <t>&lt;VAL_MAY_Num&gt;</t>
  </si>
  <si>
    <t>&lt;VAL_JUN_Num&gt;</t>
  </si>
  <si>
    <t>&lt;VAL_JUL_Num&gt;</t>
  </si>
  <si>
    <t>&lt;VAL_AGO_Num&gt;</t>
  </si>
  <si>
    <t>&lt;VAL_SEP_Num&gt;</t>
  </si>
  <si>
    <t>&lt;VAL_OCT_Num&gt;</t>
  </si>
  <si>
    <t>&lt;VAL_NOV_Num&gt;</t>
  </si>
  <si>
    <t>&lt;VAL_DIC_Num&gt;</t>
  </si>
  <si>
    <t>Dato Denominador</t>
  </si>
  <si>
    <t>&lt;VAL_ENE_Den&gt;</t>
  </si>
  <si>
    <t>&lt;VAL_FEB_Den&gt;</t>
  </si>
  <si>
    <t>&lt;VAL_MAR_Den&gt;</t>
  </si>
  <si>
    <t>&lt;VAL_ABR_Den&gt;</t>
  </si>
  <si>
    <t>&lt;VAL_MAY_Den&gt;</t>
  </si>
  <si>
    <t>&lt;VAL_JUN_Den&gt;</t>
  </si>
  <si>
    <t>&lt;VAL_JUL_Den&gt;</t>
  </si>
  <si>
    <t>&lt;VAL_AGO_Den&gt;</t>
  </si>
  <si>
    <t>&lt;VAL_SEP_Den&gt;</t>
  </si>
  <si>
    <t>&lt;VAL_OCT_Den&gt;</t>
  </si>
  <si>
    <t>&lt;VAL_NOV_Den&gt;</t>
  </si>
  <si>
    <t>&lt;VAL_DIC_Den&gt;</t>
  </si>
  <si>
    <t>MEDICIÓN</t>
  </si>
  <si>
    <t>Periodo</t>
  </si>
  <si>
    <t>Datos</t>
  </si>
  <si>
    <t>Meta Vigencia</t>
  </si>
  <si>
    <t>Meta - Rango</t>
  </si>
  <si>
    <t>Ene</t>
  </si>
  <si>
    <t>Feb</t>
  </si>
  <si>
    <t>Mar</t>
  </si>
  <si>
    <t>Abr</t>
  </si>
  <si>
    <t>May</t>
  </si>
  <si>
    <t>Jun</t>
  </si>
  <si>
    <t>Jul</t>
  </si>
  <si>
    <t>Ago</t>
  </si>
  <si>
    <t>Sep</t>
  </si>
  <si>
    <t>Oct</t>
  </si>
  <si>
    <t>Nov</t>
  </si>
  <si>
    <t>Dic</t>
  </si>
  <si>
    <t>Total</t>
  </si>
  <si>
    <t>Análisis/Interpretación de Resultados del Indicador Vigencia 2021</t>
  </si>
  <si>
    <t>ENERO:</t>
  </si>
  <si>
    <t>FEBRERO:</t>
  </si>
  <si>
    <t>MARZO:</t>
  </si>
  <si>
    <t>ABRIL:</t>
  </si>
  <si>
    <t>MAYO:</t>
  </si>
  <si>
    <t>JUNIO:</t>
  </si>
  <si>
    <t>JULIO:</t>
  </si>
  <si>
    <t>AGOSTO:</t>
  </si>
  <si>
    <t>SEPTIEMBRE:</t>
  </si>
  <si>
    <t>OCTUBRE:</t>
  </si>
  <si>
    <t>NOVIEMBRE:</t>
  </si>
  <si>
    <t>DICIEMBRE:</t>
  </si>
  <si>
    <t>&lt;DESC_DIC&gt;</t>
  </si>
  <si>
    <t>Dependencia</t>
  </si>
  <si>
    <t>Mes</t>
  </si>
  <si>
    <t>Indicador</t>
  </si>
  <si>
    <t>Actividad</t>
  </si>
  <si>
    <t>Nombre Indicador</t>
  </si>
  <si>
    <t>Formula Indicador</t>
  </si>
  <si>
    <t>Unidad de medida</t>
  </si>
  <si>
    <t>Meta parcial</t>
  </si>
  <si>
    <t>Numerador</t>
  </si>
  <si>
    <t>Denominador</t>
  </si>
  <si>
    <t>Valor Calculado Indicador</t>
  </si>
  <si>
    <t>Análisis Indicador</t>
  </si>
  <si>
    <t>URL</t>
  </si>
  <si>
    <t>Evidencia URL</t>
  </si>
  <si>
    <t>Año</t>
  </si>
  <si>
    <t>Tipo de elemento</t>
  </si>
  <si>
    <t>Ruta de acceso</t>
  </si>
  <si>
    <t>ENERO</t>
  </si>
  <si>
    <t>FEBRERO</t>
  </si>
  <si>
    <t>MARZO</t>
  </si>
  <si>
    <t>ABRIL</t>
  </si>
  <si>
    <t>MAYO</t>
  </si>
  <si>
    <t>JUNIO</t>
  </si>
  <si>
    <t>JULIO</t>
  </si>
  <si>
    <t>AGOSTO</t>
  </si>
  <si>
    <t>SEPTIEMBRE</t>
  </si>
  <si>
    <t>OCTUBRE</t>
  </si>
  <si>
    <t>NOVIEMBRE</t>
  </si>
  <si>
    <t>DICIEMBRE</t>
  </si>
  <si>
    <t>Proteger los derechos y reconocer las obligaciones y deberes de los distintos actores participantes en el sector salud, a través de las funciones jurisdiccionales y de conciliación.</t>
  </si>
  <si>
    <t>Paz, justicia e instituciones solidas</t>
  </si>
  <si>
    <t>Delegatura Función Jurisdiccional y de Conciliación</t>
  </si>
  <si>
    <t>JC05</t>
  </si>
  <si>
    <t>Conocer y gestionar los procesos jurisdiccionales de asuntos relacionados con Glosas y Devoluciones</t>
  </si>
  <si>
    <t>Providencias Jurisdiccionales de Glosas y Devoluciones gestionados</t>
  </si>
  <si>
    <t>Número de autos y sentencias Jurisdiccionales de Glosas y Recobros gestionados en el periodo de reporte</t>
  </si>
  <si>
    <t>Numérica</t>
  </si>
  <si>
    <t xml:space="preserve">​El indicador es numerico , el area correspondiente participó en un trabajo de plan de choque de la Delegada para apoyar a las demas areas a debido a la alta solicitud de estudios de demanda , y su colaboración consistió en la utilizacion de recurso humano de abogados y personal tecnico en la realizacion de estudios de demandas y sus fallos , en particular el apoyo se presta al area de coberturas. Se logra el objetivo si alterar la funcionalidad en cuanto a resultados positivos
</t>
  </si>
  <si>
    <t>Elemento</t>
  </si>
  <si>
    <t>sites/PlanAnualdeGestin/Lists/REPORTE SEGUIMIENTO PAG</t>
  </si>
  <si>
    <t>Suma de Numerador</t>
  </si>
  <si>
    <t>Etiquetas de columna</t>
  </si>
  <si>
    <t>Suma de Denominador</t>
  </si>
  <si>
    <t>Arrastrar la formula una vez se tenga el periodo medido</t>
  </si>
  <si>
    <t>JC06</t>
  </si>
  <si>
    <t>Conocer y gestionar los procesos jurisdiccionales de asuntos relacionados con Reconocimiento Económico</t>
  </si>
  <si>
    <t>Procesos Jurisdiccionales de reconocimiento economico gestionados</t>
  </si>
  <si>
    <t>Número de procesos Jurisdiccionales de Reconocimiento Económico gestionados.</t>
  </si>
  <si>
    <t xml:space="preserve">​Se cumplen la meta del indicador ; y aun asi,  el area presto apoyo con recurso humano de abogados en el plan de choque realizado por la delegada para favorecer  las solicitudes represadas por cobertura de la misma Delegada y dar oportuna atencion a la ciudadania y otros actores del SGSSS. 
</t>
  </si>
  <si>
    <t>Etiquetas de fila</t>
  </si>
  <si>
    <t>Total general</t>
  </si>
  <si>
    <t>NUMERADOR</t>
  </si>
  <si>
    <t>DENOMINADOR</t>
  </si>
  <si>
    <t>JC03</t>
  </si>
  <si>
    <t>Realizar las audiencias de conciliación admitidas de la red pública y privada como actores del SGSS propendiendo por el animo conciliatorio</t>
  </si>
  <si>
    <t>Porcentaje de Audiencias de Conciliación de la función de conciliación</t>
  </si>
  <si>
    <t>Número de audiencias de conciliación realizadas en el período / Total de solicitudes de conciliación a petición de parte admitidas</t>
  </si>
  <si>
    <t>Porcentual</t>
  </si>
  <si>
    <t xml:space="preserve">​Se cumplieron con las Audiencias de acuerdo a las solicitudes de peticion admitidas 
</t>
  </si>
  <si>
    <t>AC04</t>
  </si>
  <si>
    <t>CODIGO</t>
  </si>
  <si>
    <t>AC05</t>
  </si>
  <si>
    <t>JC04</t>
  </si>
  <si>
    <t>Realizar seguimiento al cumplimiento de los acuerdos de conciliación suscritos ante la Delegada que sean exigibles, y reportar su incumplimiento a la Delegada competente.</t>
  </si>
  <si>
    <t>Porcentaje de acuerdos de conciliación con seguimiento que sean exigibles</t>
  </si>
  <si>
    <t>Número de acuerdos conciliatorios con seguimientos realizados / Número de acuerdos conciliatorios suscritos que sean exigibles</t>
  </si>
  <si>
    <t xml:space="preserve">​El cumplimiento de acuerdos conciliatorios con seguimientos realizados correspondientes a los acuerdos suscritos exigibles , se realizaron en su totalidad.
</t>
  </si>
  <si>
    <t>AC06</t>
  </si>
  <si>
    <t>Consolidar la Superintendencia Nacional de Salud como un organismo técnico, rector del sistema de vigilancia, inspección y control.</t>
  </si>
  <si>
    <t>Secretaria General</t>
  </si>
  <si>
    <t>DI18</t>
  </si>
  <si>
    <t>Notificar los actos administrativos producidos por la Entidad</t>
  </si>
  <si>
    <t>Porcentaje de actos administrativos con actuaciones de notificación</t>
  </si>
  <si>
    <t>Total de actos administrativos de notificación o comunicación gestionados en el periodo/ Total de actos administrativos recibidos para notificar o comunicar en el periodo</t>
  </si>
  <si>
    <t xml:space="preserve">Al corte del 31 de marzo de 2025 en la entidad se expidieron 1927 resoluciones las cuales ingresaron en su totalidad al Grupo de Gestion de Notificaciones y Comunicaciones, se gestionaron 1869, dejando en trámite 52 actos administrativos en su gran mayoría expedidos en los últimos días del mes y los cuales por distintos tramites se encuentra en gestion al corte del mes de este reporte. 
</t>
  </si>
  <si>
    <t>AC07</t>
  </si>
  <si>
    <t>Promover el mejoramiento de la calidad en la atención en salud.</t>
  </si>
  <si>
    <t>Salud y bienestar</t>
  </si>
  <si>
    <t>Delegatura Prestadores de Servicios en Salud</t>
  </si>
  <si>
    <t>AT02</t>
  </si>
  <si>
    <t>Realizar auditorías a los Prestadores de Servicios en Salud (PSS) para verificar el cumplimiento de las normas que regulan el Sistema de Salud y la gestión de los riesgos inherentes del sistema.</t>
  </si>
  <si>
    <t>Auditorías realizadas a los Prestadores de Servicios en Salud (PSS) en cumplimiento del Programa Anual de Auditoría de la Delegada</t>
  </si>
  <si>
    <t>Número de auditorías realizadas a los Prestadores de Servicios en Salud (PSS)</t>
  </si>
  <si>
    <t>AT03</t>
  </si>
  <si>
    <t>Realizar análisis a los Planes de Mejoramiento suscritos por los Prestadores de Servicios de Salud durante el periodo de evaluación.</t>
  </si>
  <si>
    <t>Porcentaje de Planes de Mejoramiento evaluados</t>
  </si>
  <si>
    <t>Número de Planes de Mejoramiento evaluados al corte / Número de Planes de Mejoramiento gestionados en el periodo</t>
  </si>
  <si>
    <t xml:space="preserve">​La Dirección de Inspección y Vigilancia para los Prestadores de Servicios de Salud recibió diecinueve (19) planes de mejoramiento para primera revisión, treinta y uno (31) para segunda y treinta y ocho (38) soportes de ejecución para evaluación de cumplimiento de los planes. La totalidad de los planes de mejoramiento y soportes de ejecución fueron evaluados y analizados por esta dirección durante el primer semestre de 2025.
</t>
  </si>
  <si>
    <t>CT23</t>
  </si>
  <si>
    <t>Realizar seguimiento en campo a las ESE bajo medida con el fin de hacer seguimiento a la gestión de agentes interventores, contralores, gerentes y revisores fiscales</t>
  </si>
  <si>
    <t>Porcentaje de cumplimiento de seguimientos en campo a ESE bajo medida</t>
  </si>
  <si>
    <t>Numero de seguimientos en campo realizados a los Prestadores de Servicios de Salud (PSS) bajo acción o medida especial / Total de seguimientos programados a ESE bajo medida</t>
  </si>
  <si>
    <t xml:space="preserve">​La Dirección de Medidas Especiales para Prestadores de Servicios de Salud adelanto 2 seguimientos en campo para el primer trimestre 2025, de acuerdo a la priorización y necesidades de las Entidades en medida especial.
</t>
  </si>
  <si>
    <t>AT04</t>
  </si>
  <si>
    <t>Fortalecer la capacidad institucional de la Superintendencia Nacional de Salud</t>
  </si>
  <si>
    <t>GF07</t>
  </si>
  <si>
    <t>Calcular el porcentaje de pagos realizados en los tiempos establecidos en la circular vigente.</t>
  </si>
  <si>
    <t>Porcentaje en la oportunidad en la gestión de pagos.</t>
  </si>
  <si>
    <t>Número de cuentas gestionadas en termino igual o menor a 5 días / Numero de cuentas recibidas para pago en el mes</t>
  </si>
  <si>
    <t xml:space="preserve">​Durante el mes de Enero, se gestionaron  42 cuentas que fueron radicadas en los tiempos estipulados de acuerdo con la Circular Interna 2022920020000026-4 de 2022,asi mismo, los documentos radicados despues del dia 25 calendario se tramitaron en el siguiente mes. Por lo cual, se cumplió con la meta del indicador del 100%, (42/42) habiendo gestionado la totalidad de las cuentas radicadas con un tiempo de gestión de 1,1 dias hábiles. Se adjunta base con relación de cuentas radicadas y gestionadas, asi como el reporte del indicador con la correspondiente gráfica.
</t>
  </si>
  <si>
    <t>AT05</t>
  </si>
  <si>
    <t>Durante el mes de Febrero, se gestionaron  129 cuentas que fueron radicadas en los tiempos estipulados de acuerdo con la Circular Interna 2022920020000026-4 de 2022,asi mismo, los documentos radicados despues del dia 25 calendario se tramitaron en el siguiente mes. Por lo cual, se cumplió con la meta del indicador del 100%, (129/129) habiendo gestionado la totalidad de las cuentas radicadas con un tiempo de gestión de 1,6 dias hábiles. Se adjunta base con relación de cuentas radicadas y gestionadas, asi como el reporte del indicador con la correspondiente gráfica.</t>
  </si>
  <si>
    <t>AT09</t>
  </si>
  <si>
    <t>Durante el mes de Marzo, se gestionaron  122 cuentas que fueron radicadas en los tiempos estipulados de acuerdo con la Circular Interna 2022920020000026-4 de 2022,asi mismo, los documentos radicados despues del dia 25 calendario se tramitaron en el siguiente mes. Por lo cual, se cumplió con la meta del indicador del 100%, (122/122) habiendo gestionado la totalidad de las cuentas radicadas con un tiempo de gestión de 1,5 dias hábiles. Se adjunta base con relación de cuentas radicadas y gestionadas, asi como el reporte del indicador con la correspondiente gráfica.</t>
  </si>
  <si>
    <t>AT11</t>
  </si>
  <si>
    <t>GF01</t>
  </si>
  <si>
    <t>Ejecutar cronograma de actividades para la implementación y sostenibilidad de la política Gestión Presupuestal y Eficiencia del Gasto Público</t>
  </si>
  <si>
    <t>Ejecución de cronograma de actividades para la implementación y sostenibilidad de la política Gestión Presupuestal y Eficiencia del Gasto Público</t>
  </si>
  <si>
    <t>Número de actividades ejecutadas para la implementación y sostenibilidad de la política Gestión Presupuestal y Eficiencia del Gasto Público</t>
  </si>
  <si>
    <t>AT12</t>
  </si>
  <si>
    <t>GF02</t>
  </si>
  <si>
    <t>Medir y reportar la ejecución total del presupuesto en compromisos.</t>
  </si>
  <si>
    <t>Ejecución total del presupuesto en Compromisos</t>
  </si>
  <si>
    <t>(Compromisos total / Apropiación total final)*100</t>
  </si>
  <si>
    <t xml:space="preserve"> La apropiación asignada a la Superintendencia Nacional de Salud (SNS) para la vigencia 2025 ascendió a $326.211.744.691. De este total, se ejecutaron compromisos por la suma de $96.859.043.620, lo que representa el 29,7% de la apropiación. Este resultado es mayor al 20% al programado en los indicadores de gestión, significa que se cumple a satisfacción el indicador.
En cuanto a la ejecución presupuestal de los recursos de funcionamiento e inversión, se presenta lo siguiente:
• Recursos de funcionamiento: $67.687.413.848,64, lo que representa el 28,3% de la apropiación vigente de $239.012.900.000.
• Recursos de inversión: $29.171.629.771,44, equivalente al 33,5% de la apropiación vigente de $87.198.844.691
Es importante resaltar que la ejecución por obligaciones alcanzó los $49.670.956.864,92 lo que representa el 15,2%, y la ejecución por pagos fue de $49.626.084.256,92 equivalente al 15,2%.
</t>
  </si>
  <si>
    <t>BS01</t>
  </si>
  <si>
    <t>Industria, innovación e infraestructura</t>
  </si>
  <si>
    <t>Dirección de Innovación y Desarrollo</t>
  </si>
  <si>
    <t>DE10</t>
  </si>
  <si>
    <t>Ejecutar cronograma de actividades diseñado para fortalecer sistema de Gestión de Innovación de la Superintendencia Nacional de Salud</t>
  </si>
  <si>
    <t>Porcentaje de implementación del Sistema de Gestión de Innovación</t>
  </si>
  <si>
    <t>Número de actividades ejecutadas para el fortalecimiento del Sistema de Gestión de Innovación de la Superintendencia Nacional de Salud / Número de actividades definidas para el fortalecimiento del Sistema de Gestión de Innovación de la Superintendencia Nacional de Salud * 100</t>
  </si>
  <si>
    <t>https://supersalud-my.sharepoint.com/:f:/g/personal/gerson_ruiz_supersalud_gov_co/EndBH3v5g11NuT6YdBqFiTQBRgag_0GhQoHgyd5nHTdsnA?e=UhwEyl</t>
  </si>
  <si>
    <t>BS04</t>
  </si>
  <si>
    <t>DI36</t>
  </si>
  <si>
    <t>Ejecutar acciones orientadas al desarrollo de la Política de Gestión de la Información Estadística para la SNS</t>
  </si>
  <si>
    <t>Porcentaje de hitos ejecutados para el desarrollo de la Política de Gestión de la Información Estadística</t>
  </si>
  <si>
    <t>Número de hitos ejecutados para la Gestión de la Información Estadística / Número de hitos definidos en la vigencia 2025 para Gestión de la Información Estadística * 100</t>
  </si>
  <si>
    <t xml:space="preserve">​Se procede con el cargue de evidencias frente a la política de Gestión de Información Estadística, es decir, flujo de actividades versión 1, modelo institucional para el desarrollo de producción estadística, manual para el desarrollo del plan estadístico versión en construcción, que dan cuenta de los avances.
</t>
  </si>
  <si>
    <t>https://supersalud-my.sharepoint.com/:f:/g/personal/gerson_ruiz_supersalud_gov_co/EnSqhTq7pNVCrS8vROY56AEB7op53bXN1D9yW2F3ft7Z9g?e=wxSfTE</t>
  </si>
  <si>
    <t>BS05</t>
  </si>
  <si>
    <t>DI31</t>
  </si>
  <si>
    <t>Ejecutar acciones orientadas al desarrollo de los programas de Gobernanza y Gestión de Datos y de Información de la SNS</t>
  </si>
  <si>
    <t>Acciones ejecutadas para el desarrollo de los programas de Gobernanza y Gestión de Datos y de Información de la SNS</t>
  </si>
  <si>
    <t>Número total de acciones ejecutada para el desarrollo de los programas de Gobernanza y Gestión de Datos y de Información de la SNS</t>
  </si>
  <si>
    <t xml:space="preserve">Se hace el respectivo cargue que soporta los avances frente al Flujos de Información de la actividad clave de éxito, Gestionar Analítica de Datos e Información.
Igualmente se cargan evidencias frente a la Base única de vigilados, Catálogo de datos abiertos, Medición Indicadores de Calidad,
Mallas de validación,  Informe UIAF,
Scripts vigilados, Tablero de salud pública,
Tablero Fenix, Tableros de cartera actualizados.
</t>
  </si>
  <si>
    <t>https://supersalud-my.sharepoint.com/:f:/g/personal/gerson_ruiz_supersalud_gov_co/EpksyX1S38ZGqCwqHBtzSc0Bu2KixC2rBySb2FBUQ6Dxpw?e=a1wKZM</t>
  </si>
  <si>
    <t>CT04</t>
  </si>
  <si>
    <t>DE13</t>
  </si>
  <si>
    <t>Diseñar las políticas. instrumentos, guías, metodologías y lineamientos, a partir de las solicitudes y necesidades identificadas y gestionadas</t>
  </si>
  <si>
    <t>Porcentaje de solicitudes gestionadas de políticas, instrumentos, guías, metodologías y lineamientos</t>
  </si>
  <si>
    <t>Número de solicitudes de políticas, instrumentos, guías, metodologías y lineamientos gestionadas / Número de solicitudes de políticas, instrumentos, guías, metodologías y lineamientos identificadas * 100</t>
  </si>
  <si>
    <t>https://supersalud-my.sharepoint.com/:f:/g/personal/gerson_ruiz_supersalud_gov_co/Er_snzcPNMtNl5qTOQPILCgBBIGM6okkGAZZ-OWlYQ1mwA?e=axUb9F</t>
  </si>
  <si>
    <t>CT05</t>
  </si>
  <si>
    <t>Oficina Asesora de Comunicaciones</t>
  </si>
  <si>
    <t>DI14</t>
  </si>
  <si>
    <t>Realizar seguimiento a través de la herramienta metodológica del comportamiento de los canales digitales de la entidad</t>
  </si>
  <si>
    <t>Informes de seguimiento sobre el comportamiento de canales digitales elaborados.</t>
  </si>
  <si>
    <t>Número de informes de seguimiento sobre el comportamiento de canales digitales elaborados.</t>
  </si>
  <si>
    <t>CT07</t>
  </si>
  <si>
    <t>Delegatura para Entidades Territoriales y Generadores y Recaudadores y Administradores de Recursos del SGSSS</t>
  </si>
  <si>
    <t>SE27</t>
  </si>
  <si>
    <t>Ampliar el campo de acción de las Direcciones Regionales respecto de los actores del sistema, a través de la definición de acuerdos con las demás Delegadas para la desconcentración de acciones de inspección y vigilancia</t>
  </si>
  <si>
    <t>Porcentaje del total de Actores del sistema con acciones de inspección y vigilancia por parte de la Dirección Regional</t>
  </si>
  <si>
    <t>(Número de categoría de Actores del sistema con acciones de inspección y vigilancia por parte de la Direcciones regional / 09 categorías de actores del sistema sujeto de acciones de inspección y vigilancia de la SNS)*100</t>
  </si>
  <si>
    <t>https://supersalud-my.sharepoint.com/:f:/r/personal/rafael_garcia_supersalud_gov_co/Documents/EVIDENCIAS%20PEI%20DET/ACTORES%20DEL%20SISTEMA?csf=1&amp;web=1&amp;e=Y9iofI</t>
  </si>
  <si>
    <t>CT15</t>
  </si>
  <si>
    <t>SE47</t>
  </si>
  <si>
    <t>Implementar acciones de inspección y vigilancia en nuevos territorios que han carecido de ellas de manera adecuada.</t>
  </si>
  <si>
    <t>Porcentaje de Nuevos territorios (Departamentos, Municipios o Distritos) impactados con acciones de IV por parte de las Direcciones Regionales sobre el total de Nuevos Territorios programados.</t>
  </si>
  <si>
    <t>(Número de nuevos territorios impactados con Acciones de IV / Número de Nuevos territorios programados por la Direcciones Regionales para intervenir)*100</t>
  </si>
  <si>
    <t>CT16</t>
  </si>
  <si>
    <t>Fortalecer a través de mecanismos de IVC la oportunidad en la generación y flujo de los recursos del Sistema General de Seguridad Social en Salud y los regímenes especiales y exceptuados.</t>
  </si>
  <si>
    <t>SE28</t>
  </si>
  <si>
    <t>Supervisar las alertas interpuestas a los Generadores, Recaudadores y Administradores de Recursos del SGSSSS mediante acciones de IV</t>
  </si>
  <si>
    <t>Porcentaje de alertas generadas en desarrollo de las acciones de IV a generadores, recaudadores y administradores de recursos del SGSSS con acciones de gestión sobre el total de alertas</t>
  </si>
  <si>
    <t>(Número de alertas generadas en el informe del trimestre anterior con acciones de gestión / Total de alertas encontradas en el informe del trimestre anterior)*100</t>
  </si>
  <si>
    <t>CT17</t>
  </si>
  <si>
    <t>CT21</t>
  </si>
  <si>
    <t>Implementar la red de Controladores en los territorios del país.</t>
  </si>
  <si>
    <t>Redes de Controladores departamentales activadas</t>
  </si>
  <si>
    <t>Número de departamentos con red de Controladores activadas</t>
  </si>
  <si>
    <t>Realizar seguimiento y verificación de las auditorias realizadas</t>
  </si>
  <si>
    <t>Seguimientos a las auditorías de Inspección y Vigilancia Realizadas</t>
  </si>
  <si>
    <t>Numero de Seguimientos realizados</t>
  </si>
  <si>
    <t>SE33</t>
  </si>
  <si>
    <t>Efectuar seguimiento y evaluación a la gestión de las Direcciones Regionales de conformidad con las directrices y lineamientos formulados por la Superintendencia Delegada.</t>
  </si>
  <si>
    <t>Seguimiento a las actividades de las Direcciones regionales.</t>
  </si>
  <si>
    <t>Número de seguimientos realizados</t>
  </si>
  <si>
    <t>CT24</t>
  </si>
  <si>
    <t>SE49</t>
  </si>
  <si>
    <t>Realizar asistencia y seguimientos a las mesas de saneamiento de cartera de Circular Conjunta 030 de 2013</t>
  </si>
  <si>
    <t>Seguimientos a Circular 030</t>
  </si>
  <si>
    <t>Numero de Seguimientos realizados - Circular 030</t>
  </si>
  <si>
    <t xml:space="preserve">​Se tenían planeadas 20 mesas al año y se realizaron 24.  Se adelantaron 4 del próximo corte ya que se consideró necesario avanzar en el tema porque los próximos meses pueden ser más demandantes en diversos temas.  En total para todo el año se programaron 80.
</t>
  </si>
  <si>
    <t>CT25</t>
  </si>
  <si>
    <t>SE50</t>
  </si>
  <si>
    <t>Realizar Mesas de Gobernanza desde las direcciones regionales</t>
  </si>
  <si>
    <t>Mesas de Gobernanza realizadas en las direcciones regionales.</t>
  </si>
  <si>
    <t>Mesas de Gobernanza Realizadas</t>
  </si>
  <si>
    <t>CT28</t>
  </si>
  <si>
    <t>DI35</t>
  </si>
  <si>
    <t>Realizar campañas institucionales en el marco de posicionar la imagen de la Superintendencia Nacional de Salud y mejorar la gestión de la reputación institucional.</t>
  </si>
  <si>
    <t>Campañas institucionales realizadas</t>
  </si>
  <si>
    <t>Número de campañas institucionales socializadas</t>
  </si>
  <si>
    <t>CT29</t>
  </si>
  <si>
    <t>Dirección Jurídica</t>
  </si>
  <si>
    <t>GJ12</t>
  </si>
  <si>
    <t>Ejecutar cronograma de actividades para la implementación y sostenibilidad de la política de gestión y desempeño de defensa Jurídica.</t>
  </si>
  <si>
    <t>Actividades ejecutadas en el cronograma de implementación y sostenibilidad de la política de gestión y desempeño de Defensa Jurídica.</t>
  </si>
  <si>
    <t>Número de actividades ejecutadas en el cronograma de implementación y sostenibilidad de la política de gestión y desempeño de Defensa Jurídica.</t>
  </si>
  <si>
    <t xml:space="preserve">​Durante el mes de enero de 2025 se da cumplimiento a la actividad: "Actualizar los riesgos contemplados en la defensa jurídica del estado y fortalecerlos con el apoyo de la Guía para la Administración del Riesgo." formulada en el cronograma de implementación y sostenibilidad de la política de Defensa Jurídica se realiza la revisión y monitoreo de los riesgos y la efectividad de los controles, se adjunta las evidencias de ejecución de la actividad.
</t>
  </si>
  <si>
    <t>CT31</t>
  </si>
  <si>
    <t>GJ05</t>
  </si>
  <si>
    <t>Realizar actividades tendientes a la consolidación y publicación del boletín jurídico</t>
  </si>
  <si>
    <t>Publicación trimestral del boletín jurídico en la página web de la Entidad</t>
  </si>
  <si>
    <t>Número de boletines publicados en el periodo</t>
  </si>
  <si>
    <t xml:space="preserve">​Durante el primer trimestre de 2025 fue publicado el nuevo formato de boletín (Magazine Jurídico) correspondiente al último trimestre de 2024, en este se hizo una recopilación de los conceptos más relevantes emitidos por la Dirección Jurídica sobre el tema de medicamentos.
</t>
  </si>
  <si>
    <t>CT32</t>
  </si>
  <si>
    <t>GJ10</t>
  </si>
  <si>
    <t>Ejecutar cronograma de actividades para la implementación y sostenibilidad de la política de gestión y desempeño de Mejora Normativa</t>
  </si>
  <si>
    <t>Actividades ejecutadas en el cronograma de implementación y sostenibilidad de la política de gestión y desempeño de Mejora Normativa</t>
  </si>
  <si>
    <t>Número de actividades ejecutadas en el cronograma de implementación y sostenibilidad de la política de gestión y desempeño de Mejora Normativa.</t>
  </si>
  <si>
    <t xml:space="preserve">​Para el primer trimestre de 2025 se llevao a cabo 1 reunion entre la Dirección Jurídica y la Dirección de Innovación y Desarrollo respecto de la implementación de la politica de mejora normativa al interior de la Superintendencia y en la que además se recopilaron datos al respecto para reporte FURAG. Adicionalmente, se realizarón 2 reuniones más del equipo de política de mejora normativa al interior de la Dirección Jurídica
</t>
  </si>
  <si>
    <t>DE04</t>
  </si>
  <si>
    <t>GJ06</t>
  </si>
  <si>
    <t>Proyectar contestaciones y ejercer la actividad procesal.</t>
  </si>
  <si>
    <t>Porcentaje de acciones contencioso administrativas y ordinarias tramitadas dentro de los términos de ley</t>
  </si>
  <si>
    <t>(Número de acciones contencioso administrativas y ordinarias tramitadas dentro de los términos de ley en el periodo/Total de acciones contencioso administrativas y ordinarias recibidas para trámite en el periodo) x100</t>
  </si>
  <si>
    <t xml:space="preserve">​En el primer trimestre del año 2025, se recibieron en total 155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Ahora bien, de las 155 demandas radicadas, se notificaron 17 autos admisorios de la demanda por lo que, los abogados del Grupo de Defensa Judicial realizaron la contestación de estas 17 demandas en el término otorgado por la ley, y 138 asuntos judiciales están en trámite de proyección por no haberse notificado a la fecha el auto admisorio de estas demandas; en conclusión se tiene un total de 155 procesos judiciales y un cumplimiento del 100% respecto de las demandas notificadas y contestadas dentro del término legal.
</t>
  </si>
  <si>
    <t>DE09</t>
  </si>
  <si>
    <t>GJ07</t>
  </si>
  <si>
    <t>Someter los asuntos de competencia al Comité de Conciliación</t>
  </si>
  <si>
    <t>Porcentaje solicitudes de conciliaciones presentadas al Comité de Conciliación</t>
  </si>
  <si>
    <t>(Número de solicitudes de conciliaciones presentadas ante el Comité de conciliación, dentro de los 15 días hábiles a partir de su recibo en la Entidad / Número total de solicitudes de conciliaciones recibidas en la Entidad durante el periodo de reporte) x 100.</t>
  </si>
  <si>
    <t xml:space="preserve">​En el primer trimestre del año 2025, se recibieron 211 solicitudes de conciliación extrajudicial; de las cuales 197 fueron presentadas y decididas por el Comité de Conciliación, y 14 se encuentran en proyecto para ser presentadas en el próximo comité, para un total de 211 solicitudes, cumpliéndose este indicador en un 93,36%
</t>
  </si>
  <si>
    <t xml:space="preserve">​Para el primer trimestre de 2025  fueron efectuadas 4 actualizaciones del normograma según lo pactado en el contrato No. 36 de 2025, sin embargo, al iniciar el contrato a finales de febrero de 2025 no se logró completar las 6 actualizaciones proyectadas para el primer trimestre.
</t>
  </si>
  <si>
    <t>Delegatura de Investigaciones Administrativas</t>
  </si>
  <si>
    <t>Expedir los actos administrativos de la DIA en el marco del proceso administrativo sancionatorio</t>
  </si>
  <si>
    <t>Porcentaje de actos administrativos expedidos</t>
  </si>
  <si>
    <t>(Número de actos administrativos expedidos) / Número de solicitudes de investigación aceptadas en el semestre de reporte)*100</t>
  </si>
  <si>
    <t xml:space="preserve">Indicador a demanda, en donde se concluye que se expidieron 321 actos administrativos y el número de solicitudes de investigación aceptadas en el trimestre fueron 124 en total 
</t>
  </si>
  <si>
    <t>DE14</t>
  </si>
  <si>
    <t>Gestionar con decisión de fondo (sanción, cierre y archivo y caducidad) las investigaciones administrativas con riesgo de caducidad 2025 a 2029</t>
  </si>
  <si>
    <t>Porcentaje de decisión de fondo de las investigaciones administrativas con riesgo de caducidad 2024-2025</t>
  </si>
  <si>
    <t>(Número de investigaciones administrativas con riesgo de caducidad 2024-2025, que hayan sido objeto de decisión dentro del trimestre de reporte / Número de investigaciones iniciadas sin tramite de decisión (a enero de 2025) *100)</t>
  </si>
  <si>
    <t xml:space="preserve">​Se cumple con más de la meta establecida del 25%,  ya que se identificaron 441 investigaciones con riesgo de caducidad ( 2025 ) a enero de 2025 y en el trimestre se han expedido 166 decisiones lo cual equivale al 37.6%, lo anterior se logro tras las estrategias de gestión al día con la DIA 
</t>
  </si>
  <si>
    <t>DE16</t>
  </si>
  <si>
    <t>Oficina de Control Interno</t>
  </si>
  <si>
    <t>GM05</t>
  </si>
  <si>
    <t>Ejecutar Plan Anual de Seguimientos de Ley a la Gestión Institucional</t>
  </si>
  <si>
    <t>Seguimientos y evaluaciones efectuadas al control institucional</t>
  </si>
  <si>
    <t>Número de seguimientos y evaluaciones realizadas oportunamente dentro de las fechas programadas en el periodo.</t>
  </si>
  <si>
    <t>DE18</t>
  </si>
  <si>
    <t>Delegatura Entidades Aseguramiento en Salud</t>
  </si>
  <si>
    <t>TR06</t>
  </si>
  <si>
    <t>Resolver o gestionar las solicitudes de los vigilados en los tiempos establecidos en el proceso</t>
  </si>
  <si>
    <t>Emitir los estudios de viabilidad o recomendación al Superintendente en 140 días o menos, a partir de la completitud de la información radicada por la entidad solicitante</t>
  </si>
  <si>
    <t>(Cantidad de trámites con estudio de viabilidad o recomendación gestionados en 140 días o menos / Total de trámites gestionados en el periodo)*100</t>
  </si>
  <si>
    <t xml:space="preserve">​Durante el primer trimestre de 2025, se finalizaron 14 trámites de los cuáles 12 fueron gestionados con estudio de viabilidad o recomendación en 140 dias o menos, cumpliendo asi con el 85.71% de la meta programada.
</t>
  </si>
  <si>
    <t>DI07</t>
  </si>
  <si>
    <t>Realizar Socializacion, Sensibilización y Asesoria a los funcionarios y contratistas de la Entidad acerca del cuidado y control de los bienes.</t>
  </si>
  <si>
    <t>Socializaciones o sensibilizaciones realizadas a los funcionarios o contratistas que tengan bienes asignados de la entidad</t>
  </si>
  <si>
    <t>Número de socializaciones o sensibilizaciones realizadas</t>
  </si>
  <si>
    <t>DI09</t>
  </si>
  <si>
    <t>Formular e implementar los planes y programas del componente Sistema de Gestión Ambiental y Carbono Neutro en la Entidad.</t>
  </si>
  <si>
    <t>Porcentaje acumulado de avance en la ejecución del cronograma del componente del Sistema de Gestión Ambiental-SGA</t>
  </si>
  <si>
    <t>Número de actividades ejecutadas del cronograma del Sistema de Gestión Ambiental-SGA/Número de actividades programadas del cronograma del Sistema de Gestión Ambiental - SGA</t>
  </si>
  <si>
    <t>https://supersalud-my.sharepoint.com/:f:/r/personal/ever_cardenas_supersalud_gov_co/Documents/PAG%202025/2%20CRONOGRAMA%20HITOS%20AMB?csf=1&amp;web=1&amp;e=WxOs4x</t>
  </si>
  <si>
    <t>DI10</t>
  </si>
  <si>
    <t>DI28</t>
  </si>
  <si>
    <t>Alcanzar el Nivel de madurez en dos (2) componentes en "Básico" y un (1) componente en "Intermedio" - Modelo de Gestión Documental y Administración de Archivos -MGDA- en 2025 -</t>
  </si>
  <si>
    <t>Nivel de madurez de acuerdo con la matriz de cumplimiento del MGDA</t>
  </si>
  <si>
    <t>Total de los productos cumplidos del MGDA en los dos componentes / Total productos del MGDA requeridos en los 3 componentes programados</t>
  </si>
  <si>
    <t xml:space="preserve">​La falta de ejecución de la actividad relacionada con el Programa de Gestión Documental -PGD-, incluida entre las 9 actividades programadas en el PAG para el 1er. trimestre, se debió a que no se tenía la información de la formulación del proyecto de inversión 2026-2030 -trabajo iniciado desde noviembre 2024 con culminación junio 2025-, y que es imprescindible para el PGD. Por lo anterior, se solicitó a la OAP ajuste, aprobándose para cumplirse en abril.
</t>
  </si>
  <si>
    <t>https://acortar.link/m4U2Mq</t>
  </si>
  <si>
    <t>Realizar el seguimiento a las Entidades sujetas a vigilancia de la Delegada de Entidades de Aseguramiento en Salud - EAS y auxiliares de justicia</t>
  </si>
  <si>
    <t>Seguimiento y monitoreo a entidades en medida de vigilancia.</t>
  </si>
  <si>
    <t>Numero de seguimientos en campo a las entidades en medida especial</t>
  </si>
  <si>
    <t xml:space="preserve">​Para el presente trimestre se realizó seguimiento a 6 de las 11 EPS que actualmente se encuentran en medida especial, cumpliendo asi con el 100% del indicador
</t>
  </si>
  <si>
    <t>Delegatura para la Protección al Usuario</t>
  </si>
  <si>
    <t>RL18</t>
  </si>
  <si>
    <t>Seguimiento a los reclamos en salud presentados por la ciudadanía que asiste a los Diálogos con la Supersalud que no fueron cerrados por los vigilados en el evento</t>
  </si>
  <si>
    <t>Porcentajes de reclamos en salud con seguimiento</t>
  </si>
  <si>
    <t>Reclamos en salud con seguimiento / total de reclamos no cerrados por el vigilados* 100 .</t>
  </si>
  <si>
    <t xml:space="preserve">​Entre enero a marzo 2025 se han realizado 6 diálogos en donde se han recibido 746 reclamos en salud, de los cuales a todos se les ha realizado seguimiento,  de estos se han cerrado 644 (86.32%%) y permanecen abiertos 102 reclamos en salud. 
</t>
  </si>
  <si>
    <t>DI20</t>
  </si>
  <si>
    <t>DI23</t>
  </si>
  <si>
    <t>Incrementar el porcentaje de eficiencia en la correcta asignación de los documentos de entrada radicados a las diferentes  dependencias de la entidad.​.</t>
  </si>
  <si>
    <t>Porcentaje de eficiencia en la asignación de los documentos de entrada radicados a las dependencias​</t>
  </si>
  <si>
    <t>Número de documentos radicados  asignados correctamente a las dependencias durante el trimestre / Número de documentos totales radicados  en el trimestre x 100​</t>
  </si>
  <si>
    <t xml:space="preserve">​De 149.479 documentos radicados en el primer trimestre (enero, febrero y marzo) de 2025, se tomó una muestra del 5% lo cual arrojó un resultado de 7.473 documentos radicados que fueron revisados en los cuales se encontraron un total de 7.428 documentos asignados correctamente y que proyectados al total de radicados son 148.567 que cumplen con la asignación correcta a las dependencias; lo que representa un porcentaje de cumplimiento del  99,39% en dicho periodo, teniendo en cuenta que la meta es del 98%, el indicador se cumplió. 
</t>
  </si>
  <si>
    <t>DI24</t>
  </si>
  <si>
    <t>Incrementar el porcentaje de eficiencia en la digitalización y cargue  de los documentos  con cumplimiento de las características de calidad dispuestas por la entidad.​</t>
  </si>
  <si>
    <t>Porcentaje de eficiencia en la digitalización de documentos.</t>
  </si>
  <si>
    <t>Número de documentos con calidad en la digitalización y cargue al sistema durante el trimestre  / Número Total de documentos digitalizados durante el trimestre x 100.​</t>
  </si>
  <si>
    <t xml:space="preserve">​De 149.479 documentos digitalizados en el primer trimestre (enero, febrero y marzo) de 2025, se tomó una muestra del 5% lo cual arrojó un resultado de 7.473 documentos digitalizados que fueron revisados en los cuales se encontraron un total de 7.467 documentos digitalizados correctamente y que proyectados al total de digitalizados son 149.344 que cumplen con la digitalización correcta; lo que representa un porcentaje de cumplimiento del  99,91% en dicho periodo, teniendo en cuenta que la meta es del 99.87%, el indicador se cumplió
</t>
  </si>
  <si>
    <t>DI33</t>
  </si>
  <si>
    <t>Realizar campañas de socialización sobre el manejo de los procesos del Grupo de Correspondencia</t>
  </si>
  <si>
    <t>Campañas de socialización sobre el manejo de los procesos del Grupo de Correspondencia</t>
  </si>
  <si>
    <t>Número de campañas de socialización sobre el manejo de los procesos del Grupo de Correspondencia</t>
  </si>
  <si>
    <t xml:space="preserve">​En el primer trimestre de 2025 (enero, febrero y marzo) se realizaron tres campañas de comunicaciones. El indicador se cumplió. 
</t>
  </si>
  <si>
    <t>Realizar auditorías de inspección y vigilancia a los vigilados relacionadas con el Sistema de Información y Atención al Usuario - SIAU, mecanismos de Participación Ciudadana y sistema PQRD</t>
  </si>
  <si>
    <t>Auditorías realizadas a los vigilados por parte de la Delegada de Protección al Usuario</t>
  </si>
  <si>
    <t>Número de auditorías ejecutadas</t>
  </si>
  <si>
    <t>Se realizaron 30 auditorías a los vigilados relacionadas con el Sistema de Información y Atención al Usuario - SIAU, mecanismos de Participación Ciudadana y comportamiento de reclamos en salud. Asimismo, se efectuaron tres  auditorias del sistema de información, recepción y gestión dentro de los términos de la circular, frente a los reclamos en salud radicados ante la SNS. </t>
  </si>
  <si>
    <t>https://supersalud-my.sharepoint.com/:f:/r/personal/norma_collazos_supersalud_gov_co/Documents/DELEGADA%20%20PARA%20LA%20PROTECCI%C3%92N%20AL%20USUARIO/SEGUIMIENTO%20PAG/PAG/PAG%202025/REPORTE%20I%20TRIMESTRE/AUDITOR%C3%8DAS?csf=1&amp;web=1&amp;e=kUavSa</t>
  </si>
  <si>
    <t>RL04</t>
  </si>
  <si>
    <t>Medir la percepción de los usuarios respecto a la atención telefónica y canal presencial de la Superintendencia Nacional de Salud</t>
  </si>
  <si>
    <t>Medición de la percepción en canal telefonico y presencial de la SNS.</t>
  </si>
  <si>
    <t>Total de respuestas con calificación favorable (bueno y excelente) del instrumento de medición aplicado</t>
  </si>
  <si>
    <t>GF02-D</t>
  </si>
  <si>
    <t>Gestionar las solicitudes de investigación, procesos en trámite, decisiones, recursos y demás actos relacionados con los procesos administrativos sancionatorios con riesgo de caducidad, relacionados con las vigencias 2025-2029.</t>
  </si>
  <si>
    <t>Ejecución presupuestal de recursos solicitados y asignados para el presupuesto para el Mejoramiento en la ejecución de las acciones de supervisión y control frente a la gestión en el SGSSS de los vigilados de la Supersalud Nacional</t>
  </si>
  <si>
    <t>Obligaciones totales/ Apropiación total asignada</t>
  </si>
  <si>
    <t xml:space="preserve">​El indicador se cumple ya que que se han apropiado bajo los registros presupuestales asociados a los procesos de contración de prestación de servicios profesionales ( 8 contratos) y constituyen el 54% del total del presupuesto asignado a la Delegatura. 
</t>
  </si>
  <si>
    <t>Implementar la política sancionatoria reformulada y la metodología desarrollada para la priorización de casos de relevancia nacional</t>
  </si>
  <si>
    <t>Porcentaje de procesos con aplicación de la politica sancionatoria reformulada a metodologia desarrollada para la priorizacion de casos de relevancia nacional, sobre el total de expedientes</t>
  </si>
  <si>
    <t>(Numero de procesos iniciados con aplicación de la política sancionatoria y priorización de casos / Total de expedientes tramitados en el semestre)*100</t>
  </si>
  <si>
    <t xml:space="preserve">​Este indicador es a demanda y a la fecha no se han expedido procesos con priorización  , es importante resaltar que el denominador aplicado es el del total de expedientes con averiguación/apertura/ improcedencia que son 37 en total 
</t>
  </si>
  <si>
    <t>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t>
  </si>
  <si>
    <t>Auditorias realizadas a las entidades de aseguramiento en salud y otras entidades de aseguramiento</t>
  </si>
  <si>
    <t>Número de auditorías ejecutadas / Número total de auditorías proyectadas en el periodo de acuerdo con el Programa Anual de Auditorías de la Delegada.</t>
  </si>
  <si>
    <t xml:space="preserve">​Para el primer trimestre de 2025 se proyectaron la realización de 10 auditorias de las cuales se realizaron 5, dado que se debieron dar prioridad a otras acciones de IV, asi mismo durante el mes de enero no se contaron con recursos de tiquetes, dado que se debio realizar una adición al contrato suscrito con Subaturs, lo que afecto el cumplimiento del indicador.
</t>
  </si>
  <si>
    <t>RL10</t>
  </si>
  <si>
    <t>Promover los derechos y deberes en salud y mecanismos de participación ciudadana en salud</t>
  </si>
  <si>
    <t>Promoción de los derechos y deberes en salud y mecanismos de participación ciudadana en salud a la ciudadanía.</t>
  </si>
  <si>
    <t>Número de actividades que promueven el ejercicio de derechos y deberes y mecanismos de participación ciudadana en salud para ciudadanía en general desarrollados en el periodo..</t>
  </si>
  <si>
    <t xml:space="preserve">​En el trimestre, se desarrollaron  79 actividades entre jornadas de atención, diálogos y procesos de capacitación, superando la meta establecida. Este sobre cumplimiento obedece a múltiples solicitudes adicionales por parte de los municipios, así como a la identificación de necesidades emergentes en los territorios relacionadas con el acceso, garantía y ejercicio efectivo del derecho a la salud.
</t>
  </si>
  <si>
    <t>RL23</t>
  </si>
  <si>
    <t>Ejecutar actividades para la implementación de la política de Servicio al Ciudadano</t>
  </si>
  <si>
    <t>Actividades desarrolladas en el ámbito de la política de servicio al ciudadano</t>
  </si>
  <si>
    <t>Número total de actividades desarrolladas en el periodo.</t>
  </si>
  <si>
    <t>RL06</t>
  </si>
  <si>
    <t>Radicar los reclamos en salud recibidos en el multicanal</t>
  </si>
  <si>
    <t>Porcentaje de reclamos en salud radicados y gestionados a través del multicanal</t>
  </si>
  <si>
    <t>Número de reclamos en salud radicados y gestionadas en el trimestre*</t>
  </si>
  <si>
    <t xml:space="preserve">​Entre enero a marzo se radicaron y trasladaron al responsable del aseguramiento a través de una orden de inmediato y obligatorio cumplimiento 427.884 reclamos en salud recibidos por multicanal (escrito, web, telefónico, chat y redes sociales)
</t>
  </si>
  <si>
    <t>RL24</t>
  </si>
  <si>
    <t>Radicar los reclamos en salud recibidos en el canal presencial</t>
  </si>
  <si>
    <t>Porcentaje de reclamos en salud radicados y gestionados a través del canal presencial</t>
  </si>
  <si>
    <t xml:space="preserve">​Entre enero a marzo se radicaron y trasladaron al responsable del aseguramiento a través de una orden de inmediato y obligatorio cumplimiento 91.364 reclamos en salud recibidos por el canal presencial.
</t>
  </si>
  <si>
    <t>GF08</t>
  </si>
  <si>
    <t>Delegatura para Operadores Logísticos de Tecnologías en Salud y Gestores Farmacéuticos</t>
  </si>
  <si>
    <t>Realizar auditorías a los Operadores Logísticos de Tecnologías en Salud y/o Gestores Farmacéuticos objeto de supervisión</t>
  </si>
  <si>
    <t>Auditorías realizadas a los Operadores Logísticos de Tecnologías en Salud y/o Gestores Farmacéuticos</t>
  </si>
  <si>
    <t>Número de auditorías realizadas a los Operadores Logísticos de Tecnologías en Salud y/o Gestores Farmacéuticos</t>
  </si>
  <si>
    <t xml:space="preserve">​Se realizó auditoria integral  en al Gestor Farmaceutico Pharmasan en el departamento de Santander, del 10 al 14 de febrero ordenada a través de Auto 202500000000134-7, las auditorias son fundamentales en el desarrollo de las acciones de IVC a nuestros vigilados y el cumplimiento al Programa de Auditorias. Se da cumplimiento al 100% de lo propuesto para el mes de febrero.
</t>
  </si>
  <si>
    <t>GF09</t>
  </si>
  <si>
    <t>SE22</t>
  </si>
  <si>
    <t>Realizar actividades de socialización, asistencia técnica, mesas de trabajo o acompañamiento a los actores del SGSSS respecto a la operación de los Gestores Farmacéuticos Gestores Farmacéuticos y/u Operadores Logísticos de Tecnologías en Salud</t>
  </si>
  <si>
    <t>Actividades de socialización, asistencia técnica, mesas de trabajo o acompañamiento a los actores del SGSSS respecto a la operación de los GF y/u OLTS</t>
  </si>
  <si>
    <t>Número de actividades de socialización, asistencia técnica, mesas de trabajo o acompañamiento a los actores del SGSSS respecto a la operación de los GF y/u OLTS</t>
  </si>
  <si>
    <t xml:space="preserve">​Se ralizó asistencia tecnica con el Gestor Farmaceutico Pharmaasan, la cual  fue fundamenta para el cumplimiento del reporte financiero por parte de los vigilados. De esta manera se da cumplimiento al 100% de lo propuesto en el PAG para Marzo 2025.
</t>
  </si>
  <si>
    <t>GF11</t>
  </si>
  <si>
    <t>SE23</t>
  </si>
  <si>
    <t>Realizar acompañamiento a las Direcciones Regionales en actividades de IVC a los Operadores Logísticos de Tecnologías en Salud y/o Gestores Farmacéuticos de su jurisdicción</t>
  </si>
  <si>
    <t>Actividades de acompañamiento a las Direcciones Regionales en actividades de IVC a los Operadores Logísticos de Tecnologías en Salud y/o Gestores Farmacéuticos de su jurisdicción</t>
  </si>
  <si>
    <t>Número de actividades de acompañamiento a las Direcciones Regionales en actividades de IVC a los Operadores Logísticos de Tecnologías en Salud y/o Gestores Farmacéuticos de su jurisdicción</t>
  </si>
  <si>
    <t xml:space="preserve">​Se realizaron 2 actividades de acompañamiento a las Direcciones Regionales en actividades de IVC a los Gestores Farmaceutocos ,  Santa Sofia de Asis en la ciudad y Ramedicas en Quido Choco estas acciones son fundamentales en el cumplimiento de las funiones de IVC de nuestra Delegada, se da cumplimiento al 100% de lo planteado en el PAG para marzo 2025.
</t>
  </si>
  <si>
    <t>GJ02</t>
  </si>
  <si>
    <t>Realizar el seguimiento a la ejecución del Plan Anual de Adquisiciones a través de informe trimestral</t>
  </si>
  <si>
    <t>Seguimientos al Plan Anual de Adquisiciones</t>
  </si>
  <si>
    <t>Número de seguimientos programados en el Plan Anual de Adquisiciones</t>
  </si>
  <si>
    <t>GJ04</t>
  </si>
  <si>
    <t>Realizar seguimiento a las EPS a las entidades bajo medida y a la gestión de los agentes interventores y contralores designados por la Superintendencia Nacional de Salud.</t>
  </si>
  <si>
    <t>Porcentaje de avance en la actualización de la información de las fichas productos de los seguimientos</t>
  </si>
  <si>
    <t>Fichas técnicas con información actualizadas / Número de entidades en medida*100</t>
  </si>
  <si>
    <t>​A corte febrero de 2025 se encontraban 9 EPS bajo medida especial, la actualización de las fichas se realiza de manera mensual, siendo actualizadas a diciembre de 2024 la fichas correspondientes a las 9 EPS y para el mes de enero 7 de las 9 EPS, lo que corresponde al 88% de las fichas técnicas. Se indica que la actualización correspondiente al mes de febrero del 2025, depende de la informacíón reportada por los vigilados de acuerdo con lo establecido en la Circular Única y sus modificatorias, que establece que la información reportada por las EPS debe hacerse a los (veinte (20) días del mes siguiente del periodo de  reporte, siendo esta reportada el 20 de marzo, por lo que se encuentra en análisis y evaluación por parte de los profesionales de cada componente, la cual será entregada completamente en el siguiente trimestre</t>
  </si>
  <si>
    <t>PE01</t>
  </si>
  <si>
    <t>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t>
  </si>
  <si>
    <t>Porcentaje de avance en la ejecución del Plan Estratégico de Desarrollo del Talento Humano</t>
  </si>
  <si>
    <t>(Número de actividades ejecutadas en el periodo / Número de actividades programadas en el cronograma del Plan Estratégico de Desarrollo del Talento Humano en el periodo)*100</t>
  </si>
  <si>
    <t xml:space="preserve">​
Para el primer trimestre de la vigencia se consiguió un porcentaje de cumplimiento de 100% de las actividades programadas para el período, para un porcentaje acumulado del 100% del total de las actividades programadas para la vigencia en la actividad
</t>
  </si>
  <si>
    <t>https://supersalud-my.sharepoint.com/:f:/r/personal/camila_jaime_supersalud_gov_co/Documents/SNS/DOCUMENTOS/SEGUIMIENTO%20PAG/2025/PAG%20I%20TRIM/PLAN%20ESTRAT%C3%89GICO%20DE%20TALENTO%20HUMANO?csf=1&amp;web=1&amp;e=2h6FzN</t>
  </si>
  <si>
    <t>PE02</t>
  </si>
  <si>
    <t>Ejecutar el Cronograma del plan institucional de capacitación (Componente de Gestión del Desarrollo)</t>
  </si>
  <si>
    <t>Porcentaje de avance en la ejecución del Plan institucional de capacitación</t>
  </si>
  <si>
    <t>(Número de actividades ejecutadas en el período / Número de actividades programadas en el cronograma del Plan institucional de capacitación)*100</t>
  </si>
  <si>
    <t xml:space="preserve">​
Para el primer trimestre de la vigencia se consiguió un porcentaje de cumplimiento de 100% de las actividades programadas para el período, para un porcentaje acumulado del 100% del total de las actividades programadas para la vigencia en la actividad
</t>
  </si>
  <si>
    <t>https://supersalud-my.sharepoint.com/:f:/r/personal/camila_jaime_supersalud_gov_co/Documents/SNS/DOCUMENTOS/SEGUIMIENTO%20PAG/2025/PAG%20I%20TRIM/PLAN%20INSTITUCIONAL%20DE%20CAPACITACI%C3%93N?csf=1&amp;web=1&amp;e=BfTYE4</t>
  </si>
  <si>
    <t>PE03</t>
  </si>
  <si>
    <t>Ejecutar el Cronograma del plan de bienestar social y estímulos (Componente Gestión de la Relaciones Humanas)</t>
  </si>
  <si>
    <t>Porcentaje de avance en la ejecución del Plan de bienestar social y estímulos</t>
  </si>
  <si>
    <t>(Número de actividades ejecutadas en el período / Número de actividades programadas en el cronograma del Plan de bienestar social y estímulos)*100</t>
  </si>
  <si>
    <t xml:space="preserve">​
Para el primer trimestre de la vigencia se consiguió un porcentaje de cumplimiento de 100% de las actividades programadas para el período, para un porcentaje acumulado del 100% del total de las actividades programadas para la vigencia en la actividad
</t>
  </si>
  <si>
    <t>https://supersalud-my.sharepoint.com/:f:/r/personal/camila_jaime_supersalud_gov_co/Documents/SNS/DOCUMENTOS/SEGUIMIENTO%20PAG/2025/PAG%20I%20TRIM/PLAN%20DE%20BIENESTAR%20SOCIAL%20E%20INCENTIVOS?csf=1&amp;web=1&amp;e=bNgtVY</t>
  </si>
  <si>
    <t>PE04</t>
  </si>
  <si>
    <t>Ejecutar el Cronograma del plan Anual de Seguridad y salud en el Trabajo (Componente de Gestión de las Relaciones Humanas)</t>
  </si>
  <si>
    <t>Porcentaje de avance en la ejecución del Plan anual de Seguridad y Salud en el Trabajo</t>
  </si>
  <si>
    <t>(Número de actividades ejecutadas en el periodo / Número de actividades programadas en el cronograma del Plan anual de Seguridad y Salud en el Trabajo) *100</t>
  </si>
  <si>
    <t>https://supersalud-my.sharepoint.com/:f:/r/personal/camila_jaime_supersalud_gov_co/Documents/SNS/DOCUMENTOS/SEGUIMIENTO%20PAG/2025/PAG%20I%20TRIM/PLAN%20ANUAL%20DE%20SST?csf=1&amp;web=1&amp;e=9yEL2G</t>
  </si>
  <si>
    <t>PE05</t>
  </si>
  <si>
    <t>Ejecutar el cronograma para la implementación de la Política de integridad del Modelo Integrado de Gestión. ( Componente de Gestión de las Relaciones Humanas)</t>
  </si>
  <si>
    <t>Porcentaje acumulado de avance en la ejecución del cronograma para la implementación de la política de integridad</t>
  </si>
  <si>
    <t>(Número de actividades ejecutadas en el periodo / Número de actividades programadas en el cronograma para la implementación de la política de integridad)*100</t>
  </si>
  <si>
    <t xml:space="preserve">Para el primer trimestre de la vigencia se consiguió un porcentaje de cumplimiento de 100% de las actividades programadas para el período, para un porcentaje acumulado del 100% del total de las actividades programadas para la vigencia en la actividad
</t>
  </si>
  <si>
    <t>https://supersalud-my.sharepoint.com/:f:/r/personal/camila_jaime_supersalud_gov_co/Documents/SNS/DOCUMENTOS/SEGUIMIENTO%20PAG/2025/PAG%20I%20TRIM/PLAN%20DE%20IMPLEMENTACI%C3%93N%20INTEGRIDAD?csf=1&amp;web=1&amp;e=YGuebq</t>
  </si>
  <si>
    <t>GJ13</t>
  </si>
  <si>
    <t>SE35</t>
  </si>
  <si>
    <t>Porcentaje de EPS y otras EAS con acciones de Inspección y vigilancia por parte de la Delegada de EAS</t>
  </si>
  <si>
    <t>(mediana de los porcentajes de cobertura (# de vigilados a los que se efectúo la acción de IV / # de vigilados objeto o susceptibles de la acción))</t>
  </si>
  <si>
    <t>GJ14</t>
  </si>
  <si>
    <t xml:space="preserve">​Se realizó auditoria integral  en al Gestor Farmaceutico CAFAM en Manizalez y Bogotá, ordenada a través de Auto2025600000000428- 7, las auditorias son fundamentales en el desarrollo de las acciones de IVC a nuestros vigilados y el cumplimiento al Programa de Auditorias. Se da cumplimiento al 100% de lo propuesto para el mes de Marzo.
</t>
  </si>
  <si>
    <t>GJ15</t>
  </si>
  <si>
    <t>Diseñar el programa de gestión del conocimiento: Ejecutando el cronograma de actividades para la implementación y sostenibilidad de la política de gestión y desempeño de Gestión del Conocimiento y la Innovación:</t>
  </si>
  <si>
    <t>Programa de Gestión del Conocimiento diseñado</t>
  </si>
  <si>
    <t>Avance en el programa de Gestión del Conocimiento diseñado</t>
  </si>
  <si>
    <t xml:space="preserve">Durante el periodo reportado, se avanzó significativamente en el diseño del Programa de Gestión del Conocimiento y de la Innovación para la vigencia 2025, el cual constituye uno de los componentes estratégicos de la Superintendencia Nacional de Salud. Este instrumento articula de manera estructurada las acciones orientadas a la implementación y sostenibilidad de la política de gestión y desempeño institucional en materia de conocimiento e innovación.
Este programa incluye líneas de acción concretas relacionadas con procesos de capacitación técnica y misional, estrategias orientadas al fortalecimiento del desempeño institucional en el marco de la medición FURAG, la formulación y seguimiento de indicadores de innovación, así como el desarrollo de actividades para la articulación interdependencias. Además, se han identificado temáticas prioritarias para la formulación de proyectos que permitan movilizar capacidades internas y aprovechar el conocimiento existente, contribuyendo de forma directa a la mejora continua de la gestión pública en salud.
</t>
  </si>
  <si>
    <t>GM01</t>
  </si>
  <si>
    <t>Actualizar e implementar el Plan Estratégico de Tecnologías de la información (PETI)</t>
  </si>
  <si>
    <t xml:space="preserve">Porcentaje de avance en el cumplimiento del Plan Estratégico de Tecnologías de la Información y las Comunicaciones PETI.
</t>
  </si>
  <si>
    <t>Número de acciones ejecutadas para actualización e implementación del Plan Estratégico de Tecnologías de la información (PETI) / Número de acciones definidas para la actualización e implementación del Plan Estratégico de Tecnologías de la información (PETI) * 100</t>
  </si>
  <si>
    <t>https://supersalud-my.sharepoint.com/:f:/r/personal/sindy_lozada_supersalud_gov_co/Documents/mely%20onedrive/MELY%20OTI%20-%202015-%202016/2025/proy%20y%20planes/PAG%202025/REPORTE%20PRIMER%20TRIMESTRE/SOPORTES/PETI?csf=1&amp;web=1&amp;e=erZaeA</t>
  </si>
  <si>
    <t>GM03</t>
  </si>
  <si>
    <t>Porcentaje de actividades ejecutadas en cumplimiento del Plan de Seguridad y Privacidad de la Información y Seguridad Digital</t>
  </si>
  <si>
    <t>Total de actividades cumplidas del plan de seguridad y privacidad de la Información de la STI / Total de actividades definidas en el plan de seguridad y privacidad de la Información de la STI</t>
  </si>
  <si>
    <t>https://supersalud-my.sharepoint.com/:f:/r/personal/sindy_lozada_supersalud_gov_co/Documents/mely%20onedrive/MELY%20OTI%20-%202015-%202016/2025/proy%20y%20planes/PAG%202025/REPORTE%20PRIMER%20TRIMESTRE/SOPORTES/SEGURIDAD?csf=1&amp;web=1&amp;e=Dgdx7t</t>
  </si>
  <si>
    <t>GM04</t>
  </si>
  <si>
    <t>Porcentaje de actividades ejecutadas en cumplimiento del Plan de Tratamiento de Riesgos de Seguridad y Privacidad de la Información</t>
  </si>
  <si>
    <t>Total de actividades cumplidas del plan de Tratamientos de Riesgos de seguridad y privacidad de la Información de la STI / Total de actividades definidas en el plan de Tratamientos de Riesgos de seguridad y privacidadad de la Información de la STI</t>
  </si>
  <si>
    <t>https://supersalud-my.sharepoint.com/:f:/r/personal/sindy_lozada_supersalud_gov_co/Documents/mely%20onedrive/MELY%20OTI%20-%202015-%202016/2025/proy%20y%20planes/PAG%202025/REPORTE%20PRIMER%20TRIMESTRE/SOPORTES/RIESGOS?csf=1&amp;web=1&amp;e=7HnjwH</t>
  </si>
  <si>
    <t xml:space="preserve">​En el boletín jurídico del primer trimestre del año 2025, se realizó una publicación de conceptos de interés para el publico en general como las oficinas de atención al usuario, la cobertura del SOAT y el manual de identidad de la Superintendencia 
</t>
  </si>
  <si>
    <t>JC01</t>
  </si>
  <si>
    <t xml:space="preserve">​Para el mes de abril de 2025 se llevo a cabo 1 reunió entre la Dirección Jurídica y la Dirección de Innovación y Desarrollo respecto de la implementación de la politica de mejora normativa al interior de la Superintendencia, en la cual se continuo abordando el tema del ciclo de gobernanza relacionado, entre otras, con la emisión de una circular conjunta con el MSPS sobre la prohibición de intermediación del paciente  o usuario en la autorización de servicios
</t>
  </si>
  <si>
    <t>JC02</t>
  </si>
  <si>
    <t>Realizar auditorías para verificar el cumplimiento de las funciones y obligaciones de los vigilados de la Delegada.</t>
  </si>
  <si>
    <t>Auditorías de Inspección y Vigilancia realizadas por la Delegada de Entidades territoriales</t>
  </si>
  <si>
    <t>Número de Auditorías realizadas</t>
  </si>
  <si>
    <t>SE11</t>
  </si>
  <si>
    <t>Realizar mesas técnicas de fortalecimiento de competencias dirigidas a los sujetos vigilados de la Delegada de acuerdo a su competencia.</t>
  </si>
  <si>
    <t>Mesas Técnicas para el fortalecimiento de competencias</t>
  </si>
  <si>
    <t>Número de Mesas Técnicas realizadas</t>
  </si>
  <si>
    <t>Realizar mesas internas de apropiación y aplicabilidad del Sistema Integrado de Gestión a los funcionarios de la Delegada.</t>
  </si>
  <si>
    <t>Mesas ejecutadas para la apropiación del Sistema Integrado de Gestión al interior de la Delegada.</t>
  </si>
  <si>
    <t>Número de mesas ejecutadas para la apropiación del Sistema Integrado de Gestión al interior de la Delegada realizadas</t>
  </si>
  <si>
    <t>SE34</t>
  </si>
  <si>
    <t>Realizar mesas de Inspección y Vigilancia a los sujetos vigilados de la Delegada conforme a la priorización realizada.</t>
  </si>
  <si>
    <t>Ejecución de las mesas de Inspección y Vigilancia programadas.</t>
  </si>
  <si>
    <t>Mesas de Inspección y Vigilancia realizadas</t>
  </si>
  <si>
    <t>JC07</t>
  </si>
  <si>
    <t>Gestionar dentro del término legal establecido las excepciones al mandamiento de pago y las solicitudes de facilidades de pago que cumplan con los requisitos para su otorgamiento.</t>
  </si>
  <si>
    <t>Porcentaje de solicitudes de excepciones al mandamiento de pagos y facilidades de pago.</t>
  </si>
  <si>
    <t>(número excepciones al mandamiento de pago y facilidades de pago resueltas oportunamente / número excepciones al mandamiento de pago y facilidades de pago solicitadas con cumplimiento de requisitos) *100.</t>
  </si>
  <si>
    <t xml:space="preserve">​Teniendo en cuenta el indicador Plan Anual de Gestión (PAG) correspondiente al Grupo de Cobro Persuasivo y Jurisdicción Coactiva de cara a resolver en el término establecido por la Ley excepciones a Mandamientos de Pago y Facilidades de pago, cuya solicitud cumpla con las condiciones establecidas, se entiende que durante el primer cuatrimestre del año 2025, se recibieron 6 facilidades de pago y 5 excepciones a mandamiento de pago, todas estas solicitudes cumplían con las condiciones necesarias para iniciar el trámite correspondiente, por lo que las 11 fueron atendidas dentro del plazo legal, alcanzando así un cumplimiento del 100%. 
</t>
  </si>
  <si>
    <t>JC08</t>
  </si>
  <si>
    <t xml:space="preserve">Porcentaje en la oportunidad en la gestión de pagos.
</t>
  </si>
  <si>
    <t xml:space="preserve">​Durante el mes de Abril, se gestionaron  146 cuentas que fueron radicadas en los tiempos estipulados de acuerdo con la Circular Interna 2022920020000026-4 de 2022,asi mismo, los documentos radicados despues del dia 25 calendario se tramitaron en el siguiente mes. Por lo cual, se cumplió con la meta del indicador del 100%, (146/146) habiendo gestionado la totalidad de las cuentas radicadas con un tiempo de gestión de 1,8 dias hábiles. Se adjunta base con relación de cuentas radicadas y gestionadas, asi como el reporte del indicador con la correspondiente gráfica
</t>
  </si>
  <si>
    <t>Medir la razonabilidad de la cartera sin proceso concursal de la SNS</t>
  </si>
  <si>
    <t>Porcentaje de conciliación de cartera y diferencias reciprocas de SNS con Entidades sin proceso concursal</t>
  </si>
  <si>
    <t>Total de Entidades conciliadas / total Entidades priorizadas de la cartera y diferencias reciprocas reportadas al cierre del año inmediatamente anterior.</t>
  </si>
  <si>
    <t xml:space="preserve">​Durante el primer cuatrimestre de la vigencia 2025, se logró la conciliación de cartera con 8 entidades sin proceso concursal, enlistadas a continuación: Departamento del Cesar; Gobierno Departamental del Tolima; Municipio de Piedras; Empresa Social del Estado Hospital Sagrado Corazón; Dental Solution Limitada; Empresa Social del Estado Hospital San Juan de Dios Floridablanca; Municipio de Planeta Rica; Empresa Social del Estado Hospital de Ponedora. Logrando cumplir la meta del 100%.
</t>
  </si>
  <si>
    <t>SE31</t>
  </si>
  <si>
    <t>Ejecutar las actividades de apoyo a las Delegadas y Oficinas de la SNS por parte de las direcciones regionales conforme a los Acuerdos de nivel de servicio</t>
  </si>
  <si>
    <t>Porcentaje de acciones ejecutadas en el marco de los ANS con las Dependencias de la Entidad</t>
  </si>
  <si>
    <t>Número acciones ejecutadas / Número de acciones que sean requeridas</t>
  </si>
  <si>
    <t>https://supersalud-my.sharepoint.com/:f:/r/personal/rafael_garcia_supersalud_gov_co/Documents/EVIDENCIAS%20PEI%20DET/ACTORES%20DEL%20SISTEMA?csf=1&amp;web=1&amp;e=kJqLJg</t>
  </si>
  <si>
    <t>SE48</t>
  </si>
  <si>
    <t>Realizar acciones Integrales en Territorio</t>
  </si>
  <si>
    <t>Territorios con acciones Integrales</t>
  </si>
  <si>
    <t>Número de Acciones Integrales en territorio Ejecutadas</t>
  </si>
  <si>
    <t>https://supersalud.sharepoint.com/:x:/t/OFICINAASESORADECOMUNICACIONESESTRATEGICASEIMAGENINSTITUCIONAL/Ec3reuETaS9Pjr0PlBj578oBH0R36tlKaN0lceybUaYvsQ?e=JHHct6</t>
  </si>
  <si>
    <t>RL03</t>
  </si>
  <si>
    <t xml:space="preserve">​En el marco  PMU sobre medicamentos que lidera la Defensoria del Pueblo para el Departamento de Caldas, se desarrollo socialización y participación por parte del Grupo Tecnico cientifico de la Delegada para Operadores Logisticos de Tecnologias en Salud y Gestores Farmaceuticos, en la actividad participaron 15 asistentes y se desarrollo en la ciudad de Manizalez, de esta manera se da cumplimiento al 100% de lo propuesto en el PAG para el mes de abril 2025
</t>
  </si>
  <si>
    <t>RL19</t>
  </si>
  <si>
    <t>Gestionar las solicitudes de información y/ reclamos en salud presentados por los grupos de valor o de interés a la Delegada para Operadores Logísticos de Tecnologías en Salud y Gestores Farmacéuticos</t>
  </si>
  <si>
    <t>Porcentaje de solicitudes de información y/ reclamos en salud gestionados finalizados tramitados a los grupos de valor o de interés de la SNS presentados a la DOLTS-GF</t>
  </si>
  <si>
    <t>(Sumatoria del número de solicitudes de información y/ reclamos en salud finalizados / Número de solicitudes de información y/ reclamos en salud interpuestos por los grupos de valor o de interés) * 100</t>
  </si>
  <si>
    <t>RL20</t>
  </si>
  <si>
    <t>Gestionar solicitudes de información y/ reclamos en salud presentados por falta de oportunidad en la entrega o entrega incompleta de Tecnologías en salud presentados por los grupos de valor o interés a la Delegada para Operadores Logísticos de Tecnologías en Salud y Gestores Farmacéuticos</t>
  </si>
  <si>
    <t>Porcentaje de solicitudes de información y/ reclamos en salud finalizados por falta de oportunidad en la entrega o entrega incompleta de tecnologías en salud tramitados a los grupos de valor o interés de la SNS presentados a la DOLTS-GF</t>
  </si>
  <si>
    <t>(Sumatoria del número de solicitudes de información y/ reclamos en salud finalizados por falta de oportunidad en la entrega o entrega incompleta de tecnologías en salud en el periodo / Número de solicitudes de información y/ reclamos en salud interpuestos por los grupos de valor o interés por falta de oportunidad en la entrega o entrega incompleta de tecnologías en salud) * 100</t>
  </si>
  <si>
    <t xml:space="preserve">​En  el periodo de enero a   abril del 2025,  el 96,23% (102) de   los   reclamos en salud relacionados   con  falta de oportunidad en la entrega   o entrega incompleta de Tecnologías en salud    fueron  tramitados y  finalizados y el 3,77% (4)  se encuentran en desarrollo.   
</t>
  </si>
  <si>
    <t>RL11</t>
  </si>
  <si>
    <t>Tramitar los reclamos en salud trasladados por la Delegada de Protección al Usuario a la Delegada para Operadores Logísticos de Tecnologías en Salud y Gestores Farmacéuticos</t>
  </si>
  <si>
    <t>Porcentaje de reclamos en salud trasladados por la Delegada para la Protección al Usuario a la DOLTS-GF finalizados tramitados</t>
  </si>
  <si>
    <t>(Sumatoria del número de reclamos en salud trasladados por DPU finalizados / Número de reclamos en salud trasladados por DPU) * 100</t>
  </si>
  <si>
    <t xml:space="preserve">​En  el periodo de enero a   abril del 2025, el 96,88% (155) de los     reclamos en salud que fueron trasladados por la Delegada de Protección   al Usuario a la Delegada para Operadores Logísticos de Tecnologías en Salud y   Gestores Farmacéuticos  fueron   tramitados y finalizados y el 3,12% (5)    se encuentran en desarrollo.   
</t>
  </si>
  <si>
    <t xml:space="preserve">​Se realizaron 2 actividades de acompañamiento a las Direcciones Regionales en actividades de IVC a los Gestores Farmacéuticos  Discolmets y Audifarma en la ciudad de Duitama, perteneciente a la regional Nororiental   estas acciones son fundamentales en el cumplimiento de las funciones de IVC de nuestra Delegada, se da cumplimiento al 100% de lo planteado en el PAG para abril 2025.
</t>
  </si>
  <si>
    <t>https://supersalud-my.sharepoint.com/:f:/r/personal/angelica_castro_supersalud_gov_co/Documents/APOYO%20REGIONALES?csf=1&amp;web=1&amp;e=yY2xXN</t>
  </si>
  <si>
    <t>Adelantar los procesos de intervención forzosa administrativa aplicando mecanismos de seguimiento a los agentes interventores, liquidadores y contralores y realizar inspección, vigilancia y control a las liquidaciones voluntarias con el fin de proteger los derechos de los afiliados y recursos del sector salud</t>
  </si>
  <si>
    <t>Oficina de Liquidaciones</t>
  </si>
  <si>
    <t>Realizar las acciones para el seguimiento y monitoreo a los vigilados de las liquidaciones Ordenadas por la Superintendencia Nacional de Salud</t>
  </si>
  <si>
    <t>Visitas de seguimiento de las liquidaciones Ordenadas por la Superintendencia Nacional de Salud</t>
  </si>
  <si>
    <t>Número de visitas generadas por la adopción, seguimiento y monitoreo a vigilados en proceso de liquidación en el periodo</t>
  </si>
  <si>
    <t xml:space="preserve">Mediante AUTO N° 2025130000000090-7 DE 27-01-2025 se ordenó realizar el  seguimiento en campo a la EMPRESA PROMOTORA DE SALUD EPSS CONVIDA EN LIQUIDACIÓN, identificada con NIT 899.999.107-9
</t>
  </si>
  <si>
    <t>https://supersalud.sharepoint.com/:f:/r/sites/DelegadaparaETyGRARdelSGSSS/Documentos%20compartidos/Gesti%C3%B3n%20de%20la%20Calidad%20-%20DET/PAG/2025/MAYO/2_Sto-Verificaci%C3%B3n-Auditor%C3%ADas?csf=1&amp;web=1&amp;e=A8qdP8</t>
  </si>
  <si>
    <t>SE05</t>
  </si>
  <si>
    <t>SE06</t>
  </si>
  <si>
    <t xml:space="preserve">​Se realizaron 2 actividades de acompañamiento a las Direcciones Regionales en actividades de IVC a los Gestores Farmacéuticos ,  COHAN Y CAFAM, en la regional Andina de la ciudad de Medellín  estas acciones son fundamentales en el cumplimiento de las funciones de IVC de nuestra Delegada, se da cumplimiento al 100% de lo planteado en el PAG para mayo de 2025.
</t>
  </si>
  <si>
    <t xml:space="preserve">​Se realizó auditoria integral  en al Gestor Farmacéutico  GENHOSPI SAS en el departamento de Nariño , del 28 al 30 de mayo  ordenada a través de Auto 2025600030000695-7, las auditorias son fundamentales en el desarrollo de las acciones de IVC a nuestros vigilados y el cumplimiento al Programa de Auditorias. Se da cumplimiento al 100% de lo propuesto para el mes de mayo.
</t>
  </si>
  <si>
    <t>SE42</t>
  </si>
  <si>
    <t>Realizar actividades de IVC a los Operadores Logísticos de Tecnologías en Salud y/o Gestores Farmacéuticos objeto de supervisión en el marco del proceso de operación</t>
  </si>
  <si>
    <t>Actividades de IVC a los OLTS y/o GF objeto de supervisión en el marco del proceso de operación inicial de la Supervisión Basada en Riesgos</t>
  </si>
  <si>
    <t>Número de actividades de IVC a los OLTS y/o GF objeto de supervisión en el marco del proceso de operación inicial de la Supervisión Basada en Riesgos</t>
  </si>
  <si>
    <t xml:space="preserve">​ Para dar cumplimiento a la Actividades de IVC a Gestores Farmacéuticos objeto de supervisión en el marco del proceso de operación inicial de la Supervisión Basada en Riesgos se programó para los días 28 y 29 de mayo en la ciudad de Bucaramanga, en el contexto de la Mesa Técnica para los departamentos de Santander y Norte de Santander. Teniendo en cuenta la convocatoria de Paro Nacional anunciada por las Centrales Obreras para los días 28 y 29 de mayo, esta actividad será reprogramada.
</t>
  </si>
  <si>
    <t>Oficina Asesora de Planeación</t>
  </si>
  <si>
    <t>Liderar el cumplimiento de metas y compromisos del Plan Estratégico Institucional y Plan Anual de Gestión.</t>
  </si>
  <si>
    <t>Porcentaje de avance en el cumplimiento de actividades formuladas en PEI y PAG</t>
  </si>
  <si>
    <t>(Número de actividades realizadas / Número de actividades formuladas en los planes)*100</t>
  </si>
  <si>
    <t>SE25</t>
  </si>
  <si>
    <t>SE26</t>
  </si>
  <si>
    <t>Mejorar la ejecución presupuestal de los gastos de inversión (obligaciones sobre lo comprometido</t>
  </si>
  <si>
    <t>Porcentaje de cumplimiento de los recursos de inversión.</t>
  </si>
  <si>
    <t>(Recursos de inversión obligados / Recursos de inversión comprometidos)* 100%</t>
  </si>
  <si>
    <t>https://www.supersalud.gov.co/es-co/nuestra-entidad/planeaci%C3%B3n/proyectos-de-inversion</t>
  </si>
  <si>
    <t>Gestionar el cumplimiento del plan de actualización documental del Sistema integrado de gestión, como estrategia de gestión del conocimiento institucional.</t>
  </si>
  <si>
    <t>Porcentaje de documentos actualizados o elaborados en el SIG</t>
  </si>
  <si>
    <t>Número de documentos elaborados o actualizados /Total de documentos priorizados por la vigencia</t>
  </si>
  <si>
    <t>Evaluar y/o calificar los asuntos (NRCD) sobre los cuales se adopte decisión de Inhibitorio, Remisión por Competencia, Indagación Previa y/o Investigación Disciplinaria en etapa de instrucción en el orden en que hayan ingresado a la Oficina de Control Disciplinario Interno, salvo prelación legal o urgencia manifiesta.</t>
  </si>
  <si>
    <t>Porcentaje de asuntos (NRCD) sobre los cuales se adopte decisión en la Oficina de Control Disciplinario Interno en etapa de instrucción</t>
  </si>
  <si>
    <t>(Número de asuntos (NRCD) con decisión adoptada en el período/Número total de asuntos (NRCD) recibidos) * 100</t>
  </si>
  <si>
    <t xml:space="preserve">​De las (95) noticias disciplinarias (Quejas, informe de servidor público o de oficio) recibidas en el primer bimestre de 2025 (Enero - Febrero), se adelantaron las siguientes actuaciones: 31 (33%) Aperturas de indagación Previa; 47 (49%) Autos Inhibitorios; 8 (8%) Traslados por competencia y 9 (9%) Aperturas de Investigación Disciplinaria, profiriendo igual número de autos por el Coordinador del Grupo de Instrucción Disciplinaria en el periodo.
</t>
  </si>
  <si>
    <t xml:space="preserve">​De las (101) noticias disciplinarias (Quejas, informe de servidor público o de oficio) recibidas en el segundo bimestre de 2025 (Marzo - Abril), se adelantaron las siguientes actuaciones: 17 (17%) Aperturas de indagación Previa; 70 (71%) Autos Inhibitorios; 7 (7%) Traslados por competencia y 6 (6%) Aperturas de Investigación Disciplinaria, profiriendo igual número de autos por el Coordinador del Grupo de Instrucción Disciplinaria en el periodo.
</t>
  </si>
  <si>
    <t xml:space="preserve">​De las (64) noticias disciplinarias (Quejas, informe de servidor público o de oficio) recibidas en el tercer bimestre de 2025 (Mayo - Junio), se adelantaron las siguientes actuaciones: 28 (44%) Aperturas de indagación Previa; 27 (42%) Autos Inhibitorios; 4 (6%) Traslados por competencia y 5 (8%) Aperturas de Investigación Disciplinaria, profiriendo igual número de autos por el Coordinador del Grupo de Instrucción Disciplinaria en el periodo.
</t>
  </si>
  <si>
    <t>Evaluar y/o calificar con decisión de fondo en etapa de instrucción (archivo o pliego de cargos) , de conformidad con la fecha de los hechos disciplinariamente relevantes y el acervo probatorio obrante en el expediente, salvo prelación legal o urgencia manifiesta.</t>
  </si>
  <si>
    <t>Porcentaje de decisiones de fondo adoptadas en etapa de instrucción en la Oficina de Control Disciplinario Interno</t>
  </si>
  <si>
    <t>(Número de decisiones de fondo adoptadas en el período/Número total de procesos evaluados en etapa de instrucción) * 100</t>
  </si>
  <si>
    <t xml:space="preserve">Dada la dinámica de la etapa de instrucción y la variación mensual (Enero:2014; Febrero: 207; Marzo: 226; Abril:206;Mayo:214 y Junio:226) del inventario de expedientes objeto de evaluación o calificación, para adoptar una decisión (archivo o pliego de cargos), se tomará el promedio del semestre (215) como denominador, para el cálculo del indicador, excluyendo aquellos expedientes cuyo termino de duración de la indagación previa o investigación disciplinaria se encuentra en curso (vigente), de los 215 expedientes reseñados, se adoptaron 131 decisiones de archivo con fundamento en las causales del artículo 90 del Código General Disciplinario y se formuló un (1) pliego de cargos.    
En las reuniones de Autoevaluación mensual de la OCDI se verifica el avance frente al indicador y se acumula el mismo, a saber:EneroFebreroMarzoAbrilMayoJunioIndicador:
 (49) Decisiones de Fondo Adoptadas Etapa Instrucción / (214) Número Total Procesos Evaluados - Etapa Instrucción *100 = 22,89%Indicador:
 (32) Decisiones de Fondo Adoptadas Etapa Instrucción / (207) Número Total Procesos Evaluados - Etapa Instrucción *100 = 15,45%Indicador:
 (25) Decisiones de Fondo Adoptadas Etapa Instrucción / (226) Número Total Procesos Evaluados - Etapa Instrucción *100 = 11,06%Indicador:
 (12) Decisiones de Fondo Adoptadas Etapa Instrucción / (206) Número Total Procesos Evaluados - Etapa Instrucción *100 = 5,82%Indicador:
 (1) Decisiones de Fondo Adoptadas Etapa Instrucción / (214) Número Total Procesos Evaluados - Etapa Instrucción *100 = 0,46%Indicador:
 (14) Decisiones de Fondo Adoptadas Etapa Instrucción / (226) Número Total Procesos Evaluados - Etapa Instrucción *100 = 6,19% 22,89% (49)38,34% (81)49,40 % (106)55,22% (117)55,68% (118)61,87% (132)
La meta programada, esta superada en el 36,39%, ya que para el primer semestre se tenia previsto un avance del 25%, pero se logro el 61,39%     
</t>
  </si>
  <si>
    <t>SE38</t>
  </si>
  <si>
    <t>Evaluar y/o calificar con decisión de fondo en etapa de juzgamiento (archivo o fallo de primera instancia), de conformidad con la fecha de los hechos disciplinariamente relevantes y el acervo probatorio obrante en el expediente, salvo prelación legal o urgencia manifiesta.</t>
  </si>
  <si>
    <t>Porcentaje de decisiones de fondo adoptadas en etapa de juzgamiento en la Oficina de Control Disciplinario Interno</t>
  </si>
  <si>
    <t>(Número de decisiones de fondo adoptadas en el período/Número total de procesos evaluados en etapa de juzgamiento) * 100</t>
  </si>
  <si>
    <t xml:space="preserve">El inventario de expedientes existentes en el primer semestre 2025, a evaluar en etapa de juzgamiento, para adoptar la decisión de primera instancia, correspondía a cuatro (4) de los cuales se adoptó fallo sancionatorio de primera instancia en dos (2),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
Lo previsto para el primer semestre se alcanzó según o previsto en el indicador, incluso superando la línea base del indicador.
</t>
  </si>
  <si>
    <t>SE39</t>
  </si>
  <si>
    <t>Realizar las Pre jornadas de la función de conciliación con el fin de dirimir los conflictos entre los actores del SGSS con informes de resultados.</t>
  </si>
  <si>
    <t>Pre jornadas de la función de conciliación con informes de resultados</t>
  </si>
  <si>
    <t>Número de Pre jornadas de la función de conciliación con informes de resultados</t>
  </si>
  <si>
    <t>Fortalecer el conocimiento de los servidores públicos de la SNS en materia disciplinaria, respecto de la nueva normatividad y sus modificaciones, parámetros de trabajo unificados, con el fin de afianzar los valores institucionales y buenas prácticas, garantizando una adecuada prestación del servicio y por ende salvaguardando la función pública.</t>
  </si>
  <si>
    <t>Porcentaje de Capacitaciones, Autocapacitaciones y Charlas de Sensibilización y preservación del orden interno en materia disciplinaria</t>
  </si>
  <si>
    <t>(Número de Capacitaciones, Autocapacitaciones y Charlas de Sensibilización y de preservación del orden interno, sobre acciones preventivas disciplinarias y normatividad vigente realizadas en el periodo/ Número de Capacitaciones, Autocapacitaciones y Charlas de Sensibilización y de preservación del orden interno, sobre acciones preventivas disciplinarias y normatividad vigente a realizar en el periodo)*100</t>
  </si>
  <si>
    <t>SE43</t>
  </si>
  <si>
    <t>Realizar las jornadas de la función de conciliación con el fin de dirimir los conflictos entre los actores del SGSS con informes de resultados.</t>
  </si>
  <si>
    <t>Jornadas de la función de conciliación con informes de resultados</t>
  </si>
  <si>
    <t>Numero de jornadas de la función de conciliación con informes de resultados</t>
  </si>
  <si>
    <t>SE46</t>
  </si>
  <si>
    <t xml:space="preserve">​Se informa que el número de acuerdos conciliatorios con seguimientos  realizados fueron 87; a su vez , el  número de acuerdos conciliatorios suscritos que sean exigibles fueron tambien 87 , cunpliendose la regla establecida en el indicador 
</t>
  </si>
  <si>
    <t xml:space="preserve">​Entre abril y junio 2025 NO se han realizado diálogos, por este motivo no se cuenta con informacionn para este reporte. El último dialogo realizado fue en marzo 2025. 
</t>
  </si>
  <si>
    <t>TR04</t>
  </si>
  <si>
    <t xml:space="preserve">El Indicador correspondiente al numero de Providencias gestionadas y finalizadas por el Grupo de reconocimiento económico en el segundo trimestre del año 2025, correspondieron a un total de 140 providencias, proyectos que se ingresaron al despacho para aprobación  firma del Delegado durante el periodo comprendido entre abril a junio de 2025. Es de anotar que se ha logrado disminuir el numero de providencias represadas del año 2024 hasta lograr llegar a 34 providencias pendientes de dicho periodo , mejorando ostensiblemente la gestion . 
</t>
  </si>
  <si>
    <t>TR05</t>
  </si>
  <si>
    <t>Conocer y gestionar el proceso de Cobertura de servicios incluidos en el Plan de Beneficios de Salud - PBS, Cobertura de servicios NO incluidos en el PBS, Multiafiliación y Libre Elección y Movilidad conforme a la Ley 1949 de 2019 //</t>
  </si>
  <si>
    <t>Porcentaje de demandas gestionadas en el semestre</t>
  </si>
  <si>
    <t>Número de demandas gestionadas en el semestre / Totalidad de las demandas radicadas en igual período</t>
  </si>
  <si>
    <t xml:space="preserve">​El número de demandas gestionadas en el semestre fueron de 643; la totalidad de las demandas radicadas en igual período fueron en total 643 y se gestionaron la totalidad , es decir el 100% y fueron a demanda regular en la Delegada. 
</t>
  </si>
  <si>
    <t xml:space="preserve">​Durante el Segundo trimestre del 2025 los eventos reportados para promover los derechos y deberes en salud y mecanismos de participación ciudadana en salud fueron 70 entre jornadas de atención, capacitaciones, seminarios y acompañamientos a diferentes entidades estatales.
</t>
  </si>
  <si>
    <t>https://acortar.link/YT5eJy</t>
  </si>
  <si>
    <t>TR07</t>
  </si>
  <si>
    <t>https://acortar.link/TKrRyQ</t>
  </si>
  <si>
    <t>Realizar capacitaciones en derechos y deberes en salud y mecanismos de participación ciudadana en territorios incluidos en el Programa de Desarrollo con Enfoque Territorial PDET.</t>
  </si>
  <si>
    <t>Capacitaciones realizadas en  territorios cobijados por los programas de desarrollo con enfoque territorial PDET</t>
  </si>
  <si>
    <t>Número de capacitaciones realizadas en territorios cobijados por los programas de desarrollo con enfoque territorial PDET</t>
  </si>
  <si>
    <t xml:space="preserve">​Durante el semestre se realizaron 7 capacitaciones en derechos y deberes y mecanismos de participacion ciudadana en municipios PDET con un total de 962 asistentes 
</t>
  </si>
  <si>
    <t xml:space="preserve">​Entre abril y junio se radicaron y trasladaron al responsable del aseguramiento a travez de una orden de inmediato y obligatorio cumplimiento 432.616 reclamos en salud recibidos por multicanal (escrito, web, telefonico, chat y redes sociales)
</t>
  </si>
  <si>
    <t>https://acortar.link/KKmiL8</t>
  </si>
  <si>
    <t xml:space="preserve">​Entre abril a junio se radicaron y trasladaron al responsable del aseguramiento a travez de una orden de inmediato y obligatorio cumplimiento 87.742 reclamos en salud recibidos por el canal presencial
</t>
  </si>
  <si>
    <t>https://acortar.link/VISX52</t>
  </si>
  <si>
    <t>Realizar socialización de las funciones jurisdiccional y de conciliación a los usuarios y actores del S.G.S.S.S para el efectivo acceso a la justicia.</t>
  </si>
  <si>
    <t>Socialización de las funciones jurisdiccional y de conciliación a los usuarios y actores del S.G.S.S.S.</t>
  </si>
  <si>
    <t>Numero de socializaciones de las funciones jurisdiccional y de conciliación a los usuarios y actores del S.G.S.S.S.</t>
  </si>
  <si>
    <t xml:space="preserve">​Se cumple con el numero de socializaciones de las funciones y actuvidades de la DFJC a los actores del SGSSS establecidas para el semestre , se anexan los informes , certificaciones y evidencias de asistencia tanto de los funcinarios como los actores del SGSSS. 
</t>
  </si>
  <si>
    <t>https://acortar.link/5G6aKf</t>
  </si>
  <si>
    <t>Caracterizar a los nuevos Gestores Farmacéuticos identificados en los años 2023 y 2024 respecto del componente financiero.</t>
  </si>
  <si>
    <t>Caracterización individual de los nuevos Gestores Farmacéuticos identificados por la Dirección de Innovación y Desarrollo los años 2023 y 2024,respecto del componente financiero.</t>
  </si>
  <si>
    <t>Número de caracterizaciones realizadas a los Gestores Farmacéuticos Identificados respecto del componente financiero.</t>
  </si>
  <si>
    <t xml:space="preserve"> En cumplimiento de las metas programadas por la DOLTS_GF SNS en el cronograma de actividades del Plan Anual de Gestión - PAG del mes junio de 2025, donde se incluyeron sesenta y cinco (65) caracterizaciones individuales de los “nuevos” Gestores Farmacéuticos identificados por la Dirección de Innovación y Desarrollo de los años 2023 y 2024, se anaxan las evidencias documentales de las actuaciones adelantadas por el Grupo Interno Financiero de esta Delegatura. De esta manera se da cumpliemiento al 100% de lo propuesto para el mes de junio 2025.
</t>
  </si>
  <si>
    <t>https://supersalud-my.sharepoint.com/:f:/r/personal/lilia_torres_supersalud_gov_co/Documents/2025?csf=1&amp;web=1&amp;e=Z2j28e</t>
  </si>
  <si>
    <t xml:space="preserve">​Al corte del 30 de junio de 2025 en la entidad se expidieron 5233 resoluciones las cuales ingresaron en su totalidad al Grupo de Gestion de Notificaciones y Comunicaciones, se gestionaron 5182, dejando en trámite 51 actos administrativos en su gran mayoría expedidos en los últimos días del mes y los cuales por distintos tramites se encuentra en gestion al corte del mes de este reporte. 
</t>
  </si>
  <si>
    <t>Realizar sensibilización con el fin de optimizar el trámite de notificación al interior de la Entidad.</t>
  </si>
  <si>
    <t>Sensibilizar a los funcionarios de la Entidad en el trámite de notificación de actos administrativos.</t>
  </si>
  <si>
    <t>Número de acciones realizadas con el fin dedar a conocer el proceso de notificación de los actos administrativos.</t>
  </si>
  <si>
    <t xml:space="preserve">Entre las actividades realizadas para la sensibilización se solicitó a través de la dirección administrativa la creación y divulgación de una pieza grafica con información relacionada al formato DIFT05 por el cual los vigilados pueden autorizar la notificación electrónica de los actos administrativos tramitados por el grupo de gestión de notificación y comunicaciones de la dirección administrativa, se adjunta evidencia de la campaña ya realizada por correo institucional. 
</t>
  </si>
  <si>
    <t>Realizar las acciones para el seguimiento y monitoreo a las vigilados de las liquidaciones no Ordenadas por la Superintendencia Nacional de Salud</t>
  </si>
  <si>
    <t>Visitas de seguimiento de las liquidaciones No Ordenadas por la Superintendencia Nacional de Salud.</t>
  </si>
  <si>
    <t xml:space="preserve">​Debido al cambio de personal de la OL y la prioridad de las visitas de seguimiento y monitoreo de las entidades en liquidación , las visitas programadas en el año se realizaran en el segundo semestre.Se modificará este indicador .  
</t>
  </si>
  <si>
    <t>Brindar apoyo técnico científico, jurídico, financiero y admistrativo para el seguimiento y monitoreo de los vigilados a cargo de la Oficina de Liquidaciones</t>
  </si>
  <si>
    <t>Documentos radicados efectivos de salida en la herramienta Superargo de los procesos de respuesta a los usuarios o entidades del SGSSS y traslados a órganos de control</t>
  </si>
  <si>
    <t>Número de documentos radicados de salida</t>
  </si>
  <si>
    <t xml:space="preserve">​Mediante la contratación de 2 profesionales del area jurídica  se esta haciendo el  seguimiento y monitoreo de los vigilados a cargo de la Oficina de Liquidaciones la evidencia son los documentos documentos radicados efectivos de salida en la herramienta Superargo de los procesos de respuesta a los usuarios o entidades del SGSSS y traslados a órganos de control que para el caso del primer semestre fueron 322 de salida efectivos . El incumplimiento del indicador a que se retrazó el tiempo en la oficina de contratación para realizar los contratos y la fecha de inicio fué diferente a la programada. 
</t>
  </si>
  <si>
    <t>Ejecutar Plan Anual de Auditorías Internas de Gestión</t>
  </si>
  <si>
    <t>Auditorías realizadas de acuerdo con el Plan Anual de Auditorias</t>
  </si>
  <si>
    <t>Número de auditorias realizadas en el periodo de acuerdo con el plan anual de auditorias</t>
  </si>
  <si>
    <t xml:space="preserve">De conformidad a la programación establecida en el PAAS para la vigencia 2025 y en atención a la actividad "Ejecutar Programa Anual Seguimiento a la Gestión Institucional", alusiva al indicador "Auditorías realizadas de acuerdo con el Plan Anual de Auditorías", la Oficina de Control Interno definió reportar en el mes de julio el cumplimiento correspondiente al primer semestre de la presente anualidad; de ello, se puede precisar, que fueron presentadas ante el CICCI dos (2) de las cuatro (4) auditorías programadas.
De las 2 (dos) restantes, la referente al proceso "Gestión Financiera" fue presentada el 01 de julio de 2025 ante el CICCI y la segunda alusiva al proceso "Gestión de Bienes y Servicios" se encuentra en ejecución, concluyéndose que las auditorías en mención serán reportadas en el segundo semestre de la presente anualidad.
Por lo anteriormente señalado, el porcentaje de cumplimiento para el período ahora reportado obedece al 50% de ejecución de acuerdo con lo definido en el Plan Anual de Auditorías.
</t>
  </si>
  <si>
    <t xml:space="preserve">De conformidad a la programación establecida en el PAAS para la vigencia 2025 y en atención a la actividad "Ejecutar Programa Anual Seguimiento a la Gestión Institucional", alusiva al indicador "Seguimientos y evaluaciones efectuadas al control institucional", la Oficina de Control Interno definió reportar en el mes de julio el cumplimiento correspondiente al segundo trimestre de la presente anualidad; de ello, se puede precisar, que fueron ejecutadas nueve (9) de las trece (13) actividades programadas, concluyéndose que las cuatro (4) restantes serán reportadas en el segundo semestre de la presente anualidad.
Por lo anteriormente señalado, el porcentaje de cumplimiento para el período ahora reportado obedece al 69% de ejecución de acuerdo con lo definido en el Plan Anual de Seguimientos de Ley a la Gestión Institucional.
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
</t>
  </si>
  <si>
    <t>https://supersalud.sharepoint.com/teams/Gestiondelconocimiento/Shared%20Documents/Forms/AllItems.aspx</t>
  </si>
  <si>
    <t>Proyectar los actos administrativos que resuelven los recursos de reposición, y solicitudes de revocatoria directa que se presenten dentro de los procesos de única instancia.</t>
  </si>
  <si>
    <t>Porcentaje de actos administrativos entregados para firma, numeración y su posterior notificación, que resuelven los recursos y solicitudes de revocatoria directa que se presenten dentro de los procesos de única instancia.</t>
  </si>
  <si>
    <t>(Número de proyectos de actos administrativos entregados para firma del Superintendente Nacional de Salud, que resuelven recursos y solicitudes de única instancia, que vencen dentro del periodo a reportar / No solicitudes de única instancia con vencimiento dentro del periodo a reportar) x 100.</t>
  </si>
  <si>
    <t>Proyectar los actos administrativos que resuelven los recursos de apelación y queja y solicitudes de revocatoria directa que se presentaron dentro de los procesos administrativos sancionatorios en segunda instancia.</t>
  </si>
  <si>
    <t>Actos administrativos entregados para firma, numeración y su posterior notificación oportuna, que resuelven los recursos de apelación, queja y solicitudes de revocatoria directa que se presentaron dentro de los procesos sancionatorios en segunda instancia.</t>
  </si>
  <si>
    <t>(Número de recursos entregados para la firma del Superintendente Nacional de Salud resolviendo solicitudes de segunda instancia que se vencen dentro del periodo a reportar / No solicitudes de segunda instancia con vencimiento dentro del periodo a reportar) x 100</t>
  </si>
  <si>
    <t xml:space="preserve">Formular e implementar los planes y programas del componente Sistema de Gestión Ambiental y Carbono Neutro en la Entidad.
</t>
  </si>
  <si>
    <t>https://supersalud-my.sharepoint.com/:f:/g/personal/ever_cardenas_supersalud_gov_co/ErOk4_FXSFpLi3oeZvLbvfcB4bbc-J8Ica2nVdjoxYKirg?e=gK2rii</t>
  </si>
  <si>
    <t xml:space="preserve">​Con respecto a la medición de la tasa de éxito procesal: Durante el primer semestre de 2025 fueron fallados 116 procesos, 7 con sentido del fallo desfavorable que corresponde al 6,03%  y 109 con sentencias favorables que corresponde al 93,97%, evidenciando una adecuada defensa técnica de los intereses de la Superintendencia Nacional de Salud por parte de los abogados del Grupo de Defensa Judicial.
Con respecto a la actualización de la Relatoría: Durante el primer semestre de 2025 los abogados del Grupo de Defensa Judicial, realizaron la actualización de la relatoria, se adjunta como soporte: el documento Relatoría 2025 y la matriz en excel.
Con respecto a fortalecer con capacitación a los abogados en la actuación en procesos orales y cambios normativos: Durante el primer semestre de 2025 los abogados del Grupo de Defensa Judicial, se capacitaron en la Comunidad Jurídica del Conocimiento, se adjuntan evidencias de cursos.
Con respecto al monitoreo de la ejecución del plan de acción de la política del daño antijurídico: En cumplimiento a la actividad,  se adjunta soportes de capacitación del 02 de abril de 2025 de la Subdirección de Recursos Jurídicos. Asímismo se remite correo electrónico del 04 de julio solicitando la evidencias de capacitación de la DIA.
Con respecto a adelantar actividades de seguimiento a la gestión en el marco de la política de prevención del daño antijurídico PPDA en la Superintendencia Nacional de Salud: Como evidencia de realización de la actividad se anexa el reporte de seguimiento a la PPDA del Ekogui.
</t>
  </si>
  <si>
    <t>Generar alertas a partir del monitoreo de los riesgos financieros en las Empresas Sociales del Estado priorizadas, que les permitan establecer controles y anticipen la afectación que se pueda ocasionar en la atención de los usuarios por una inadecuada gestión de los recursos.</t>
  </si>
  <si>
    <t>Alertas identificadas y gestionadas en el monitoreo y vigilancia de los recursos financieros a 25 ESE durante la vigencia 2025, respecto de 4 indicadores financieros.</t>
  </si>
  <si>
    <t>Número alertas gestionadas en las ESE</t>
  </si>
  <si>
    <t xml:space="preserve">Desde las acciones realizadas por la Delegada para Prestadores de Servicios de Salud, se monitorea el resultado de cuatro (4) indicadores calculados a partir de la información financiera reportada por las ESE al cierre de la vigencia anterior (2024), los cuales contemplan variables relacionadas con cartera, pasivos especialmente al talento humano en salud, pérdidas operacionales y generación de recaudo frente a ingresos causados. 
Como meta se estableció el seguimiento y realización de acciones de inspección y vigilancia sobre 25 Empresas Sociales del Estado distribuidas así: 
• Diez (10) durante el primer semestre 
• Quince (15) durante el segundo semestre 
Lo anterior con el fin de verificar en campo el comportamiento y fallas que se pudieran identificar frente a los resultados obtenidos en los indicadores. Producto de estas acciones, se generan los respectivos informes de auditoría y traslados a entidades a las autoridades competentes. 
En este sentido, para efectos de obtener el resultado del indicador, se multiplica el número de Empresas Sociales del Estado priorizadas por el número cuatro (4) que equivale a la cantidad de indicadores verificados desde el componente financiero a partir de la información financiera, como se indicó anteriormente.
Es decir, que para el I semestre de la vigencia 2025, se realizaron acciones de IV a diez (10) ESE multiplicado por 4 indicadores financieros, para un total de 40 alertas identificadas y gestionadas en el monitoreo y vigilancia de los recursos financieros.
</t>
  </si>
  <si>
    <t xml:space="preserve">​Durante el primer semestre se avanzó en la elaboración y formulación de un Programa de Gestión del Conocimiento, el cual busca alinear todas las iniciativas, acciones y proyectos que la Superintendencia Nacional de Salud debe seguir adelantando para la implementación de la Política GESCO+I. Éste se encuentra en validación. 
</t>
  </si>
  <si>
    <t>https://supersalud-my.sharepoint.com/:b:/g/personal/gerson_ruiz_supersalud_gov_co/Eajq2qlUUwVDl86-4YjthbEBuDITyZoiUwKdU7lAIxdkoA?e=2133Tm</t>
  </si>
  <si>
    <t>Implementar planes de acción de políticas de prevención de daño antijurídico</t>
  </si>
  <si>
    <t>Cumplimiento de planes de políticas de prevención de daño antijurídico</t>
  </si>
  <si>
    <t>(Cantidad de actividades ejecutadas en el periodo / Cantidad de actividades planificadas en la política de prevención del daño antijurídico para el periodo)*100</t>
  </si>
  <si>
    <t xml:space="preserve">​Durante el primer semestre de 2025  para las dos actividades programadas en el cumplimiento del indicador, se confirmó la realización de las capacitaciones a cargo de la Subdirección de Recursos Jurídicos y la Delegada de Investigaciones Administrativas, en cumplimiento al seguimiento a la PPDA, se adjunta soportes.
</t>
  </si>
  <si>
    <t>Monitorear los riesgos y su gestión a los prestadores de servicios de salud priorizados conforme a las herramientas definidas en la Dirección de Inspección y Vigilancia para Prestadores.</t>
  </si>
  <si>
    <t>Total de acciones de Inspección y Vigilancia para el monitoreo de los riesgos</t>
  </si>
  <si>
    <t>Numero total de acciones de Inspección y Vigilancia para el monitoreo de los riesgos</t>
  </si>
  <si>
    <t>Proyectar dentro de los términos de ley, las respuestas conceptos, solicitudes y derechos de petición recibidos que sean competencia del grupo de conceptos de la Dirección Jurídica</t>
  </si>
  <si>
    <t>Porcentaje de conceptos, solicitudes y derechos de petición tramitados.</t>
  </si>
  <si>
    <t>(Número de conceptos, derechos de petición y solicitudes tramitados en el semestre/ Número de conceptos, solicitudes y derechos de petición recibidos en el periodo)x 100</t>
  </si>
  <si>
    <t xml:space="preserve">Durante el primer semestre de 2025 se obtuvieron los resultados relacionados en el documento adjunto, en el cual se evidencian tanto los porcentajes de respuesta a peticiones en tiempo como los porcentajes de aquellas que fueron atendidas de manera extemporánea, en su mayoría porque llegaron vencidos a la Dirección Jurídica. ​
</t>
  </si>
  <si>
    <t xml:space="preserve">​Durante este trimestre se realizaron las 6 actualizaciones correspondiente al normograma de la entidad. Adicionalmente, se programó mesa de trabajo de la politica de mejora nornativa para el 16 de junio de 2025; sin embargo esta se reprogramó para el dia 1 de julio de 2025 por contingencias laborales en las Direcciones.
</t>
  </si>
  <si>
    <t xml:space="preserve">​En el segundo trimestre del año 2025, se recibieron en total 153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Respecto a los 153 asuntos de demandas recibidos , se notificaron 12 autos admisorios de la demanda por lo que, los abogados del Grupo de Defensa Judicial realizaron la contestación de estas 06 demandas en el término otorgado por la ley, y 137 asuntos judiciales están en trámite de proyección por no haberse notificado a la fecha el auto admisorio de estas demandas; 1 asunto judicial se encuentra en evaluación de presentación de Nulidad frente a la notificación, al tratarse de un auto vencido en términos; 2 asuntos judiciales se encuentran en viabilidad de presentación de la demanda por falta de documentos; en 1 asunto judicial no hace parte la SNS; en conclusión se tiene un total de 153 procesos judiciales y un cumplimiento del 100% respecto de las demandas notificadas y contestadas dentro del término legal.
</t>
  </si>
  <si>
    <t>https://supersalud.sharepoint.com/:f:/g/DID/PeI/EraW8l1GC9lOiIW8IcCjEMcBq89Sx23QXqVNhLcpRzRHEg?e=ZYcmDm</t>
  </si>
  <si>
    <t xml:space="preserve">​En el segundo trimestre del año 2025, se recibieron 78 solicitudes de conciliación extrajudicial; de las cuales 75 fueron presentadas y decididas por el Comité de Conciliación, 2 se encuentran en proyecto para ser presentadas en el próximo comité de conciliación, y 1 solicitud de conciliación se encuentra en evaluación por duplicidad, en espera de soporte; para un total de 78 solicitudes, cumpliéndose este indicador en un 96,15%.
</t>
  </si>
  <si>
    <t>Diseñar el Marco Integral de Supervisión y generar estrategias de uso y apropiación</t>
  </si>
  <si>
    <t>Porcentaje de avance en el diseño e implementación de estrategias de uso y apropiación del Marco Integral de Supervisión.</t>
  </si>
  <si>
    <t>Número de productos términados del Marco Integral de Supervisión / Número total de productos programados para el diseño del Marco Integral de Supervisión</t>
  </si>
  <si>
    <t>https://supersalud.sharepoint.com/:b:/g/DID/PeI/EUm0usj7X0BCsjh98GLahZ0BEXGWSs3NjF98uea-KeaLrg?e=aQuhKF</t>
  </si>
  <si>
    <t>Socializar, divulgar y brindar acompañamiento técnico para la implementación de instrumentos, guías, metodologías y lineamientos a nivel interno (nacional y regional) y externo (cuando aplique).</t>
  </si>
  <si>
    <t>Jornadas de socialización y acompañamiento técnico de instrumentos, guías, metodologías y lineamientos durante la vigencia 2025</t>
  </si>
  <si>
    <t>Número de jornadas de socializacion e implementación de instrumentos, guías, metodologías y lineamientos</t>
  </si>
  <si>
    <t>https://supersalud.sharepoint.com/:f:/g/DID/PeI/EsDvAcs2nKlAtOMG0dWRaCEBBozWbeBHjIY8_UbX1lP7RQ?e=dbgR2G</t>
  </si>
  <si>
    <t>Diseñar un sistema integral de seguimiento, monitoreo y evaluación de las órdenes judiciales y mandatos de organismos internacionales</t>
  </si>
  <si>
    <t>Porcentaje de acciones cumplidas para el diseño del sistema integral de seguimiento a sentencias</t>
  </si>
  <si>
    <t>Numero de acciones realizadas para el diseño del sistema integral / Total de acciones programadas para el diseño del sistema integral de seguimiento a sentencias *100</t>
  </si>
  <si>
    <t xml:space="preserve">​Durante el primer semestre se realizaron 3 acciones para el diseño del sistema integral de seguimiento a sentencias, en las cuales se viene trabajando la creación del procedimiento de seguimiento a sentencias y el desarrollo del aplicativo que apoye en la identificación, seguimiento y cumplimiento de las diferentes ordenes. 
</t>
  </si>
  <si>
    <t>Orientaciones técnicas a los Prestadores de Servicios en Salud ejecutadas</t>
  </si>
  <si>
    <t>Número de orientaciones técnicas realizadas a los prestadores de servicios de salud</t>
  </si>
  <si>
    <t xml:space="preserve">Para el I semestre de la vigencia 2025, la Dirección de Inspección y Vigilancia para Prestadores de Servicios de Salud, si bien realizó la programación de 5 orientaciones técnicas, se ejecutaron 7, lo que corresponde a un cumplimiento del 140% vs la meta establecida.
En ese orden de ideas, las dos (2) orientaciones técnicas que se realizaron adicional a las programadas para este periodo, se enfocaron en:
La situación de alerta y emergencia en todo el territorio nacional por fiebre amarilla específicamente en el Departamento del Tolima, por lo que en el marco de la Circular Externa 0018 de 2024, mediante la cual el Ministerio de Salud y Protección Social emite directrices para la preparación, organización y respuesta ante este evento de interés en salud pública. Este despacho consideró relevante generar un espacio para la realización de orientación técnica con los Prestadores de Servicios de Salud del Tolima, con el fin de afianzar el deber del prestador como Unidad Primaria Generadora de Datos - UPGD, así como de reiterar la responsabilidad que les asiste en el cumplimiento de las características del Sistema General de Seguridad Social en Salud, como accesibilidad, oportunidad, seguridad, pertinencia y continuidad.
Teniendo en cuenta que el Chocó se encuentra entre los Departamentos con mayor número de casos de desnutrición aguda en menores de 5 años (evento 113), morbilidad materna extrema (evento 549) y mortalidad materna (550), se realizó jornada de seguimiento a los planes de mejora de los prestadores priorizados ante los eventos de Interés en Salud Pública desnutrición y morbimortalidad materna y perinatal, con el objetivo de verificar el cumplimiento efectivo del plan de mejora generado por parte de los ocho (8) prestadores de servicios de salud priorizados, frente a la atención de los menores de edad de 0 a 59 meses, las gestante y neonatos en los territorios de influencia de cada uno de ellos con el propósito disminuir la desnutrición y la morbimortalidad materno perinatal.
</t>
  </si>
  <si>
    <t>https://acortar.link/nIWK7w</t>
  </si>
  <si>
    <t xml:space="preserve">​Durante el mes de Junio, se gestionaron  423  cuentas que fueron radicadas en los tiempos estipulados de acuerdo con la Circular Interna 2022920020000026-4 de 2022,asi mismo, los documentos radicados despues del dia 25 calendario se tramitaron en el siguiente mes. Por lo cual, se cumplió con la meta del indicador del 100%, (423/423) habiendo gestionado la totalidad de las cuentas radicadas con un tiempo de gestión de 2,6 dias hábiles. Se adjunta base con relación de cuentas radicadas y gestionadas, asi como el reporte del indicador con la correspondiente gráfica.
</t>
  </si>
  <si>
    <t>Adelantar seguimiento a la gestión del Programa de Mejoramiento Institucional - PMI</t>
  </si>
  <si>
    <t>Porcentaje de seguimiento a la ejecución del Programa de Mejoramiento Institucional</t>
  </si>
  <si>
    <t xml:space="preserve">(La formula del indicador quedaría de la siguiente manera: Número de seguimientos adelantados a los PMI / Numero de PMI reportados a la Dirección IV para PSS)*100
</t>
  </si>
  <si>
    <t>https://supersalud-my.sharepoint.com/:f:/g/personal/gerson_ruiz_supersalud_gov_co/ErOAbLgXaQFNpDjlOEgDaJ4B-noJafXDxI2deoTS70VbpA?e=EwVAlG</t>
  </si>
  <si>
    <t>https://supersalud-my.sharepoint.com/:f:/g/personal/gerson_ruiz_supersalud_gov_co/EnSqhTq7pNVCrS8vROY56AEBNt-QtEa2LjHpsSHmGjMcSw?e=W380h1</t>
  </si>
  <si>
    <t>Gestionar con decisión de fondo (sanción, cierre y archivo y caducidad) las investigaciones administrativas con riesgo de caducidad 2025</t>
  </si>
  <si>
    <t>Porcentaje de  decisión de fondo de  las investigaciones administrativas con riesgo de caducidad 2025</t>
  </si>
  <si>
    <t>(Número de investigaciones administrativas con riesgo de caducidad 2025, que hayan sido objeto de decisión dentro del trimestre de reporte / Número de investigaciones con caducidad 2025)*100</t>
  </si>
  <si>
    <t>Optimizar el proceso de recaudo de la cartera de obligaciones a cargo del Grupo de Cobro Persuasivo y Jurisdicción Coactiva a partir del impulso procesal.</t>
  </si>
  <si>
    <t>Porcentaje de recaudo de cartera, frente al valor total de la cartera cobrable.</t>
  </si>
  <si>
    <t>(valor total de la cartera clasificada como cobrable con corte al cierre de la vigencia anterior * 20) / 100</t>
  </si>
  <si>
    <t xml:space="preserve">​El Grupo de Cobro Persuasivo reporta el avance del recaudo hasta el mes de mayo de 2025 dado que  por los cierres financieros el archivo de recaudo lo envían los primeros 10 días hábiles del mes, y al reportarse el indicador PAG el 8 de julio, aún NO se tiene el mencionado informe. (Se anexa el detalle del recaudo hasta el mes de mayo) . Es importante aclarar que, de acuerdo con la formulación actual del  indicador la meta para la vigencia 2025 es igual a = $26.161.920.186, equivalente al 20% del valor total de cartera clasificada como cobrable con corte al cierre de la vigencia 2024 ($130.809.600.838)  y su proyección de metas durante la vigencia 2025, Junio 5% y Diciembre 15%, tomando como el 100% el valor de la meta $26.161.920.186 corresponden en realidad a proyección de metas Junio 25% ($ 6.540.480.042) y Diciembre 75% ($19.621.440.126). Por lo cual, durante este primer reporte, se ha superado la meta establecida, dado el resultado de $12.912.549.248, equivalente al 49,35% a corte del mes de Mayo.  Nota: Se debe realizar modificación en la fórmula del indicador, en el cual, se refleje como numerador el valor de recaudo del periodo / valor de recaudo establecido como meta, reflejando el avance.
</t>
  </si>
  <si>
    <t>Resolver o gestionar las solicitudes de los vigilados relacionadas con las Reformas Estatutarias de IPS conforme a los descrito en la normatividad vigente.</t>
  </si>
  <si>
    <t>Porcentaje de solicitudes gestionadas de los vigilados relacionados con reformas estatutarias</t>
  </si>
  <si>
    <t>Número de solicitudes de reformas estatutarias gestionadas/Número de solicitudes de reformas estatutarias recibidas para trámite en la vigencia.</t>
  </si>
  <si>
    <t>Determinar las solcitudes de investagaciones aceptadasque cumplen con los lineamientos establecidos en los Ans del proceso de la delegada.</t>
  </si>
  <si>
    <t>Porcentaje de solicitudes de investigación aceptadas tras cumplir ANS</t>
  </si>
  <si>
    <t>(Número de solicitudes de investigación aceptadas) / Número de solicitudes de investigación recibidas  en el semestre de reporte)*100</t>
  </si>
  <si>
    <t>Resolver los recursos de apelación por evaluación de gerentes y evaluación no satisfactoria por no presentación de proyecto de plan de gestión o de informe de cumplimiento de plan de gestión de las Empresas Sociales del Estado.</t>
  </si>
  <si>
    <t>Porcentaje de recursos de apelación por evaluación de gerentes y evaluación no satisfactoria por no presentación del plan de gestión.</t>
  </si>
  <si>
    <t>Número de recursos de apelación por evaluación de gerentes y evaluación no satisfactoria por no presentación del plan de gestión, gestionadas en los tiempos establecidos/ Número de recursos de apelación por evaluación de gerentes y evaluación no satisfactoria por no presentación del plan de gestión recibidas.</t>
  </si>
  <si>
    <t xml:space="preserve">​Para el I semestre de 2025, se recibió un recurso de apelación por evaluación de gerente, el cual fue gestionado en el término establecido, dando cumplimiento a la meta proyectada del 100%.
</t>
  </si>
  <si>
    <t xml:space="preserve">​Para el segundo trimestre de la vigencia se consiguió un porcentaje de cumplimiento de 100% de las actividades programadas para el período, para un porcentaje acumulado del 100% del total de las actividades programadas para la vigencia en la actividad 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
</t>
  </si>
  <si>
    <t>https://supersalud-my.sharepoint.com/:f:/r/personal/camila_jaime_supersalud_gov_co/Documents/SNS/DOCUMENTOS/SEGUIMIENTO%20PAG/2025/PAG%20II%20TRIM/PLAN%20ESTRAT%C3%89GICO%20DE%20TALENTO%20HUMANO?csf=1&amp;web=1&amp;e=SRZ7b1</t>
  </si>
  <si>
    <t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de bienestar social y estímulos (Componente Gestión de la Relaciones Humanas)
</t>
  </si>
  <si>
    <t>https://supersalud-my.sharepoint.com/:f:/r/personal/camila_jaime_supersalud_gov_co/Documents/SNS/DOCUMENTOS/SEGUIMIENTO%20PAG/2025/PAG%20II%20TRIM/PLAN%20DE%20BIENESTAR?csf=1&amp;web=1&amp;e=ohVh0b</t>
  </si>
  <si>
    <t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Anual de Seguridad y salud en el Trabajo (Componente de Gestión de las Relaciones Humanas)
</t>
  </si>
  <si>
    <t>https://supersalud-my.sharepoint.com/:f:/r/personal/camila_jaime_supersalud_gov_co/Documents/SNS/DOCUMENTOS/SEGUIMIENTO%20PAG/2025/PAG%20II%20TRIM/PLAN%20ANUAL%20DE%20TRABAJO%20DE%20SST?csf=1&amp;web=1&amp;e=GbdERo</t>
  </si>
  <si>
    <t xml:space="preserve">Ejecutar el cronograma para la implementación de la Política de integridad del Modelo Integrado de Gestión. ( Componente de Gestión de las Relaciones Humanas)
</t>
  </si>
  <si>
    <t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para la implementación de la Política de integridad del Modelo Integrado de Gestión. ( Componente de Gestión de las Relaciones Humanas)
</t>
  </si>
  <si>
    <t>https://supersalud-my.sharepoint.com/:f:/r/personal/camila_jaime_supersalud_gov_co/Documents/SNS/DOCUMENTOS/SEGUIMIENTO%20PAG/2025/PAG%20II%20TRIM/PLAN%20DE%20IMPLEMENTACI%C3%93N%20-%20POL%C3%8DTICA%20DE%20INTEGRIDAD?csf=1&amp;web=1&amp;e=VY9IOn</t>
  </si>
  <si>
    <t>Solicitar, en grado de consulta, la inaplicación y/o revocatoria de sanciones impuestas por desacato, en contra de la superintendencia nacional de salud.</t>
  </si>
  <si>
    <t>Porcentaje de sanciones enviadas en grado de consulta en contra de la SNS.</t>
  </si>
  <si>
    <t>(Numero de sanciones revocadas en grado de consulta en el periodo / Numero de sanciones enviadas al grado de consulta en el periodo)x100.</t>
  </si>
  <si>
    <t xml:space="preserve">​De las  8 sanciones enviadas en grado de consulta, solamente una sanción no fue revocada, dado que el Despacho entendió que nuestras acciones no habían sido efectivas para garantizar el derecho a la salud de la accionante. 
</t>
  </si>
  <si>
    <t xml:space="preserve">En el segundo trimestre de 2025 se evaluaron 24 planes de mejoramiento en su primera revisión y 8 en su segunda revisión para aprobación. Asimismo, se llevó a cabo el análisis y la evaluación de los soportes y evidencias de ejecución de 43 planes de mejoramiento, para un total de 75 planes de mejoramiento evaluados de 77 gestionados en el periodo, lo cual corresponde al 97% de ejecución.
Cabe señalar que dos (2) planes radicados para primera revisión fueron evaluados posterior al plazo establecido.
</t>
  </si>
  <si>
    <t>Realizar seguimiento a la implementación del Programa de Equipos Básicos en Salud desde la estrategia de Atención Primaria en Salud desplegada por el Ministerio de Salud y Protección Social.</t>
  </si>
  <si>
    <t>Porcentaje de seguimiento a los recursos asignados para la implementación de los equipos basicos en Salud en las ESE</t>
  </si>
  <si>
    <t>Número de seguimientos efectuados / Total de ESE con asignación de recursos para el Programa de Equipos Básicos en Salud, conocidas por la Supersalud.</t>
  </si>
  <si>
    <t>Gestionar los requerimientos radicados por los despachos judiciales en el grupo de tutelas</t>
  </si>
  <si>
    <t>Porcentaje de requerimientos tramitados oportunamente en desarrollo de las acciones constitucionales de tutela</t>
  </si>
  <si>
    <t>(Número de requerimientos gestionados por el grupo de tutelas / Número de requerimientos notificados al grupo de tutelas en el periodo) x100.</t>
  </si>
  <si>
    <t xml:space="preserve">En el primer semestre de 2025, todos los requerimientos por incidentes de desacato derivados de acciones de tutela en las que se consideró por parte del accionante la vulneración a derechos fundamentales por acciones u omisiones propias de la Entidad, fueron tramitados por el grupo de tutelas.
</t>
  </si>
  <si>
    <t>https://supersalud.sharepoint.com/:f:/s/DelegadaparaETyGRARdelSGSSS/ElKDT0V-de5LoVcKm6doT4gBqLq-7CaTzPF1n9S211KqJw?e=LfXZEC</t>
  </si>
  <si>
    <t xml:space="preserve">Implementar acciones de inspección y vigilancia en nuevos territorios que han carecido de ellas de manera adecuada.
</t>
  </si>
  <si>
    <t>https://supersalud.sharepoint.com/:f:/s/DelegadaparaETyGRARdelSGSSS/EhJpvZzld2ZPjEHkCxCT4awB9diV0UEtUqr8dV-Fm3BvIA?e=BakjiN</t>
  </si>
  <si>
    <t>https://supersalud.sharepoint.com/:f:/s/DelegadaparaETyGRARdelSGSSS/EryyTX7tkO9Dk82YvHUccFQB1_8hei4pjiIzO6wHy81_LQ?e=R01HNK</t>
  </si>
  <si>
    <t>https://supersalud.sharepoint.com/:f:/s/DelegadaparaETyGRARdelSGSSS/EvHG6XFHAR9OtTMU6C0qmfwBzlvid4skxcPtXVNj3ozoxw?e=XQL3YJ</t>
  </si>
  <si>
    <t>https://supersalud.sharepoint.com/:f:/s/DelegadaparaETyGRARdelSGSSS/EuYlAo7PExRJmXFJw-PkivwBCBHSHiy28BwRqtIuyyxbQg?e=tEtt3v</t>
  </si>
  <si>
    <t>https://supersalud.sharepoint.com/:f:/s/DelegadaparaETyGRARdelSGSSS/ElbX_a2LmvdCjFtOfGpcVP4BkDyJ570PydgjoQeKIsIf4g?e=qUe7UC</t>
  </si>
  <si>
    <t>https://supersalud.sharepoint.com/:f:/s/DelegadaparaETyGRARdelSGSSS/Emum5LaTBYJElydLHVEtIIIB8YiaUEktMcWSGl-ffvt3dg?e=YNsRUG</t>
  </si>
  <si>
    <t>https://supersalud.sharepoint.com/:f:/s/DelegadaparaETyGRARdelSGSSS/EuhKxioynclGunzV2LGjqFUBLnP2APOqmhJZwtudpoGerQ?e=gBRAzJ</t>
  </si>
  <si>
    <t xml:space="preserve">​Para el II trimestre de 2025, La Dirección de Medidas Especiales para Prestadores de Servicios de Salud realizó 11 seguimientos programados a los Prestadores de Servicios de Salud (PSS) bajo medida especial, de la siguiente manera: Nueva ESE Hospital Dptal San Francisco de Asís, Subred integrada de servicios de salud Centro Oriente (2), ESE Hospital San Rafael de Leticia, E.S.E Hospital Local Cartagena de Indias, Hospital San Andrés ESE – Tumaco, ESE Hospital San José de Maicao, Hospital Regional San Andrés E.S.E - Chiriguaná, Hospital Regional Magdalena Medio – Barrancabermeja, ESE Hospital Rosario Pumarejo de López y ESE Hospital de Nazareth
</t>
  </si>
  <si>
    <t>Realizar monitoreo y verificación al cumplimiento de las ordenes impartidas por la SNS a agentes interventores, contralores, gerentes y revisores fiscales de las ESE bajo medida, mediante acciones como mesas de trabajo, análisis reporte resultados indicadores mínimos de gestión y avance plan de acción del agente interventor.</t>
  </si>
  <si>
    <t>Porcentaje de acciones de monitoreo y verificación adelantadas a agentes interventores, contralores, gerentes y revisores fiscales de los Prestadores de Servicios en Salud - PSS con medida adoptada</t>
  </si>
  <si>
    <t>Número de acciones de monitoreo y verificación realizadas a los Prestadores de Servicios de Salud- PSS con medida adoptada / Número de acciones de monitoreo y verificación a los prestadores de servicios de salud PSS bajo medida programadas.</t>
  </si>
  <si>
    <t xml:space="preserve">​Para el I semestre de 2025, la Dirección de Medidas Especiales para Prestadores de Servicios de Salud realizó 148 acciones de monitoreo y verificación a los Prestadores de Servicios de Salud- PSS con medida, de las cuales 28 corresponden a fichas, 14 a bullets, 9 a conceptos, 11 a seguimimientos en campo, 46 a Fenix y 40 a informes de gestion ante el superintendente, dando cumplimiento a la meta programada del 100%.
</t>
  </si>
  <si>
    <t>Analizar y tramitar las solicitudes para la promoción de acuerdos de reestructuración de pasivos presentadas ante la Superintendencia Nacional de Salud por los prestadores de servicios de salud públicos, determinando las causales de aceptación o rechazo según corresponda</t>
  </si>
  <si>
    <t>Porcentaje de solicitudes de promoción de acuerdos de restructuración de pasivos tramitadas</t>
  </si>
  <si>
    <t>Número de solicitudes de acuerdos de restructuración de pasivos evaluados en el periodo/ Número de acuerdos de restructuración de pasivos solicitados con vencimiento del término.</t>
  </si>
  <si>
    <t xml:space="preserve">​Para el I semestre del año 2025, no se presentaron solicitudes para la promoción de acuerdo de reestructuración de pasivos, por lo que no se hizo necesaria la validación de cumplimiento de requisitos establecidos en el articulo 6 de la ley 550 de 1999
</t>
  </si>
  <si>
    <t>Realizar seguimiento a la gestión de promotores designados en la promoción de acuerdos de reestructuración de pasivos que se encuentran en etapa de celebración del acuerdo</t>
  </si>
  <si>
    <t>Porcentaje de acciones de seguimiento a promotores de acuerdos de reestructuración de pasivos hasta la etapa de celebración del acuerdo respectivo</t>
  </si>
  <si>
    <t>Número de acciones de seguimiento a la gestión de promotores de acuerdos de reestructuración de pasivos realizadas / Número de acciones de seguimiento a la gestión de promotores de acuerdos de reestructuración de pasivos programadas</t>
  </si>
  <si>
    <t xml:space="preserve">​Para el I semestre de 2025, se realizó una (1) visita de seguimiento programada a la ESE Hospital San Diego de Cereté del departemento de Cordoba, la cual tuvo como objetivo, participar en la reunion convocada en el marco de acuerdo de reestructuración de pasivos, dando cumplimiento a la meta establecida del 100%.
</t>
  </si>
  <si>
    <t>Realizar eventos de difusión y socialización a los Agentes Especiales Interventores y Contralores respecto a los fines, acciones y cumplimiento de las medidas especiales</t>
  </si>
  <si>
    <t>Eventos de difusión, socialización y capacitación realizados en relación con las acciones y medidas especiales adoptadas a los Prestadores de Servicios de Salud-PSS de la Superintendencia Nacional de Salud</t>
  </si>
  <si>
    <t>Número de Eventos de difusión, socialización y capacitación realizados/Número de Eventos de difusión, socialización y capacitación programados</t>
  </si>
  <si>
    <t xml:space="preserve">​Para el I semestre de la vigencia 2025, la Delegada para Prestadores de Servicios de Salud, realizó dos (2) eventos de socialización y uno (1) de concertacion con EPS, para un total de tres (3) eventos en relación con las acciones y medidas especiales adoptadas a los Prestadores de Servicios de Salud-PSS, dando cumplimiento a la meta establecida del 100%
</t>
  </si>
  <si>
    <t xml:space="preserve">Incrementar el porcentaje de eficiencia en la correcta asignación de los documentos de entrada radicados a las diferentes  dependencias de la entidad.​.
</t>
  </si>
  <si>
    <t xml:space="preserve">De 140.427 documentos digitalizados en mayo de 2025, se tomó unamuestra del 5% lo cual arrojó un resultado de 7.020 documentos digitalizados quefueron revisados en los cuales se encontraron un total de 7.012 documentosdigitalizados correctamente y que proyectados al total de digitalizados son 140.273que cumplen con la digitalización correcta; lo que representa un porcentaje decumplimiento del 99.89% en dicho periodo, teniendo en cuenta que la meta es del99.87%.ABRIL TOTAL DIGITALIZADOS44.623 CORRECTOS 44.623, MAYO TOTAL 49.969 ASIGNADOSCORRECTAMENTE 49.969, JUNIO 45.835 ASIGNADOS CORRECTAMENTE45.675.​ 
​ 
</t>
  </si>
  <si>
    <t xml:space="preserve">​Se presentaron demoras en el proceso de gestión debido a la falta de contratación oportuna de los actuarios necesarios la vigencia. La ausencia de personal especializado afectó la eficiencia en el trámite. Sin embargo, en este trimestre se dio celeridad a estos trámites vencidos 
</t>
  </si>
  <si>
    <t xml:space="preserve">​Se ejecutaron los dos seguimiento programados para el segundo trimestre de 2025.
</t>
  </si>
  <si>
    <t xml:space="preserve">​Durante el segundo trimestre de 21025 se realizaron 16 auditorias del 11 programdas, con el fn de subsanar las 5 auditorias que no se realizaron en el primer trimestre de 2025.  Es así que ala fecha se han ejecutado el 100% de las acutorías programadas para el segundo semestre de 2025.
</t>
  </si>
  <si>
    <t>Porcentaje de avance en el cumplimiento del Plan Estratégico de Tecnologías de la Información y las Comunicaciones PETI.</t>
  </si>
  <si>
    <t>https://supersalud-my.sharepoint.com/:f:/g/personal/gerson_ruiz_supersalud_gov_co/EqneM5WuREJIsR8JBmjFeK0BEeVKEkFoZ4ATwChvej_IZg?e=M9kxRW</t>
  </si>
  <si>
    <t>https://supersalud-my.sharepoint.com/:f:/g/personal/gerson_ruiz_supersalud_gov_co/ElZ1fPoPfo1Mi3LKrEiL_yMBo38yMpOsG4Ze9OrASWNwbQ?e=fReKTa</t>
  </si>
  <si>
    <t>https://supersalud-my.sharepoint.com/:f:/g/personal/gerson_ruiz_supersalud_gov_co/EmWVMr0rNSRBvTS6ve9aaH8B0ulNbd20CY2g0iidp8RBag?e=0GWkGn</t>
  </si>
  <si>
    <t xml:space="preserve">                                                                                                                                      ALINEACIÓN  ESTRATÉGICA</t>
  </si>
  <si>
    <t xml:space="preserve">                                                                                                                                                                                       SISTEMA INTEGRADO DE GESTIÓN</t>
  </si>
  <si>
    <t xml:space="preserve">                                                                             CRONOGRAMA</t>
  </si>
  <si>
    <t xml:space="preserve">                                                              PROYECTOS DE INVERSIÓN </t>
  </si>
  <si>
    <t>INDICADOR</t>
  </si>
  <si>
    <t>OBJETIVOS DE DESARROLLO SOSTENIBLE - ODS</t>
  </si>
  <si>
    <t>OBJETIVOS ESTRATEGICOS PLAN NACIONAL DE DESARROLLO - PND</t>
  </si>
  <si>
    <t>OBJETIVOS SECTORIALES PLAN ESTRATEGICO SECTORIAL - PES</t>
  </si>
  <si>
    <t>DIMENSIONES DEL MIPG</t>
  </si>
  <si>
    <t>POLÍTICAS DE GESTIÓN Y DESEMPEÑO INSTITUCIONAL</t>
  </si>
  <si>
    <t>OBJETIVOS  INSTITUCIONALES</t>
  </si>
  <si>
    <t xml:space="preserve">EJES Y/O OBJETIVOS ESTRATÉGICOS </t>
  </si>
  <si>
    <t>OBJ PROCESO</t>
  </si>
  <si>
    <t>GRUPOS DE VALOR Y/O  POBLACIONAL</t>
  </si>
  <si>
    <t xml:space="preserve">APUESTA ESTRATÉGICA - PEI </t>
  </si>
  <si>
    <t>ACTIVIDAD PLAN ANUAL DE GESTION - PAG</t>
  </si>
  <si>
    <t xml:space="preserve">LÍNEA BASE </t>
  </si>
  <si>
    <t xml:space="preserve">METAS PROGRAMADAS </t>
  </si>
  <si>
    <t xml:space="preserve">NOMBRE DEL PROYECTO DE INVERSIÓN </t>
  </si>
  <si>
    <t xml:space="preserve">ACTIVIDADES PROYECTOS DE INVERSIÓN </t>
  </si>
  <si>
    <t xml:space="preserve">RECURSOS DE INVERSIÓN </t>
  </si>
  <si>
    <t>DEPENDENCIA RESPONSABLE</t>
  </si>
  <si>
    <t>DENOMINADO</t>
  </si>
  <si>
    <t>ANALISIS</t>
  </si>
  <si>
    <t>Código</t>
  </si>
  <si>
    <t>Nombre</t>
  </si>
  <si>
    <t>Fórmula</t>
  </si>
  <si>
    <t>variable 1</t>
  </si>
  <si>
    <t>variable 2</t>
  </si>
  <si>
    <t xml:space="preserve">Tipo </t>
  </si>
  <si>
    <t>Unidad de Medida</t>
  </si>
  <si>
    <t>Frecuencia de reporte</t>
  </si>
  <si>
    <t xml:space="preserve">META </t>
  </si>
  <si>
    <t>Rubro</t>
  </si>
  <si>
    <t>Valor Asignado</t>
  </si>
  <si>
    <t xml:space="preserve">Superación de Privaciones como fundamento de la dignidad humana y condiciones básicas para el bienestar </t>
  </si>
  <si>
    <t xml:space="preserve">1. Modular, regular e implementar la prestación de servicios de salud mediante la conformación de redes integrales e integradas de servicios y el sistema integral de calidad en salud para garantizar el derecho fundamental a la salud, el acceso equitativo a los servicios de salud a la población del territorio nacional. </t>
  </si>
  <si>
    <t>Gestión con Valores para Resultados</t>
  </si>
  <si>
    <t xml:space="preserve">Fortalecimiento organizacional y simplificación de procesos </t>
  </si>
  <si>
    <t xml:space="preserve">Capacidad Institucional: Fortalecer la capacidad institucional de la Superintendencia Nacional de Salud,  aumentando la presencia y visibilidad funcional en el territorio, la optimización de procesos, la ampliación y efectividad de los canales de atención, el empoderamiento del talento humano, la articulación interna, las tecnologías de la información y las comunicaciones, la infraestructura física y la administración eficiente de los recursos financieros.  </t>
  </si>
  <si>
    <t>SEGUIMIENTO Y EVALUACIÓN AL VIGILADO</t>
  </si>
  <si>
    <t>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t>
  </si>
  <si>
    <t>A) ACTORES DEL SISTEMA:  1. EPS, 2. IPS, 3. Operadores logísticos 4. Gestores farmacéuticos, 5. Entidades Territoriales, 6. Generadores de recursos, 7. Recaudadores de recursos, 8. Administradores de recursos, y, 9. Usuarios
B) DELEGADAS (Grupos de Valor Interno).  Aplican las Delegadas que hacen IV o alguna acción con los actores del sistema mencionados</t>
  </si>
  <si>
    <t>Adelantar acciones de desconcentración y delegación de funciones de las direcciones regionales respecto de los actores del sistema.</t>
  </si>
  <si>
    <r>
      <t xml:space="preserve">Porcentaje del total de Actores del sistema con acciones de inspección y vigilancia por parte de la Dirección Regional
</t>
    </r>
    <r>
      <rPr>
        <b/>
        <sz val="10"/>
        <rFont val="Arial"/>
        <family val="2"/>
      </rPr>
      <t xml:space="preserve">* Nota: </t>
    </r>
    <r>
      <rPr>
        <sz val="10"/>
        <rFont val="Arial"/>
        <family val="2"/>
      </rPr>
      <t>Se calcula por Dirección Regional - ocho indicadores</t>
    </r>
  </si>
  <si>
    <t>(Número de categoría de Actores del sistema con acciones de inspección y vigilancia por parte de la Direcciones regional / 09 categorías de actores del sistema sujeto de acciones de inspección y vigilancia de la SNS)*100.
* Nota: Se calcula por Dirección Regional - ocho indicadores</t>
  </si>
  <si>
    <t xml:space="preserve">Número de categoría de Actores del sistema con acciones de inspección y vigilancia por parte de la Direcciones regional </t>
  </si>
  <si>
    <t xml:space="preserve"> 09 categorías de actores del sistema sujeto de acciones de inspección y vigilancia de la SNS*100.</t>
  </si>
  <si>
    <t>Este indicador mide el numero de informes de seguimiento geeneradas por acciones de IV.</t>
  </si>
  <si>
    <t>Eficacia</t>
  </si>
  <si>
    <t xml:space="preserve">Porcentual </t>
  </si>
  <si>
    <t>Trimestral</t>
  </si>
  <si>
    <t>NA</t>
  </si>
  <si>
    <t xml:space="preserve">Delegatura para Entidades Territoriales y Generadores y Recaudadores y Administradores de Recursos del SGSSS </t>
  </si>
  <si>
    <t>N/A</t>
  </si>
  <si>
    <t>-</t>
  </si>
  <si>
    <t>1. Ciudadanía
2. Entidades territoriales
3. Otros actores del sistema que requieran acciones en territorio</t>
  </si>
  <si>
    <t>Implementar acciones de inspección y vigilancia en nuevos  territorios que han carecido de ellas de manera adecuada.</t>
  </si>
  <si>
    <t>Porcentaje de Nuevos territorios (Departamentos, Municipios o Distritos) impactados con acciones de IV por parte de las Direcciones Regionales sobre el total de Nuevos Territorios programados.
NOTA: Se entienden como nuevos territorios impactados, aquellos que no hayan tenido acciones de IV en la Vigencia Anterior, y sí en la actual.
NOTA 2:  Las acciones de inspección y vigilancia pueden ser auditorías, mesas de Inspección y Vigilancia, Acciones Integrales en Territorio, Estrategia de territorios Vitales, Fortalecimiento de competencias de las Entidades Territoriales, entre otras.</t>
  </si>
  <si>
    <t xml:space="preserve">(Número de nuevos territorios impactados con Acciones de IV / Número de Nuevos territorios programados por la Direcciones Regionales para intervenir)*100
(NOTA: Tanto en el número de territorios impactados como en el total de territorios programados se hace la sumatoria de las regionales) </t>
  </si>
  <si>
    <t xml:space="preserve">Número de nuevos territorios impactados con Acciones de IV </t>
  </si>
  <si>
    <t xml:space="preserve"> Número de Nuevos territorios programados por la Direcciones Regionales para intervenir*100</t>
  </si>
  <si>
    <t>Este indicador mide número de mesas de flujo de recursos en los departamoentos y distritos priorizados.</t>
  </si>
  <si>
    <t>Efectividad</t>
  </si>
  <si>
    <t>7. Fortalecer la sostenibilidad financiera del sistema salud en el pago, giro directo y la restitución de los recursos.</t>
  </si>
  <si>
    <t xml:space="preserve">Sostenibilidad del Sistema: Implementar acciones preventivas y predictivas basadas en la transparencia, la gestión del conocimiento y la gobernanza de la información, sobre la generación, administración y destinación de los recursos de la salud, con el fin de tomar decisiones para garantizar la sostenibilidad del sistema. </t>
  </si>
  <si>
    <t>1. Generadores de recursos del SGSSS
2. Recaudadores de recursos del SGSSS
3. Administradores de recursos del SGSSS</t>
  </si>
  <si>
    <t>Realizar acciones de inspección y vigilancia a generadores, recaudadores y administradores de recursos y generar alertas que contribuyan a la sostenibilidad financiera del sistema.</t>
  </si>
  <si>
    <t xml:space="preserve">Número de alertas generadas en el informe del trimestre anterior con acciones de gestión </t>
  </si>
  <si>
    <t xml:space="preserve"> Total de alertas encontradas en el informe del trimestre anterior*100</t>
  </si>
  <si>
    <t>Este indicador mide el numero de informes de seguimiento de laertas geeneradas por acciones de IV</t>
  </si>
  <si>
    <t>Eficiencia</t>
  </si>
  <si>
    <t xml:space="preserve">Participación de los actores de sistema en Salud: Promover la participación ciudadana y el control social, como mecanismos efectivos para escuchar y atender las necesidades de todos los actores, incluyendo a los trabajadores de la salud para tomar las acciones pertinentes. </t>
  </si>
  <si>
    <t>CONTROL</t>
  </si>
  <si>
    <t>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t>
  </si>
  <si>
    <t>1. Entidades territoriales
2. Ciudadanía
3. Entidades que ejercen funciones de control en territorio</t>
  </si>
  <si>
    <t>Implementar la estrategia de Red de Controladores</t>
  </si>
  <si>
    <t>Este indicador mide las acciones realizadas de la red de controladores.</t>
  </si>
  <si>
    <t>Mejoramiento en la ejecución de las acciones de supervisión y control frente a la gestión en el Sistema de Seguridad Social en Salud de los vigilados de la Supersalud Nacional.</t>
  </si>
  <si>
    <t>Realizar actividades de socialización, capacitación, asistencia técnica, mesas de trabajo y acompañamiento a los actores del SGSSS</t>
  </si>
  <si>
    <t>C-1903-0300-8</t>
  </si>
  <si>
    <t xml:space="preserve">Expansión de Capacidades: más y mejores oportunidades de la población para lograr sus proyectos de vida </t>
  </si>
  <si>
    <t>5. Fortalecer capacidades institucionales de sector salud mediante la optimización de procesos, el empoderamiento del talento humano, la articulación interna, la gestión del conocimiento, las tecnologías de la información y la comunicación y la infraestructura física y administración eficiente de los recursos financieros con el fin de armonizar una intervención institucional articulada, integrada y universal.</t>
  </si>
  <si>
    <t xml:space="preserve">Defensa del derecho a la Salud: Proteger el derecho a la salud de todos los habitantes del territorio Nacional mediante las acciones de Vigilancia, Inspección Control, Jurisdiccional y de Conciliación, a través de un enfoque diferencial que genere confianza en la Superintendencia Nacional de Salud, de forma oportuna y con calidad, para lograr una atención más digna, incluyente, humanizada y respetuosa a todos los usuarios del sistema. </t>
  </si>
  <si>
    <t>AUDITORÍAS</t>
  </si>
  <si>
    <t>Desarrollar acciones de inspección a través de análisis específicos y requerimientos, con el fin de identificar las brechas existentes entre lo establecido por la ley y lo que realmente están desarrollando nuestros grupos de valor y de esta manera poder identificar acciones para reducir estas brechas, buscando la protección de los derechos de los usuarios del Sistema General de Seguridad Social en Salud- SGSSS. </t>
  </si>
  <si>
    <t>Entidades Territoriales Departamentales, Municipales y Distritales
Generadores, Recaudadores y Administradores de Recursos del SGSSS</t>
  </si>
  <si>
    <t xml:space="preserve">Número de Auditorías realizadas </t>
  </si>
  <si>
    <t>Numero de Auditorías de IV realizadas</t>
  </si>
  <si>
    <t>Cuatrimestral</t>
  </si>
  <si>
    <t>Realizar auditorías a las entidades vigiladas</t>
  </si>
  <si>
    <t>Realizar seguimiento y verificación
de las auditorias realizadas</t>
  </si>
  <si>
    <t>Este indicador mide elNúmero de Auditorías Realizadas a los vigilados.</t>
  </si>
  <si>
    <t>Mensual</t>
  </si>
  <si>
    <t xml:space="preserve">Realizar  seguimiento y verificación de las auditorías realizadas </t>
  </si>
  <si>
    <t>Realizar mesas  técnicas de fortalecimiento de competencias dirigidas a los sujetos vigilados de la Delegada de acuerdo a su competencia.</t>
  </si>
  <si>
    <t>Este indicador mide el número de Mesas técnicas con entidades sujetas de Inspección y Vigilancia.</t>
  </si>
  <si>
    <t>DIRECCIONAMIENTO ESTRATÉGICO</t>
  </si>
  <si>
    <t>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t>
  </si>
  <si>
    <t>Funcionarios del Despacho de la Delegada, de la Dirección de Generadores, Recaudadores y Administradores de recursos del SGSSS y de las Direcciones Regionales.</t>
  </si>
  <si>
    <t xml:space="preserve">Número de mesas ejecutadas para la apropiación del Sistema Integrado de Gestión al interior de la Delegada realizadas </t>
  </si>
  <si>
    <t>Este indicador mide las mesas ejecutadas para la apropiación del SIG</t>
  </si>
  <si>
    <t>Evaluación de Resultados</t>
  </si>
  <si>
    <t xml:space="preserve">Seguimiento y evaluación del desempeño institucional </t>
  </si>
  <si>
    <t>Direcciones Regionales de la Superintendencia Nacional de Salud</t>
  </si>
  <si>
    <t xml:space="preserve">Número de seguimientos realizados  </t>
  </si>
  <si>
    <t>Este indicador muestra el documento de propuestas de instrucciones a sujetos vigilados</t>
  </si>
  <si>
    <t>Socializar, divulgar, capacitar y/o acompañar la gestión de las Direcciones regionales de la entidad</t>
  </si>
  <si>
    <t>Realizar mesas de Inspección y Vigilancia a los sujetos vigilados de la Delegada conforme  a la priorización realizada.</t>
  </si>
  <si>
    <t xml:space="preserve">Mesas de Inspección y Vigilancia realizadas </t>
  </si>
  <si>
    <t>Mide el numero de mesas de Inspección y Vigilancia realizadas</t>
  </si>
  <si>
    <t xml:space="preserve">Realizar actividades de seguimiento a los sistemas de gestión de riesgo de los sujetos vigilados </t>
  </si>
  <si>
    <t xml:space="preserve">Transparencia, acceso a la información pública y lucha contra la   corrupción </t>
  </si>
  <si>
    <t>1. Ciudadanía
2. Entidades territoriales</t>
  </si>
  <si>
    <t>Definir e implementar la "estrategia de territorios vitales, cuidando recursos, protegiendo vidas".</t>
  </si>
  <si>
    <t xml:space="preserve">
Territorios con acciones Integrales</t>
  </si>
  <si>
    <t xml:space="preserve">
Mide las acciones Integrales realizadas en diferentes Territorios</t>
  </si>
  <si>
    <t xml:space="preserve">Habilitadores que potencian la seguridad humana y las oportunidades de bienestar           </t>
  </si>
  <si>
    <t>4. Construir un Sistema Único Nacional de Información en Salud mediante la integración de las distintas fuentes de información, la armonización y el diseño transversal de herramientas tecnológicas para lograr una información única en el país, de consulta universal, que permita la accesibilidad e identificación de los procesos de salud de los habitantes del territorio nacional.</t>
  </si>
  <si>
    <t>Entidades Territoriales Departamentales y Distritales
Entidades Beneficiarias de Pago (EBP)
Entidades Responsables de Pago (ERP)</t>
  </si>
  <si>
    <t>Realizar asistencia y seguimientos a las
mesas de saneamiento de cartera de Circular
Conjunta 030 de 2013</t>
  </si>
  <si>
    <t>Este indicador nide la ejecución de mesas de inspección vigilancia.</t>
  </si>
  <si>
    <t>Realizar actividades de socialización,
capacitación, asistencia técnica, mesas de trabajo y acompañamiento a los actores del SGSSS</t>
  </si>
  <si>
    <t xml:space="preserve">Realizar Mesas de Gobernanza desde las direcciones regionales </t>
  </si>
  <si>
    <t xml:space="preserve"> Mesas de Gobernanza realizadas en las direcciones regionales.</t>
  </si>
  <si>
    <t>Este indicador muestra el documento de propuestas de instrucciones a sujetos vigilados.</t>
  </si>
  <si>
    <t>"A) ACTORES DEL SISTEMA:  1. EPS, 2. IPS, 3. Operadores logísticos 4. Gestores farmacéuticos, 5. Entidades Territoriales, 6. Generadores de recursos, 7. Recaudadores de recursos, 8. Administradores de recursos, y, 9. Usuarios
B) Delegadas, Oficinas y Direcciones</t>
  </si>
  <si>
    <t xml:space="preserve">Número acciones ejecutadas </t>
  </si>
  <si>
    <t xml:space="preserve"> Número de acciones que sean requeridas</t>
  </si>
  <si>
    <t>Este indicador mide el porcentaje de acciones de los ANS de la entidad.</t>
  </si>
  <si>
    <t>100% 
a demanda</t>
  </si>
  <si>
    <t>GESTIÓN DE TRÁMITES</t>
  </si>
  <si>
    <t>Gestionar y evaluar las solicitudes de los trámites presentados por las entidades vigiladas y por personas naturales y/o jurídicas, con el propósito de satisfacer las necesidades y expectativas de los grupos de valor y de interés de la Superintendencia Nacional de Salud</t>
  </si>
  <si>
    <t>Entidades Promotoras de Salud y Otras entidades de aseguramiento y personas naturales y juridicas</t>
  </si>
  <si>
    <t>(Cantidad de trámites con estudio de viabilidad o recomendación gestionados en 140 días o menos  /  Total de trámites gestionados en el periodo)*100</t>
  </si>
  <si>
    <t xml:space="preserve">Cantidad de trámites con estudio de viabilidad o recomendación gestionados en 140 días o menos  </t>
  </si>
  <si>
    <t xml:space="preserve">  Total de trámites gestionados en el periodo*100</t>
  </si>
  <si>
    <t>Este indicador mide el porcentaje lo estudios de viabilidad o recomendaciones de la informacion radicada.</t>
  </si>
  <si>
    <t>C-1903-0300-08</t>
  </si>
  <si>
    <t xml:space="preserve">Fortalecer la inspección, vigilancia y control del aseguramiento en salud.
</t>
  </si>
  <si>
    <t>Entidades Promotoras de Salud y Otras Entidades de Aseguramiento</t>
  </si>
  <si>
    <t xml:space="preserve">mediana de los porcentajes de cobertura # de vigilados a los que se efectúo la acción de IV </t>
  </si>
  <si>
    <t xml:space="preserve"> # de vigilados objeto o susceptibles de la acción</t>
  </si>
  <si>
    <t xml:space="preserve">Este indicador mide EL Número de evaluaciones de la gestión del riesgo en salud de las Entidades Promotoras de Salud </t>
  </si>
  <si>
    <t xml:space="preserve">Número de auditorías ejecutadas </t>
  </si>
  <si>
    <t xml:space="preserve"> Número total de auditorías proyectadas en el periodo de acuerdo con el Programa Anual de Auditorías de la Delegada.</t>
  </si>
  <si>
    <t>Este indicador mide el porcentaje de número de reclamos en salud finalizados.</t>
  </si>
  <si>
    <t xml:space="preserve">Realizar auditorías a las entidades vigiladas </t>
  </si>
  <si>
    <t>Realizar seguimiento a las EPS a las entidades bajo  medida y a la gestión de los agentes interventores y contralores designados por la Superintendencia Nacional de Salud.</t>
  </si>
  <si>
    <t xml:space="preserve">Fichas técnicas con información actualizadas </t>
  </si>
  <si>
    <t xml:space="preserve"> Número de entidades en medida*100</t>
  </si>
  <si>
    <t>Este indicador mide el seguimiento y monitoreo de las entidades de medidas de vigilancia</t>
  </si>
  <si>
    <t xml:space="preserve">Numero de seguimientos en campo a las entidades en medida especial </t>
  </si>
  <si>
    <t>Este indicador mide el Número Informes de seguimiento analizados  por el equipo técnico de la Dirección de Medidas Especiales para EPS y entidades adaptadas</t>
  </si>
  <si>
    <t>Prestador de Servicios de Salud públicos, privados  y mixtos.</t>
  </si>
  <si>
    <t xml:space="preserve">Número de auditorías realizadas a los Prestadores de Servicios en Salud (PSS) </t>
  </si>
  <si>
    <t xml:space="preserve">Número de auditorías realizadas a los Prestadores de Servicios en Salud PSS </t>
  </si>
  <si>
    <t>Este indicador mide el número de auditorías realiZadas a los prestadores de servicios de salud.</t>
  </si>
  <si>
    <t>C-1903-0300-8-20201C-1903016-02</t>
  </si>
  <si>
    <t>$1.190.988.730</t>
  </si>
  <si>
    <t xml:space="preserve">Número de Planes de Mejoramiento evaluados al corte </t>
  </si>
  <si>
    <t xml:space="preserve"> Número de Planes de Mejoramiento gestionados en el periodo</t>
  </si>
  <si>
    <t>Este indicador mide el número de Planes de Mejoramiento evaluados y gestionados</t>
  </si>
  <si>
    <t>Empresas Sociales del Estado</t>
  </si>
  <si>
    <t xml:space="preserve">Número de seguimientos efectuados </t>
  </si>
  <si>
    <t xml:space="preserve"> Total de ESE con asignación de recursos para el Programa de Equipos Básicos en Salud, conocidas por la Supersalud.</t>
  </si>
  <si>
    <t>Este indicador mide el porcentaje de seguimiento de implementación de equipos medicos.</t>
  </si>
  <si>
    <t>Semestral</t>
  </si>
  <si>
    <t>Adelantar seguimiento a la gestión del  Programa de Mejoramiento Institucional - PMI</t>
  </si>
  <si>
    <t>(La formula del indicador quedaría de la siguiente manera: Número de seguimientos adelantados a los PMI / Numero de PMI reportados a la Dirección IV para PSS)*100</t>
  </si>
  <si>
    <t xml:space="preserve">La formula del indicador quedaría de la siguiente manera: Número de seguimientos adelantados a los PMI </t>
  </si>
  <si>
    <t xml:space="preserve"> Numero de PMI reportados a la Dirección IV para PSS*100</t>
  </si>
  <si>
    <t>Este indicador mide el número de seguimientos a la gestión de  los Prestadores de Servicios de Salud- PSS</t>
  </si>
  <si>
    <t>Monitorear a los sujetos vigilados</t>
  </si>
  <si>
    <t>Prestador de Servicios de Salud privados</t>
  </si>
  <si>
    <t>Número de solicitudes de reformas estatutarias gestionadas</t>
  </si>
  <si>
    <t>Número de solicitudes de reformas estatutarias recibidas para trámite en la vigencia.</t>
  </si>
  <si>
    <t>Este indicador mide el número de soicitudes de los vigilados que se encuentran en gestión de trámites.</t>
  </si>
  <si>
    <t>Número de recursos de apelación por evaluación de gerentes y evaluación no satisfactoria por no presentación del plan de gestión, gestionadas en los tiempos establecidos</t>
  </si>
  <si>
    <t xml:space="preserve"> Número de recursos de apelación por evaluación de gerentes y evaluación no satisfactoria por no presentación del plan de gestión recibidas.</t>
  </si>
  <si>
    <t>Este indicador mide el número el porcentaje de recursos de apelación por evalucaión de gerentes.</t>
  </si>
  <si>
    <t xml:space="preserve">Generar alertas a partir del monitoreo de los riesgos financieros en las Empresas Sociales del Estado priorizadas, que les permitan establecer controles y anticipen la afectación que se pueda ocasionar en la atención de los usuarios por una inadecuada gestión de los recursos. </t>
  </si>
  <si>
    <t xml:space="preserve">Número alertas gestionadas en las ESE </t>
  </si>
  <si>
    <t>Este indicador mide las alertas gestionadas de vigilancia en los recursos financieros.</t>
  </si>
  <si>
    <t>Prestador de Servicios de Salud públicos, privados y mixtos</t>
  </si>
  <si>
    <t xml:space="preserve">Brindar apoyo técnico científico, jurídico, financiero y admistrativo para el seguimiento y monitoreo de los vigilados a cargo de la Oficina de Liquidaciones </t>
  </si>
  <si>
    <t xml:space="preserve">Orientaciones técnicas a los Prestadores de Servicios en Salud ejecutadas </t>
  </si>
  <si>
    <t>Este indicador mide las orientaciones tecnicas alos prestadores de servicios de salud.</t>
  </si>
  <si>
    <t>C-1903-0300-8-20201C-1903053-02</t>
  </si>
  <si>
    <t xml:space="preserve">Promover y fortalecer la participación ciudadana para la defensa de los derechos de los usuarios del sector salud.
</t>
  </si>
  <si>
    <t xml:space="preserve">Monitorear los riesgos y su gestión a los prestadores de servicios de salud priorizados conforme a las herramientas definidas en la Dirección de Inspección y Vigilancia para Prestadores. </t>
  </si>
  <si>
    <t>Este indicador mide el número de acciones de inspección y vigilancia en el monitoreo de riesgos.</t>
  </si>
  <si>
    <t>Prestadores de servicios de salud bajo medida</t>
  </si>
  <si>
    <t xml:space="preserve">Realizar seguimiento en campo a las ESE bajo medida con el fin de hacer seguimiento a la gestión de agentes interventores, contralores, gerentes y revisores fiscales </t>
  </si>
  <si>
    <t>Numero de seguimientos en campo realizados  a los Prestadores de Servicios de  Salud (PSS) bajo acción o medida especial / Total de seguimientos programados a ESE bajo medida</t>
  </si>
  <si>
    <t xml:space="preserve">Numero de seguimientos en campo realizados  a los Prestadores de Servicios de  Salud PSS bajo acción o medida especial </t>
  </si>
  <si>
    <t xml:space="preserve"> Total de seguimientos programados a ESE bajo medida</t>
  </si>
  <si>
    <t>Este indicador mide el número de seguimientos encampo a ese bajo alguna medida.</t>
  </si>
  <si>
    <t xml:space="preserve">Porcentaje de acciones de monitoreo y verificación adelantadas  a agentes interventores, contralores, gerentes y revisores fiscales de los Prestadores de Servicios en Salud - PSS con medida adoptada </t>
  </si>
  <si>
    <t>Número de acciones de monitoreo y verificación realizadas a los Prestadores de Servicios de  Salud- PSS con medida adoptada  / Número de acciones de monitoreo y verificación a los prestadores de servicios de salud PSS bajo medida programadas.</t>
  </si>
  <si>
    <t xml:space="preserve">Número de acciones de monitoreo y verificación realizadas a los Prestadores de Servicios de  Salud- PSS con medida adoptada  </t>
  </si>
  <si>
    <t xml:space="preserve"> Número de acciones de monitoreo y verificación a los prestadores de servicios de salud PSS bajo medida programadas.</t>
  </si>
  <si>
    <t>Este indicador mide el porcentaje de acciones de monitoreo y verificación a interventores, controladores, gerentes y revsiores fiscales de los prestadores.</t>
  </si>
  <si>
    <t>Porcentaje  de solicitudes de promoción de acuerdos de restructuración de pasivos tramitadas</t>
  </si>
  <si>
    <t>Número de solicitudes de acuerdos de restructuración de pasivos evaluados en el periodo</t>
  </si>
  <si>
    <t xml:space="preserve"> Número de acuerdos de restructuración de pasivos solicitados con vencimiento del término.</t>
  </si>
  <si>
    <t>Este indicador mide el porcentaje de promoción de restructuración de pasivos tramitados.</t>
  </si>
  <si>
    <t xml:space="preserve">Número de acciones de seguimiento a la gestión de promotores de acuerdos de reestructuración de pasivos realizadas / Número de acciones de seguimiento a la gestión de promotores de acuerdos de reestructuración de pasivos programadas  </t>
  </si>
  <si>
    <t xml:space="preserve">Número de acciones de seguimiento a la gestión de promotores de acuerdos de reestructuración de pasivos realizadas </t>
  </si>
  <si>
    <t xml:space="preserve"> Número de acciones de seguimiento a la gestión de promotores de acuerdos de reestructuración de pasivos programadas  </t>
  </si>
  <si>
    <t>Este indicador mide el porcentaje de acciones de seguimiento de pasivos.</t>
  </si>
  <si>
    <t>CT06</t>
  </si>
  <si>
    <t>Vigilados</t>
  </si>
  <si>
    <t>Establecer lineamientos para las Entidades de Salud del Estado (E.S.E.) con el fin de promover la formalización laboral y acciones orientadas a la atención en salud con un enfoque diferencial.</t>
  </si>
  <si>
    <t>Porcentaje de avance en la formulación de los lineamientos y monitoreo a las E.S.E  de las acciones tendientes a  la formalización laboral y atención en salud con enfoque diferencia.</t>
  </si>
  <si>
    <t xml:space="preserve">Numero de hitos en la formulación de lineamientos y monitoreos a las E.S.E / Numero de hitos o acciones programadas.  </t>
  </si>
  <si>
    <t xml:space="preserve">Numero de hitos en la formulación de lineamientos y monitoreos a las E.S.E </t>
  </si>
  <si>
    <t xml:space="preserve"> Numero de hitos o acciones programadas.  </t>
  </si>
  <si>
    <t>Este indicador mide número de hitos de la formulación de lienamientos y monitoreos a las ESE.</t>
  </si>
  <si>
    <t xml:space="preserve">Realizar eventos de difusión y socialización a los Agentes Especiales Interventores y Contralores respecto a los fines, acciones y cumplimiento de las medidas especiales </t>
  </si>
  <si>
    <t xml:space="preserve">Eventos de difusión, socialización y capacitación realizados en relación con las acciones y medidas especiales adoptadas a los Prestadores de Servicios de Salud-PSS de la Superintendencia Nacional de Salud </t>
  </si>
  <si>
    <t>Número de Eventos de difusión, socialización y capacitación realizados</t>
  </si>
  <si>
    <t>Número de Eventos de difusión, socialización y capacitación programados</t>
  </si>
  <si>
    <t>Este indicador mide los eventos de difusión, socialización y capacitación de medidas especiales adoptadas alos prestadores de servicios de salud.</t>
  </si>
  <si>
    <t xml:space="preserve">Participación ciudadana en la gestión pública </t>
  </si>
  <si>
    <t>RELACIONAMIENTO CON LA CIUDADANÍA Y GRUPOS DE VALOR</t>
  </si>
  <si>
    <t>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t>
  </si>
  <si>
    <t xml:space="preserve">Ciudadanía y vigilados </t>
  </si>
  <si>
    <t xml:space="preserve">Promover los derechos y deberes en salud y mecanismos de participación ciudadana en salud a la ciudadanía en general y poblaciones con enfoque diferencial.   </t>
  </si>
  <si>
    <t xml:space="preserve"> Seguimiento a los reclamos en salud presentados por la ciudadanía que asiste a los Diálogos con la Supersalud que no fueron cerrados por los vigilados en el evento </t>
  </si>
  <si>
    <t xml:space="preserve"> Porcentajes de reclamos en salud con seguimiento </t>
  </si>
  <si>
    <t xml:space="preserve">Reclamos en salud con seguimiento / total de reclamos no cerrados por el vigilados* 100 .   </t>
  </si>
  <si>
    <t xml:space="preserve">Reclamos en salud con seguimiento </t>
  </si>
  <si>
    <t xml:space="preserve"> total de reclamos no cerrados por el vigilados* 100 .   </t>
  </si>
  <si>
    <t>Este indicador mide el porcentaje de la gestión de reclamos en salud en los territoriales.</t>
  </si>
  <si>
    <t>81% (1.288 reclamos en salud con seguimiento en el 2024)</t>
  </si>
  <si>
    <t> </t>
  </si>
  <si>
    <t xml:space="preserve">Delegatura para la Protección al Usuario </t>
  </si>
  <si>
    <t xml:space="preserve">Ciudadanía, vigilados, entes territoriales y Departamentales. </t>
  </si>
  <si>
    <t>Promover los derechos y deberes en salud y mecanismos de participación ciudadana en salud a la ciudadanía en general y poblaciones con enfoque diferencial.</t>
  </si>
  <si>
    <t xml:space="preserve">Promover los derechos y deberes en salud y mecanismos de participación ciudadana en salud  </t>
  </si>
  <si>
    <t xml:space="preserve">Promoción de los derechos y deberes en salud y mecanismos de participación ciudadana en salud a la ciudadanía.                  </t>
  </si>
  <si>
    <t>Este indicador mide Número de departamentos con atención presencial.</t>
  </si>
  <si>
    <t>222 (enero a octubre 2024)</t>
  </si>
  <si>
    <t>Fortalecimiento de la protección del usuario del sistema de salud, a través de mecanismos de inspección y vigilancia y la promoción de la participación de los ciudadanos.</t>
  </si>
  <si>
    <t>Realizar estrategias de promoción del ejercicio del control social en salud por parte de la ciudadanía en general, con enfoque diferencial. (En esta actividad se incluye el presupuesto para la capacitación a los lideres y veedores del sector salud)</t>
  </si>
  <si>
    <t>C-1903-0300-09</t>
  </si>
  <si>
    <t xml:space="preserve">Servicio al ciudadano </t>
  </si>
  <si>
    <t xml:space="preserve">Actividades desarrolladas en el ámbito de la política de servicio al ciudadano </t>
  </si>
  <si>
    <t>Este indicador mide el número de actividades del plan de brechas</t>
  </si>
  <si>
    <t>Usuarios, ciudadanía y vigilados</t>
  </si>
  <si>
    <t xml:space="preserve"> Número de auditorías ejecutadas</t>
  </si>
  <si>
    <t>Este indicador mide número de auditorías realizadas a los  vigilados</t>
  </si>
  <si>
    <t>Monitorear in situ la accesibilidad de los puntos de atención  al usuario dispuestos por los vigilados en el  territorio.</t>
  </si>
  <si>
    <t xml:space="preserve">Ciudadanos </t>
  </si>
  <si>
    <t xml:space="preserve">Medir la percepción de los usuarios respecto a la atención telefónica y canal presencial de la Superintendencia Nacional de Salud </t>
  </si>
  <si>
    <t xml:space="preserve">Medición de la percepción en canal telefonico y presencial de la SNS. </t>
  </si>
  <si>
    <t xml:space="preserve">Total de respuestas con calificación favorable (bueno y excelente) del instrumento de medición aplicado </t>
  </si>
  <si>
    <t xml:space="preserve">Total de respuestas con calificación favorable bueno y excelente del instrumento de medición aplicado </t>
  </si>
  <si>
    <t>Este indicador mide el porcentaje de reportes del monitorea de la deuda por prestación de servicios de las entidades territoriales.</t>
  </si>
  <si>
    <t xml:space="preserve">Servidores Públicos y ciudadanía </t>
  </si>
  <si>
    <t xml:space="preserve">Realizar capacitaciones en derechos y deberes en salud y mecanismos de participación ciudadana en territorios incluidos en el  Programa de Desarrollo con Enfoque Territorial PDET. </t>
  </si>
  <si>
    <t xml:space="preserve"> Número de capacitaciones realizadas en  territorios cobijados por los programas de desarrollo con enfoque territorial PDET</t>
  </si>
  <si>
    <t>Mide el numero de Capacitaciones realizadas en  territorios cobijados por programas de desarrollo con enfoque territorial PDET</t>
  </si>
  <si>
    <t>Capacitar en territorios cobijados por los programas de desarrollo con enfoque territorial PDET.</t>
  </si>
  <si>
    <t>Implementar acciones de inspección y vigilancia con enfoque diferencial, étnico y de género con el fin de que las EAPB garanticen la prestación efectiva de los servicios relacionados con los reclamos en salud presentados por los usuarios y usuarias del SGSSS</t>
  </si>
  <si>
    <t>Radicar  los reclamos en salud recibidos en el multicanal</t>
  </si>
  <si>
    <t xml:space="preserve">Porcentaje de reclamos en salud radicados y gestionados a través del multicanal </t>
  </si>
  <si>
    <t>Número de reclamos en salud radicados y  gestionadas en el trimestre*</t>
  </si>
  <si>
    <t>Este indicador mide número de PQRD con riesgo de vida gestionadas en el trimestre</t>
  </si>
  <si>
    <t>1,879,082 
( A octubre 2024)
3160000</t>
  </si>
  <si>
    <t>Gestionar el servicio de atención al usuario del SGSSS y servicio al ciudadano a través de los canales Escrito, Telefónico, Web, Chat y Redes Sociales (Multicanal).</t>
  </si>
  <si>
    <t>C-1903-0300-09-0 - 1903025- 02</t>
  </si>
  <si>
    <t xml:space="preserve">Superación de privaciones como fundamento de la dignidad humana y condiciones básicas para el bienestar </t>
  </si>
  <si>
    <t>Radicar  los reclamos en salud recibidos en el canal presencial</t>
  </si>
  <si>
    <t>Este indicador mide el porcentaje de solicitudes de iformación de raclamos de los grupos de valor.</t>
  </si>
  <si>
    <t>472,192 (A octubre 2024
790000 - meta</t>
  </si>
  <si>
    <t>Gestionar el servicio de atención al usuario del SGSSS y servicio al ciudadano en desarrollo de la estrategia de desconcentración y atención personalizada a lo largo del territorio nacional</t>
  </si>
  <si>
    <t>Usuarios                                                                                              Vigilados</t>
  </si>
  <si>
    <t>Caracterizar a los nuevos Gestores Farmacéuticos identificados en los años  2023 y 2024 respecto del componente financiero.</t>
  </si>
  <si>
    <t>Número de caracterizaciones realizadas  a los Gestores Farmacéuticos Identificados respecto del componente financiero.</t>
  </si>
  <si>
    <t>Mide la Caracterización individual nuevos Gestores Farmacéuticos respecto del componente financiero.</t>
  </si>
  <si>
    <t>Número de actividades de IVC a los OLTS y o GF objeto de supervisión en el marco del proceso de operación inicial de la Supervisión Basada en Riesgos</t>
  </si>
  <si>
    <t>Este indicador mide las activiadades de socialización a los operadores logisticos y gestores farmaceuticos</t>
  </si>
  <si>
    <t>Socializar, divulgar, capacitar y/o acompañar a las entidades vigiladas en la implementación de los sistemas de gestión de riesgos</t>
  </si>
  <si>
    <t>3. Garantizar acceso oportuno a los medicamentos y tecnología a todos los habitantes del territorio nacional mediante la promoción de la investigación, la expedición de regulación, la generación de alianzas estratégicas e incentivos con el fin de lograr capacidad instalada, un adecuado control de precios, mecanismos de transparencia y suficiencia en la prestación de servicios.</t>
  </si>
  <si>
    <t xml:space="preserve">Sumatoria del número de solicitudes de información y  reclamos en salud finalizados </t>
  </si>
  <si>
    <t xml:space="preserve"> Número de solicitudes de información y  reclamos en salud interpuestos por los grupos de valor o de interés) * 100</t>
  </si>
  <si>
    <t>95%  
a demanda</t>
  </si>
  <si>
    <t>Sumatoria del número de solicitudes de información y  reclamos en salud finalizados por falta de oportunidad en la entrega o entrega incompleta de tecnologías en salud en el periodo</t>
  </si>
  <si>
    <t xml:space="preserve"> Número de solicitudes de información y  reclamos en salud interpuestos por los grupos de valor o interés por falta de oportunidad en la entrega o entrega incompleta de tecnologías en salud) * 100</t>
  </si>
  <si>
    <t>Mide las solicitudes de información y/ reclamos en salud finalizados por falta de oportunidad en la entrega o entrega incompleta de tecnologías en salud tramitados a los grupos de valor o interés de la SNS presentados a la DOLTS-GF</t>
  </si>
  <si>
    <t>95% (A demanda)</t>
  </si>
  <si>
    <t xml:space="preserve">Sumatoria del número de reclamos en salud trasladados por DPU finalizados </t>
  </si>
  <si>
    <t xml:space="preserve"> Número de reclamos en salud trasladados por DPU * 100</t>
  </si>
  <si>
    <t>Este indicador mide el porcentaje de reclamos por la delegada de protección al usuario.</t>
  </si>
  <si>
    <t>Número de actividades de socialización, asistencia técnica, mesas de trabajo o acompañamiento a los actores del SGSSS respecto a la operación de los GF y u OLTS</t>
  </si>
  <si>
    <t>Este indicador mide los insumos tecnicos relacionados con la identficación de opreradores logisticos.</t>
  </si>
  <si>
    <t>Número de actividades de acompañamiento a las Direcciones Regionales en actividades de IVC a los Operadores Logísticos de Tecnologías en Salud y o Gestores Farmacéuticos de su jurisdicción</t>
  </si>
  <si>
    <t>Número de auditorías realizadas a los Operadores Logísticos de Tecnologías en Salud y o Gestores Farmacéuticos</t>
  </si>
  <si>
    <t>Este indicador mide el número de auditorías realziadas a los operadores logisticos.</t>
  </si>
  <si>
    <t xml:space="preserve">Expedir los actos administrativos de la DIA en el marco del proceso administrativo sancionatorio </t>
  </si>
  <si>
    <t xml:space="preserve">Número de actos administrativos expedidos </t>
  </si>
  <si>
    <t xml:space="preserve"> Número de solicitudes de investigación aceptadas en el semestre de reporte*100</t>
  </si>
  <si>
    <t>Este indicador mide el número de actos administrativos expedidos</t>
  </si>
  <si>
    <t xml:space="preserve">Número de investigaciones administrativas con riesgo de caducidad 2025, que hayan sido objeto de decisión dentro del trimestre de reporte </t>
  </si>
  <si>
    <t xml:space="preserve"> Número de investigaciones con caducidad 2025*100</t>
  </si>
  <si>
    <t>Mide el porcentaje de investigaciones con riesgo de caducidad.</t>
  </si>
  <si>
    <t>GESTIÓN FINANCIERA</t>
  </si>
  <si>
    <t>Administrar, gestionar, registrar y controlar  los recursos financieros de la Entidad a través de la aplicación de  las normas legales vigentes y la gestión organizacional, que permita la  disponibilidad de recursos económicos, con el fin de contribuir de forma eficiente y eficaz al cumplimiento de las metas institucionales propuestas.</t>
  </si>
  <si>
    <t>Usuarios del SGSSS</t>
  </si>
  <si>
    <t>Ejecución presupuestal de recursos solicitados y asignados para el presupuesto para el Mejoramiento en la ejecución de las acciones de supervisión y control  frente a la gestión en el SGSSS de los vigilados de la Supersalud Nacional</t>
  </si>
  <si>
    <t xml:space="preserve">Obligaciones totales/ Apropiación total asignada </t>
  </si>
  <si>
    <t>Obligaciones totales</t>
  </si>
  <si>
    <t xml:space="preserve"> Apropiación total asignada </t>
  </si>
  <si>
    <t>Este indicador mide la ejecución presupuestal de recursos solicitados y asigandos.</t>
  </si>
  <si>
    <t xml:space="preserve"> Realizar las acciones necesarias para el desarrollo de los procesos administrativos, técnicos, contractuales y de apoyo jurídico, en el marco del proceso administrativo sancionatorio</t>
  </si>
  <si>
    <t>Determinar las solcitudes de investagaciones  aceptadasque cumplen con los lineamientos establecidos en los Ans del proceso de la delegada.</t>
  </si>
  <si>
    <t xml:space="preserve">Número de solicitudes de investigación aceptadas </t>
  </si>
  <si>
    <t xml:space="preserve"> Número de solicitudes de investigación recibidas  en el semestre de reporte*100</t>
  </si>
  <si>
    <t>Número de solicitudes de investigación recibidas en el semestre de referencia  que hayan sido objeto de acto administrativo</t>
  </si>
  <si>
    <t>Implementar la versión reformulada de la Política Sancionatoria y la Metodología de dosificación de las sanciones de la Superintendencia Nacional de Salud.</t>
  </si>
  <si>
    <t xml:space="preserve">Porcentaje de procesos con aplicación de la politica sancionatoria reformulada a metodologia desarrollada para la priorizacion de casos de relevancia nacional, sobre el total de expedientes </t>
  </si>
  <si>
    <t>(Numero de procesos iniciados con aplicación de la política sancionatoria y priorización de casos  / Total de expedientes tramitados en el semestre)*100</t>
  </si>
  <si>
    <t xml:space="preserve">Numero de procesos iniciados con aplicación de la política sancionatoria y priorización de casos  </t>
  </si>
  <si>
    <t xml:space="preserve"> Total de expedientes tramitados en el semestre*100</t>
  </si>
  <si>
    <t>Este indicador mide el porcentaje de procesos con aplicación de politica sancionatoria.</t>
  </si>
  <si>
    <t>GESTIÓN JURISDICCIONAL Y DE CONCILIACIÓN</t>
  </si>
  <si>
    <t>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t>
  </si>
  <si>
    <t>Entidades Promotoras de Salud, Instituciones Prestadoras de Salud, Entidades Sociales del Estado</t>
  </si>
  <si>
    <t xml:space="preserve"> Realizar acciones para la recuperación de recursos del sistema de seguridad social a través del mecanismo de la Conciliación como método alternativo de solución de conflictos.</t>
  </si>
  <si>
    <t>Realizar las Pre jornadas  de la función de conciliación  con el fin de dirimir los conflictos entre los actores del SGSS  con informes de resultados.</t>
  </si>
  <si>
    <t xml:space="preserve">Pre jornadas  de la función de conciliación con informes de resultados </t>
  </si>
  <si>
    <t xml:space="preserve">Número de Pre jornadas  de la función de conciliación con informes de resultados </t>
  </si>
  <si>
    <t>Este indicador mide el Número de Pre jornadas  de la función de conciliación con informes de resultados</t>
  </si>
  <si>
    <t>Optimización de la utilización de  los mecanismos de administración de justicia dispuestos por la Supersalud en la resolución de conflictos entre los actores del SGSSS Nacional</t>
  </si>
  <si>
    <t xml:space="preserve">Elaborar las acciones requeridas para la realización de las pre-jornada de conciliación </t>
  </si>
  <si>
    <t>C-1906-0300-01-0-1906051-02</t>
  </si>
  <si>
    <t>Realizar las  jornadas  de la función de conciliación  con el fin de dirimir los conflictos entre los actores del SGSS con informes de resultados.</t>
  </si>
  <si>
    <t xml:space="preserve">Jornadas  de la función de conciliación con informes de resultados </t>
  </si>
  <si>
    <t xml:space="preserve">Numero de jornadas  de la función de conciliación con informes de resultados </t>
  </si>
  <si>
    <t>Este indicador mide el Número de jornadas  de conciliación con informes de resultados</t>
  </si>
  <si>
    <t>Elaborar las acciones realización de jornadas de la función de conciliación</t>
  </si>
  <si>
    <t xml:space="preserve">Realizar las audiencias de conciliación admitidas de  la red pública y privada  como  actores del SGSS  propendiendo por  el animo conciliatorio </t>
  </si>
  <si>
    <t xml:space="preserve">Porcentaje de Audiencias de Conciliación de la función de conciliación </t>
  </si>
  <si>
    <t xml:space="preserve">Número de audiencias de conciliación realizadas en el período </t>
  </si>
  <si>
    <t xml:space="preserve"> Total de solicitudes de conciliación a petición de parte admitidas</t>
  </si>
  <si>
    <t xml:space="preserve">Porcentaje de acuerdos de conciliación con seguimiento que sean exigibles </t>
  </si>
  <si>
    <t xml:space="preserve">Número de acuerdos conciliatorios  con seguimientos realizados / Número de  acuerdos conciliatorios suscritos que sean exigibles </t>
  </si>
  <si>
    <t xml:space="preserve">Número de acuerdos conciliatorios  con seguimientos realizados </t>
  </si>
  <si>
    <t xml:space="preserve"> Número de  acuerdos conciliatorios suscritos que sean exigibles </t>
  </si>
  <si>
    <t>100% (903)</t>
  </si>
  <si>
    <t>Estructurar y desarrollar acciones para implementar una herramienta tecnológica interoperable que permita la consolidación del expediente digital en la Delegada para la Función Jurisdiccional y de Conciliación</t>
  </si>
  <si>
    <t>Este indicador mide el Número de  procesos Jurisdiccionales de Glosas y Recobros terminados.</t>
  </si>
  <si>
    <t>Este indicador mide el Número de  procesos Jurisdiccionales de Reconocimiento Económico  terminados.</t>
  </si>
  <si>
    <t xml:space="preserve">Porcentaje de demandas gestionadas en el semestre </t>
  </si>
  <si>
    <t xml:space="preserve">Número de demandas gestionadas en el semestre </t>
  </si>
  <si>
    <t xml:space="preserve"> Totalidad de las demandas radicadas en igual período</t>
  </si>
  <si>
    <t>Este indicador mide el número de procesos de Cobertura de servicios incluidos en el PBS, Cobertura de servicios NO incluidos en el PBS, Multiafiliación y Libre.</t>
  </si>
  <si>
    <t>Este indicador mide el número de  socializaciones de las funciones jurisdiccional y de conciliación a los usuarios y actores del S.G.S.S.S.</t>
  </si>
  <si>
    <t xml:space="preserve">Usuarios y acreedores que se relacionaron con EPS liquidadas y en liquidación </t>
  </si>
  <si>
    <t>Realizar las acciones para el  seguimiento y monitoreo a los vigilados de las liquidaciones Ordenadas por la Superintendencia Nacional de Salud</t>
  </si>
  <si>
    <t xml:space="preserve">Visitas de seguimiento de las liquidaciones Ordenadas por la Superintendencia Nacional de Salud </t>
  </si>
  <si>
    <t>Número de visitas generadas por la adopción, seguimiento y monitoreo a vigilados en proceso de liquidación  en el periodo</t>
  </si>
  <si>
    <t>Número de visitas de seguimiento a las liquidaciones ordendas</t>
  </si>
  <si>
    <t xml:space="preserve">Realizar seguimiento a las entidades en liquidación y liquidadas  ordenadas por la entidad </t>
  </si>
  <si>
    <t>C-1903-0300-8-20201   C-1903-01502</t>
  </si>
  <si>
    <t>Realizar las acciones para el  seguimiento y monitoreo a las vigilados  de las liquidaciones no Ordenadas por la Superintendencia Nacional de Salud</t>
  </si>
  <si>
    <t xml:space="preserve">Visitas de seguimiento de las liquidaciones No Ordenadas por la Superintendencia Nacional de Salud.  </t>
  </si>
  <si>
    <t>Número de tomas de posesión a las entidades vigiladas.</t>
  </si>
  <si>
    <t>C-1903-0300-8-20201  C- 1903016-02</t>
  </si>
  <si>
    <t xml:space="preserve">Documentos radicados efectivos de salida en la herramienta Superargo  de los  procesos de respuesta a los usuarios o entidades del SGSSS y traslados a órganos de control  </t>
  </si>
  <si>
    <t xml:space="preserve">Número de documentos radicados de salida </t>
  </si>
  <si>
    <t>Número de documentos radicados efectivos de salida en el superargo</t>
  </si>
  <si>
    <t xml:space="preserve">Brindar apoyo  sobre las acciones y medidas especiales que se adopten, así como en los procesos de liquidación ordenadas y no ordenadas y aprobación de acuerdos de reestructuración de pasivos </t>
  </si>
  <si>
    <t>GESTIÓN DE MEJORA</t>
  </si>
  <si>
    <t xml:space="preserve">Funcionarios y grupos de valor e interes de la Superintedencia Nacional de Salud </t>
  </si>
  <si>
    <t>Porcentaje de avance en el cumplimiento de actividades formuladas en PEI  y PAG</t>
  </si>
  <si>
    <t xml:space="preserve">Número de actividades realizadas </t>
  </si>
  <si>
    <t xml:space="preserve"> Número de actividades formuladas en los planes*100</t>
  </si>
  <si>
    <t>Este indicador medir elporcentaje de cumplimiento de acciones de los infornes de seguimiento a os planes Estratégicos.</t>
  </si>
  <si>
    <t>Fortalecimiento del Sistema Integrado de Gestión en la provisión de los servicios de la Supersalud a sus grupos de valor dentro del SGSSS Nacional.</t>
  </si>
  <si>
    <t>*Divulgacion, *Plan de Trabajo, 
*Documento de planeación preliminar</t>
  </si>
  <si>
    <t>C-1999-0300-15</t>
  </si>
  <si>
    <t>GM06</t>
  </si>
  <si>
    <t>Realizar seguimiento a la implementación del Programa de Transaparencia y Etica Pública (Racionalización de Trámites, Integridad, Transparencia, Redes externas e Internas, Riesgos, Participación ciudadana) de acuerdo con los lineamientod definidos por la Secretaria de Transaparencia y Depto. Admitivo de Función Pública - DAFP</t>
  </si>
  <si>
    <t>Porcentaje de avance en la ejecución del Programa de Transaparencia y Etica Publica</t>
  </si>
  <si>
    <t>(Número de actividades ejecutadas en el periodo / Número de actividades programadas en el cronograma del Programa de Transaparencia y Etica Publica</t>
  </si>
  <si>
    <t xml:space="preserve">Número de actividades ejecutadas en el periodo </t>
  </si>
  <si>
    <t xml:space="preserve"> Número de actividades programadas en el cronograma del Programa de Transaparencia y Etica Publica</t>
  </si>
  <si>
    <t>Mide el avance en la ejecución del Programa de Transaparencia y Etica Publica</t>
  </si>
  <si>
    <t>Funcionarios de la Superintendencia Nacional de Salud</t>
  </si>
  <si>
    <t xml:space="preserve">Porcentaje de cumplimiento de los recursos de inversión. </t>
  </si>
  <si>
    <t xml:space="preserve">(Recursos de inversión obligados / Recursos de inversión comprometidos)* 100% </t>
  </si>
  <si>
    <t xml:space="preserve">Recursos de inversión obligados </t>
  </si>
  <si>
    <t xml:space="preserve"> Recursos de inversión comprometidos* 100% </t>
  </si>
  <si>
    <t>Este indicador mide el seguimiento de ejecución de los proyectos de inversión.</t>
  </si>
  <si>
    <t>GM07</t>
  </si>
  <si>
    <t>Dirigir el cierre de brechas prioritarias de las politicas de gestión y desempeño del Modelo integrado de planeación y gestión</t>
  </si>
  <si>
    <t>Porcentaje de cierre de brechas MIPG</t>
  </si>
  <si>
    <t>(Número de brechas cerradas/Total brechas identificadas para la vigencia)*100</t>
  </si>
  <si>
    <t>Número de brechas cerradas</t>
  </si>
  <si>
    <t>Total brechas identificadas para la vigencia*100</t>
  </si>
  <si>
    <t>Mide el porcentaje de cierre de brechas MIPG</t>
  </si>
  <si>
    <t xml:space="preserve">Número de documentos elaborados o actualizados </t>
  </si>
  <si>
    <t>Total de documentos priorizados por la vigencia</t>
  </si>
  <si>
    <t>Este indicador mide el número de actividades en el plan de acción de MIPG.</t>
  </si>
  <si>
    <t>Socializar, divulgar, capacitar y realizar acompañamiento técnico de los lineamientos y políticas de gestión</t>
  </si>
  <si>
    <t>DE01</t>
  </si>
  <si>
    <t xml:space="preserve">Liderar el cumplimiento de los requisitos del Indice Transparecia y Acceso a la informaciòn pùblica - ITA </t>
  </si>
  <si>
    <t xml:space="preserve">Indice de Transparencia - ITA. </t>
  </si>
  <si>
    <t xml:space="preserve">Resultado ITA medido por la Procuraduria General de la Nación </t>
  </si>
  <si>
    <t>Este indicador mide el el resutado del Indice ITA</t>
  </si>
  <si>
    <t>GOBIERNO Y GESTIÓN DE DATOS E INFORMACIÓN</t>
  </si>
  <si>
    <t>Gestionar los datos y la información como un activo con el propósito de tomar decisiones basadas en evidencias.</t>
  </si>
  <si>
    <t>Ciudadanía, agremiaciones y entes de control</t>
  </si>
  <si>
    <t>Monitorear y analizar la presencia y el impacto de la Superintendencia de Salud en redes sociales y medios de comunicación, para evaluar la efectividad de las campañas de comunicación y ajustar las estrategias de comunicación institucional.</t>
  </si>
  <si>
    <t>Realizar seguimiento a través de la  herramienta metodológica del comportamiento de los canales digitales de la entidad</t>
  </si>
  <si>
    <t>Este indicador mide el número de informes de seguimiento sobre el comportamiento de canales digitales elaborados.</t>
  </si>
  <si>
    <t>Realizar campañas institucionales en el marco de posicionar la imagen de la Superintendencia Nacional de Salud  y mejorar la gestión de la reputación institucional.</t>
  </si>
  <si>
    <t>Este indicador mide el número de camapañas realizadas y socializadas</t>
  </si>
  <si>
    <t>Fortalecimiento del conocimiento de los ciudadanos del funcionamiento del SGSSS sus derechos y deberes en salud y las acciones y resultados de la gestión de la Supersalud Nacional.</t>
  </si>
  <si>
    <t>Producir y difundir las piezas y mensajes de comunicación/ Adquirir la impresión de material gráfico /Realizar jornadas de socialización a los diferentes actores del SGSSS / Monitorear las publicaciones de los medios de comunicación relacionada con la gestión de la entidad/Elaborar el registro audiovisual y fotográficos de la gestión de la entidad</t>
  </si>
  <si>
    <t>C-1903-0300-7</t>
  </si>
  <si>
    <t>DI17</t>
  </si>
  <si>
    <t xml:space="preserve">Realizar Audiencia Pública de Rendición de Cuentas </t>
  </si>
  <si>
    <t xml:space="preserve">Audiencia Pública de Rendición de Cuentas </t>
  </si>
  <si>
    <t>Número de Audiencia Pública de Rendición de Cuentas realizada</t>
  </si>
  <si>
    <t>Este indicador mide el número de Audiencia Pública de Rendición de Cuentas realizada</t>
  </si>
  <si>
    <t>Anual</t>
  </si>
  <si>
    <t>Realizar la Rendición de Cuentas a la Ciudadanía</t>
  </si>
  <si>
    <t>Control Interno</t>
  </si>
  <si>
    <t xml:space="preserve">Control interno </t>
  </si>
  <si>
    <t>EVALUACIÓN INDEPENDIENTE</t>
  </si>
  <si>
    <t>Evaluar de forma independiente la gestión institucional de conformidad con los roles definidos para la tercera línea de defensa; a través de la realización de auditorias internas, seguimientos de Ley y requerimientos especiales solicitados por el representante legal y el Comité institucional de Coordinación del Control Interno, enmarcados en los principios de autocontrol, autogestión y autorregulación, para contribuir con el fortalecimiento y la mejora continua institucional</t>
  </si>
  <si>
    <t>Alta Dirección
Funcionarios de la Superintendencia Nacional de Salud
Ciudadanía en General</t>
  </si>
  <si>
    <t xml:space="preserve">Ejecutar Plan Anual de Auditorías Internas de Gestión </t>
  </si>
  <si>
    <t>Este indicador mide el número de Informes de seguimiento a Planes institucionales</t>
  </si>
  <si>
    <t xml:space="preserve">Este indicador mide el seguimiento y evaluaciones efectudas </t>
  </si>
  <si>
    <t>Gobierno Digital</t>
  </si>
  <si>
    <t>Dependencias de la entidad</t>
  </si>
  <si>
    <t>Orientar en la definición e implementación de líneas estratégicas desde la operación tecnológica, los sistemas de información, gobierno digital y seguridad digital, con el fin de apoyar los objetivos estratégicos de la entidad y cumplimiento de los lineamientos de la política de transformación digital.</t>
  </si>
  <si>
    <t>Actualizar e implementar el  Plan Estratégico de Tecnologías de la información (PETI)</t>
  </si>
  <si>
    <t>Número de acciones ejecutadas para actualización e implementación del  Plan Estratégico de Tecnologías de la información (PETI) / Número de acciones definidas para la actualización e implementación del  Plan Estratégico de Tecnologías de la información (PETI) * 100</t>
  </si>
  <si>
    <t xml:space="preserve">Número de acciones ejecutadas para actualización e implementación del  Plan Estratégico de Tecnologías de la información PETI </t>
  </si>
  <si>
    <t xml:space="preserve"> Número de acciones definidas para la actualización e implementación del  Plan Estratégico de Tecnologías de la información PETI * 100</t>
  </si>
  <si>
    <t>Este indicador mide el Total de actividades acumuladas ejecutadas en el plan estratégico de tecnologías</t>
  </si>
  <si>
    <t>8%
  (58) 2025</t>
  </si>
  <si>
    <t>14% (8)</t>
  </si>
  <si>
    <t>50% (21)</t>
  </si>
  <si>
    <t>64% (8)</t>
  </si>
  <si>
    <t>100% (21)</t>
  </si>
  <si>
    <t>Optimización del aprovisionamiento, desarrollo de servicios y soluciones de tecnologías de la información que soportan las acciones de IVC al SGSSS nacional</t>
  </si>
  <si>
    <t xml:space="preserve">( E) Plan de trabajo </t>
  </si>
  <si>
    <t>C-1999-0300-16</t>
  </si>
  <si>
    <t xml:space="preserve">Seguridad Digital </t>
  </si>
  <si>
    <t xml:space="preserve">Total de actividades cumplidas del plan de seguridad y privacidad de la Información de la STI </t>
  </si>
  <si>
    <t xml:space="preserve"> Total de actividades definidas en el plan de seguridad y privacidad de la Información de la STI</t>
  </si>
  <si>
    <t>Este indicador mide el porcentaje el cumplimiento del Plan de Seguridad y Privacidad de la información y Seguridad Digital</t>
  </si>
  <si>
    <t>100%
2025 (5)</t>
  </si>
  <si>
    <t>8% (1)</t>
  </si>
  <si>
    <t>50% (5)</t>
  </si>
  <si>
    <t>58% (1)</t>
  </si>
  <si>
    <t>100% (5)</t>
  </si>
  <si>
    <t>(A) Implementar y mantener  la estrategia de seguridad y custodia de la información</t>
  </si>
  <si>
    <t xml:space="preserve">Total de actividades cumplidas del plan de Tratamientos de Riesgos de seguridad y privacidad de la Información de la STI </t>
  </si>
  <si>
    <t xml:space="preserve"> Total de actividades definidas en el plan de Tratamientos de Riesgos de seguridad y privacidadad de la Información de la STI</t>
  </si>
  <si>
    <t>Este indicador mide el total de actividades realizadas en el cronograma</t>
  </si>
  <si>
    <t>100%
2025  (8)</t>
  </si>
  <si>
    <t>13% (1)</t>
  </si>
  <si>
    <t>38% (2)</t>
  </si>
  <si>
    <t>50% (1)</t>
  </si>
  <si>
    <t>100% (4)</t>
  </si>
  <si>
    <t>(A) Implementar y mantener la estrategia y gobierno de TI</t>
  </si>
  <si>
    <t>Gestión del Conocimiento y la Innovación</t>
  </si>
  <si>
    <t>Gestión del conocimiento y la innovación</t>
  </si>
  <si>
    <t>Colaboradores de la entidad</t>
  </si>
  <si>
    <t>Diseñar e implementar el Sistema de Gestión de la Innovación y del Conocimiento para la Superintendencia Nacional de Salud</t>
  </si>
  <si>
    <t>Número de actividades ejecutadas para el fortalecimiento del Sistema de Gestión de Innovación de la Superintendencia Nacional de Salud /  Número de actividades definidas para el fortalecimiento del Sistema de Gestión de Innovación de la Superintendencia Nacional de Salud * 100</t>
  </si>
  <si>
    <t xml:space="preserve">Número de actividades ejecutadas para el fortalecimiento del Sistema de Gestión de Innovación de la Superintendencia Nacional de Salud </t>
  </si>
  <si>
    <t xml:space="preserve">  Número de actividades definidas para el fortalecimiento del Sistema de Gestión de Innovación de la Superintendencia Nacional de Salud * 100</t>
  </si>
  <si>
    <t>Este indicador mide el número de productos y/o actividades ejecutadas oportunamente para implementar la Política</t>
  </si>
  <si>
    <t>Realizar la asesoría y asistencia técnica para el desarrollo e implementación de las políticas de Gestión</t>
  </si>
  <si>
    <t xml:space="preserve">Diseñar el programa de gestión del conocimiento: Ejecutando el cronograma de actividades para la implementación y sostenibilidad de la política de gestión y desempeño de Gestión del Conocimiento y la Innovación: </t>
  </si>
  <si>
    <t>Este indicador mide el número de actividades realizadas para el relacionamiento interinstitucional entre la Superintendencia Nacional de Salud</t>
  </si>
  <si>
    <t>DE17</t>
  </si>
  <si>
    <t>Ejecutar cronograma de actividades para la implementación y sostenibilidad de la política de gestión y desempeño de Gestión del Conocimiento y la Innovación: implementar el programa de gestión del conocimiento.</t>
  </si>
  <si>
    <t>Porcentaje de Implementación del Programa de Gestión del Conocimiento</t>
  </si>
  <si>
    <t>Número de actividades ejecutadas para la implementación del Programa de Gestión del Conocimiento /  Número de actividades definidas para la implementación en la vigencia 2025 Programa de Gestión del Conocimiento *100</t>
  </si>
  <si>
    <t xml:space="preserve">Número de actividades ejecutadas para la implementación del Programa de Gestión del Conocimiento </t>
  </si>
  <si>
    <t xml:space="preserve">  Número de actividades definidas para la implementación en la vigencia 2025 Programa de Gestión del Conocimiento *100</t>
  </si>
  <si>
    <t>Mide la Implementación del Programa de Gestión del Conocimiento</t>
  </si>
  <si>
    <t>DI34</t>
  </si>
  <si>
    <t>Racionalización de trámites</t>
  </si>
  <si>
    <t>Realizar convocatoria RILCO</t>
  </si>
  <si>
    <t>Actividades correspondientes para realizar la convocatoria que permita fortalecer y actualizar el registro de agentes Liquidadores, Interventores y Contralores - RILCO</t>
  </si>
  <si>
    <t>Número de  actividades ejecutadas para realizar la convocatoria que permita fortalecer y actualizar el registro de agentes Liquidadores, Interventores y Contralores - RILCO</t>
  </si>
  <si>
    <t>Este indicador mide el número de actividades para la estructuración de RILCO</t>
  </si>
  <si>
    <t>Realizar el diseño, evaluación y calificación del examen de conocimientos aplicado a los aspirantes a ser elegibles como agentes especiales en el registro de interventores, liquidadores y contralores de la Supersalud</t>
  </si>
  <si>
    <t>DI38</t>
  </si>
  <si>
    <t>Direccionamiento Estratégico y Planeación</t>
  </si>
  <si>
    <t xml:space="preserve">Planeación Institucional </t>
  </si>
  <si>
    <t>1. Colaboradores de la entidad                                           2. Vigilados</t>
  </si>
  <si>
    <t>Diseñar e implementar proyectos asociados al Modelo de Gobernanza y Gestión de Datos e Información para la Superintendencia Nacional de Salud</t>
  </si>
  <si>
    <t>Generar estrategia para la caracterización de grupos de interés y de valor para la SNS</t>
  </si>
  <si>
    <t>Porcentaje de cumplimiento de la estrategia definida para la caracterización</t>
  </si>
  <si>
    <t>Número de actividades ejecutadas para generar la estrategia para la caracterización de grupos de interés y de valor para la SNS /  Número de actividades ejecutadas para generar la estrategia para la caracterización de grupos de interés y de valor para la SNS * 100</t>
  </si>
  <si>
    <t xml:space="preserve">Número de actividades ejecutadas para generar la estrategia para la caracterización de grupos de interés y de valor para la SNS </t>
  </si>
  <si>
    <t xml:space="preserve">  Número de actividades ejecutadas para generar la estrategia para la caracterización de grupos de interés y de valor para la SNS * 100</t>
  </si>
  <si>
    <t>mide el grado de Cumplimiento de la estrategia definida para la caracterización</t>
  </si>
  <si>
    <t>Ejecutar acciones para el desarrollo de los programas de Gobernanza, Inteligencia de Negocios y Gestión de Datos y de Información de la SNS</t>
  </si>
  <si>
    <t>Acciones ejecutadas para el desarrollo de los programas de Gobernanza, Inteligencia de Negocios y Gestión de Datos y de Información de la SNS</t>
  </si>
  <si>
    <t>Número total de acciones ejecutada para el desarrollo de los programas de Gobernanza, inteligencia de negocios y Gestión de Datos y de Información de la SNS</t>
  </si>
  <si>
    <t>Este indicador mide la ejecución de los proyectos de gobernanza de datos.</t>
  </si>
  <si>
    <t xml:space="preserve"> Realizar acciones encaminadas al uso y apropiación de la estrategia de seguridad de la Información y gobierno de datos</t>
  </si>
  <si>
    <t>Dependencias misionales de la entidad</t>
  </si>
  <si>
    <t>Ejecutar acciones para la implementación de la Política de Gestión de la Información Estadística en la SNS</t>
  </si>
  <si>
    <t>Porcentaje de acciones ejecutadas para la implementación de la Política de Gestión de la Información Estadística en la SNS</t>
  </si>
  <si>
    <t>Número de acciones ejecutados para la Gestión de la Información Estadística / Número de acciones definidas en la vigencia 2025 para Gestión de la Información Estadística * 100</t>
  </si>
  <si>
    <t xml:space="preserve">Número de acciones ejecutados para la Gestión de la Información Estadística </t>
  </si>
  <si>
    <t xml:space="preserve"> Número de acciones definidas en la vigencia 2025 para Gestión de la Información Estadística * 100</t>
  </si>
  <si>
    <t>Este indicador mide el Número de actividades realizadas frente al plan de brechas</t>
  </si>
  <si>
    <t>100%
2025  (10)</t>
  </si>
  <si>
    <t>10% (2)</t>
  </si>
  <si>
    <t>40% (6)</t>
  </si>
  <si>
    <t>70% (4)</t>
  </si>
  <si>
    <t>100% (2)</t>
  </si>
  <si>
    <t>Rediseñar el Marco Integral de Supervisión de la Superintendencia Nacional de Salud a partir de las fases de diagnóstico, diseño, apropiación, evaluación de la implementación y ajuste, para el fortalecimiento del ejercicio de Inspección, Vigilancia y Control.</t>
  </si>
  <si>
    <t xml:space="preserve">  Número de productos términados del  Marco Integral de Supervisión / Número total de productos programados para el diseño del Marco Integral de Supervisión</t>
  </si>
  <si>
    <t xml:space="preserve">  Número de productos términados del  Marco Integral de Supervisión </t>
  </si>
  <si>
    <t xml:space="preserve"> Número total de productos programados para el diseño del Marco Integral de Supervisión</t>
  </si>
  <si>
    <t>Este indicador mide el porcentaje de avance en la elaboración del modelo integral de supervisión.</t>
  </si>
  <si>
    <t>Diseñar, socializar, capacitar divulgar y realizar acompañamiento técnico de políticas, instrumentos y metodologías de supervisión en el SGSSS</t>
  </si>
  <si>
    <t>1. Dependencias de la entidad                                                                                       2. Vigilados</t>
  </si>
  <si>
    <t xml:space="preserve">Diseñar las políticas. instrumentos, guías, metodologías y lineamientos, a partir de las solicitudes y necesidades identificadas y gestionadas </t>
  </si>
  <si>
    <t xml:space="preserve">Porcentaje de solicitudes gestionadas de políticas, instrumentos, guías, metodologías y lineamientos </t>
  </si>
  <si>
    <t xml:space="preserve">Número de solicitudes de políticas, instrumentos, guías, metodologías y lineamientos gestionadas </t>
  </si>
  <si>
    <t xml:space="preserve"> Número de solicitudes de políticas, instrumentos, guías, metodologías y lineamientos identificadas * 100</t>
  </si>
  <si>
    <t>Este indicador mide el número de de actividades programadas para la elaboración,  evaluación y ajuste de Metodologías, instrumento</t>
  </si>
  <si>
    <t>Número de jornadas de socializacion e implementación de  instrumentos, guías, metodologías y lineamientos</t>
  </si>
  <si>
    <t>numero de Jornadas de socialización y acompañamiento técnico de instrumentos, guías, metodologías y lineamientos durante la vigencia</t>
  </si>
  <si>
    <t xml:space="preserve">Mensual </t>
  </si>
  <si>
    <t xml:space="preserve">Defensa jurídica </t>
  </si>
  <si>
    <t>GESTIÓN JURÍDICA</t>
  </si>
  <si>
    <t>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t>
  </si>
  <si>
    <t xml:space="preserve">Alta Dirección
</t>
  </si>
  <si>
    <t xml:space="preserve">(Numero de sanciones revocadas en grado de consulta en el periodo / Numero de sanciones enviadas al grado de consulta en el periodo)x100. </t>
  </si>
  <si>
    <t xml:space="preserve">Numero de sanciones revocadas en grado de consulta en el periodo </t>
  </si>
  <si>
    <t xml:space="preserve"> Numero de sanciones enviadas al grado de consulta en el periodox100. </t>
  </si>
  <si>
    <t>Este indicador mide el porcentaje de sanciones enviadas en grado de consulta a la SNS.</t>
  </si>
  <si>
    <t>Alta Dirección                                                                               Funcionarios de la Entidad                                                   Ciudadanía en General</t>
  </si>
  <si>
    <t xml:space="preserve">Número de requerimientos gestionados por el grupo de tutelas </t>
  </si>
  <si>
    <t xml:space="preserve"> Número de requerimientos notificados al grupo de tutelas en el periodo x100.</t>
  </si>
  <si>
    <t>Mide los requerimientos tramitados oportunamente en desarrollo de las acciones constitucionales de tutela</t>
  </si>
  <si>
    <t>100% (116.798)</t>
  </si>
  <si>
    <t>Proyectar los actos administrativos que resuelven los recursos de reposición,  y solicitudes de revocatoria directa que se presenten dentro de los procesos de única  instancia.</t>
  </si>
  <si>
    <t xml:space="preserve">Porcentaje de actos administrativos entregados para firma, numeración y su posterior notificación, que resuelven los recursos y solicitudes de revocatoria directa que se presenten dentro de los procesos de única instancia. </t>
  </si>
  <si>
    <t xml:space="preserve">Número de proyectos de actos administrativos entregados para firma del Superintendente Nacional de Salud, que resuelven recursos y solicitudes de única instancia, que vencen dentro del periodo a reportar </t>
  </si>
  <si>
    <t xml:space="preserve"> No solicitudes de única instancia con vencimiento dentro del periodo a reportar x 100.</t>
  </si>
  <si>
    <t>Este indicador mide el porcentaje de actos asministrativos para firma del superintendente</t>
  </si>
  <si>
    <t>100% (11)</t>
  </si>
  <si>
    <t>Actos administrativos entregados  para firma, numeración y su posterior notificación oportuna, que resuelven los recursos de apelación, queja y solicitudes de revocatoria directa que se presentaron dentro de los procesos sancionatorios en  segunda instancia.</t>
  </si>
  <si>
    <t xml:space="preserve">Número de recursos entregados para la firma del Superintendente Nacional de Salud resolviendo solicitudes de segunda instancia que se vencen dentro del periodo a reportar </t>
  </si>
  <si>
    <t xml:space="preserve"> No solicitudes de segunda instancia con vencimiento dentro del periodo a reportar x 100</t>
  </si>
  <si>
    <t>Este indicador mide el porcentaje de actos admisnitrativos entregados para firma oportuna de los procesos sancionatorios en segunda estancia.</t>
  </si>
  <si>
    <t>100% (79)</t>
  </si>
  <si>
    <t>Mejora Normativa</t>
  </si>
  <si>
    <t>Proyectar dentro de los términos de ley, las respuestas conceptos,  solicitudes y derechos de petición  recibidos que sean competencia del grupo de conceptos de la Dirección  Jurídica</t>
  </si>
  <si>
    <t xml:space="preserve">Porcentaje de conceptos, solicitudes y derechos de petición tramitados. </t>
  </si>
  <si>
    <t xml:space="preserve">(Número de conceptos, derechos de petición y solicitudes tramitados  en el semestre/ Número de conceptos, solicitudes y derechos de petición recibidos en el periodo)x 100 </t>
  </si>
  <si>
    <t>Número de conceptos, derechos de petición y solicitudes tramitados  en el semestre</t>
  </si>
  <si>
    <t xml:space="preserve"> Número de conceptos, solicitudes y derechos de petición recibidos en el periodox 100 </t>
  </si>
  <si>
    <t>Este indicador mide el porcentaje de de conceptos y solictudes tramitados</t>
  </si>
  <si>
    <t>100% (591)</t>
  </si>
  <si>
    <t>Alta Dirección                                                                                         Funcionarios de la Entidad                                                   Vigilados                                                                                         Ciudadanía en General</t>
  </si>
  <si>
    <t>Este indicador mide las publicaciones del boletin en la pagina web de la entidad</t>
  </si>
  <si>
    <t xml:space="preserve">Trimestral </t>
  </si>
  <si>
    <t>Alta Dirección                                                                                                                                          Vigilados                                                                                         Ciudadanía en General</t>
  </si>
  <si>
    <t>Número de acciones contencioso administrativas y ordinarias tramitadas dentro de los términos de ley en el periodo</t>
  </si>
  <si>
    <t>Total de acciones contencioso administrativas y ordinarias recibidas para trámite en el periodo x100</t>
  </si>
  <si>
    <t>Este indicador mide el porcentaje de acciones administrativas tramitadas</t>
  </si>
  <si>
    <t>100% (306)</t>
  </si>
  <si>
    <t>Porcentaje solicitudes de conciliaciones que cumplan requisitos de ley para ser presentadas al Comité de Conciliación</t>
  </si>
  <si>
    <t>(Número de solicitudes de conciliaciones que cumplan los requisitos de ley para ser presentadas ante el Comité de conciliación, en un término de 15 días hábiles siguientes / Número total de solicitudes de conciliaciones recibidas que cumplen con los requisitos de ley durante el periodo de reporte) x 100.</t>
  </si>
  <si>
    <t xml:space="preserve">Número de solicitudes de conciliaciones que cumplan los requisitos de ley para ser presentadas ante el Comité de conciliación, en un término de 15 días hábiles siguientes </t>
  </si>
  <si>
    <t xml:space="preserve"> Número total de solicitudes de conciliaciones recibidas que cumplen con los requisitos de ley durante el periodo de reporte x 100.</t>
  </si>
  <si>
    <t>Este indicador mide el número de solicitudes de conciliaciones presentadas</t>
  </si>
  <si>
    <t>100% (203)</t>
  </si>
  <si>
    <t xml:space="preserve">Cantidad de actividades ejecutadas en el periodo </t>
  </si>
  <si>
    <t xml:space="preserve"> Cantidad de actividades planificadas en la política de prevención del daño antijurídico para el periodo*100</t>
  </si>
  <si>
    <t>Este indicador mide las actividades de seguimiento a la gestión de la política de prevención</t>
  </si>
  <si>
    <t>Diseñar un sistema  integral de seguimiento, monitoreo y evaluación de las órdenes judiciales y mandatos de organismos internacionales</t>
  </si>
  <si>
    <t xml:space="preserve">Numero de acciones realizadas para el diseño del sistema integral / Total de acciones programadas para el diseño del sistema integral de seguimiento a sentencias *100 </t>
  </si>
  <si>
    <t xml:space="preserve">Numero de acciones realizadas para el diseño del sistema integral </t>
  </si>
  <si>
    <t xml:space="preserve"> Total de acciones programadas para el diseño del sistema integral de seguimiento a sentencias *100 </t>
  </si>
  <si>
    <t>Este indicador mide el número de acciones realizadas para el diseño del sistema</t>
  </si>
  <si>
    <t>Realizar actividades de seguimiento y asistir a mesas técnicas para el cumplimiento de las sentencias y ordenes defensoriales impartidas a la Supersalud y a sus vigilados</t>
  </si>
  <si>
    <t>Este indicador mide el Número de requerimientos tramitados oportunamente</t>
  </si>
  <si>
    <t>Este indicador mide el porcentaje de actividades ejecutadas en el cronograma de implemetacion de mejora normativa</t>
  </si>
  <si>
    <t>Socializar las normas y la jurisprudencia del SGSSS a los diferentes actores</t>
  </si>
  <si>
    <t>Talento Humano</t>
  </si>
  <si>
    <t>GESTIÓN ESTRATÉGICA DE PERSONAS</t>
  </si>
  <si>
    <t>Gestionar el ciclo de vida laboral de las personas, mediante acciones de planeación, vinculación, desarrollo, retención y retiro, con el propósito de contar con servidores competentes y comprometidos con el ejercicio de sus funciones, en beneficio del cumplimiento de los objetivos institucionales y misión de la entidad.</t>
  </si>
  <si>
    <t xml:space="preserve">
Diseñar e implementar la transversalización del enfoque diferencial, de género e interseccional en la Superintendencia Nacional de Salud</t>
  </si>
  <si>
    <t xml:space="preserve">Porcentaje de avance en la ejecución del Plan Estratégico de Desarrollo del Talento Humano </t>
  </si>
  <si>
    <t xml:space="preserve"> Número de actividades programadas en el cronograma del Plan Estratégico de Desarrollo del Talento Humano en el periodo*100</t>
  </si>
  <si>
    <t>Este indicador mide el porcentaje de avance en la ejecución del plan estratégico de desarrollo de talento humano</t>
  </si>
  <si>
    <t>100% (64)
2025  (64)</t>
  </si>
  <si>
    <t>100% (19)</t>
  </si>
  <si>
    <t>100% 
(11)</t>
  </si>
  <si>
    <t>100%
(22)</t>
  </si>
  <si>
    <t>Fortalecimiento del Desarrollo Integral del Talento Humano que Apoya la Gestión Administrativa y la Ejecución de Acciones Misionales de la Supersalud.</t>
  </si>
  <si>
    <t>Plan de trabajo</t>
  </si>
  <si>
    <t>C-1999-0300-17
*Consecutivo pendiente de asignación en el decreto de liquidación del presupuesto</t>
  </si>
  <si>
    <t xml:space="preserve">Secretaria General </t>
  </si>
  <si>
    <t xml:space="preserve">Número de actividades ejecutadas en el período </t>
  </si>
  <si>
    <t xml:space="preserve"> Número de actividades programadas en el cronograma del Plan institucional de capacitación*100</t>
  </si>
  <si>
    <t>Este indicador mide el porcentaje de avance en la ejecución del plan institucional de capacitación</t>
  </si>
  <si>
    <t>100% (86)
2025  (55)</t>
  </si>
  <si>
    <t>100% (1)</t>
  </si>
  <si>
    <t>100%
(52)</t>
  </si>
  <si>
    <t>Ejecutar  el Cronograma del plan de bienestar social y estímulos (Componente Gestión de la Relaciones Humanas)</t>
  </si>
  <si>
    <t xml:space="preserve">Porcentaje de avance en la ejecución del Plan de bienestar social y estímulos </t>
  </si>
  <si>
    <t xml:space="preserve"> Número de actividades programadas en el cronograma del Plan de bienestar social y estímulos*100</t>
  </si>
  <si>
    <t>Este indicador mide el porcentaje de avance en la ejecución del plan de bienestar social y estímulo</t>
  </si>
  <si>
    <t>100% (91)
2025 (91)</t>
  </si>
  <si>
    <t>100% (14)</t>
  </si>
  <si>
    <t>Ejecutar  el Cronograma del plan Anual de Seguridad y salud en el Trabajo (Componente de Gestión de las Relaciones Humanas)</t>
  </si>
  <si>
    <t xml:space="preserve"> Número de actividades programadas en el cronograma del Plan anual de Seguridad y Salud en el Trabajo *100</t>
  </si>
  <si>
    <t>Este indicador mide el porcentaje de avance en la ejecución del plan de seguridad y salud en el trabajo</t>
  </si>
  <si>
    <t>100% (10)</t>
  </si>
  <si>
    <t>100% (18)</t>
  </si>
  <si>
    <t>Porcentaje acumulado de avance en la ejecución del cronograma para la implementación de la  política de integridad</t>
  </si>
  <si>
    <t>(Número de actividades ejecutadas en el periodo / Número de actividades programadas en el cronograma para la implementación de la  política de integridad)*100</t>
  </si>
  <si>
    <t xml:space="preserve"> Número de actividades programadas en el cronograma para la implementación de la  política de integridad*100</t>
  </si>
  <si>
    <t>Este indicador mide el número de actividades realizadas en el plan de brechas.</t>
  </si>
  <si>
    <t>100% (16)
2025  (16)</t>
  </si>
  <si>
    <t>100% (8)</t>
  </si>
  <si>
    <t>ACTUACIONES DISCIPLINARIAS</t>
  </si>
  <si>
    <t>Investigar y sancionar disciplinariamente los comportamientos que estén descritos como falta en la ley, a fin de garantizar la efectividad de los fines y principios, previstos en la constitución, la ley, y los tratados internacionales, relacionados con el ejercicio de las función pública, observando la  prevalencia de la justicia, la efectividad del sustantivo, la búsqueda de la verdad material, y el cumplimiento de los derechos y garantías debidos a las personas que intervienen en él.</t>
  </si>
  <si>
    <t>(Número de Capacitaciones, Autocapacitaciones y Charlas de Sensibilización y de preservación del orden interno, sobre acciones preventivas disciplinarias y normatividad vigente realizadas en el periodo/  Número de Capacitaciones, Autocapacitaciones y Charlas de Sensibilización y de preservación del orden interno, sobre acciones preventivas disciplinarias y normatividad vigente a realizar  en el periodo)*100</t>
  </si>
  <si>
    <t>Número de Capacitaciones, Autocapacitaciones y Charlas de Sensibilización y de preservación del orden interno, sobre acciones preventivas disciplinarias y normatividad vigente realizadas en el periodo</t>
  </si>
  <si>
    <t xml:space="preserve">  Número de Capacitaciones, Autocapacitaciones y Charlas de Sensibilización y de preservación del orden interno, sobre acciones preventivas disciplinarias y normatividad vigente a realizar  en el periodo*100</t>
  </si>
  <si>
    <t>Este indicador mide el número de mesas de trabajo sobre acciones preventivas disciplinarias.</t>
  </si>
  <si>
    <t xml:space="preserve">Integridad </t>
  </si>
  <si>
    <t>Ciudadanía y Funcionarios</t>
  </si>
  <si>
    <t xml:space="preserve">Evaluar y/o calificar los asuntos (NRCD) sobre los cuales se adopte decisión de Inhibitorio, Remisión por Competencia, Indagación Previa y/o Investigación Disciplinaria en etapa de instrucción en el orden en que hayan ingresado a la Oficina de Control Disciplinario Interno, salvo prelación legal o urgencia manifiesta. </t>
  </si>
  <si>
    <t>(Número de  asuntos (NRCD) con decisión adoptada en el  período/Número total de asuntos (NRCD) recibidos) * 100</t>
  </si>
  <si>
    <t>Número de  asuntos NRCD con decisión adoptada en el  período</t>
  </si>
  <si>
    <t>Número total de asuntos NRCD recibidos * 100</t>
  </si>
  <si>
    <t>Numero de asuntos (NRCD) CON decisión en etapa de instrucción</t>
  </si>
  <si>
    <t>Bimestral</t>
  </si>
  <si>
    <t xml:space="preserve">Evaluar y/o calificar con decisión de fondo en etapa de instrucción (archivo o pliego de cargos) , de conformidad con la fecha de los hechos disciplinariamente relevantes y el acervo probatorio obrante en el expediente, salvo prelación legal o urgencia manifiesta. </t>
  </si>
  <si>
    <t xml:space="preserve">Porcentaje de decisiones de fondo adoptadas en etapa de instrucción en la Oficina de Control Disciplinario Interno </t>
  </si>
  <si>
    <t>(Número de  decisiones de fondo adoptadas en el  período/Número total de procesos evaluados en etapa de instrucción) * 100</t>
  </si>
  <si>
    <t>Número de  decisiones de fondo adoptadas en el  período</t>
  </si>
  <si>
    <t>Número total de procesos evaluados en etapa de instrucción * 100</t>
  </si>
  <si>
    <t>Nuemrro de decisiones de fondo adoptadas en etapa de instrucción</t>
  </si>
  <si>
    <t xml:space="preserve">Evaluar y/o calificar con decisión de fondo en etapa de juzgamiento (archivo o fallo de primera instancia), de conformidad con la fecha de los hechos disciplinariamente relevantes y el acervo probatorio obrante en el expediente, salvo prelación legal o urgencia manifiesta. </t>
  </si>
  <si>
    <t xml:space="preserve">Porcentaje de decisiones de fondo adoptadas en etapa de juzgamiento en la Oficina de Control Disciplinario Interno </t>
  </si>
  <si>
    <t>(Número de  decisiones de fondo adoptadas en el  período/Número total de procesos evaluados en etapa de juzgamiento) * 100</t>
  </si>
  <si>
    <t>Número total de procesos evaluados en etapa de juzgamiento * 100</t>
  </si>
  <si>
    <t>Numero de decisiones de fondo adoptadas en etapa de juzgamiento</t>
  </si>
  <si>
    <t>Información y Comunicación</t>
  </si>
  <si>
    <t xml:space="preserve">Gestión documental </t>
  </si>
  <si>
    <t xml:space="preserve">Ciudadanía y Dependencias de la Supersalud </t>
  </si>
  <si>
    <t>Implementar capacidades tecnológicas que permitan la adopción de tecnologías emergentes en los procesos de gestión documental, asegurando la modernización efectiva de la Superintendencia Nacional de Salud (SNS).</t>
  </si>
  <si>
    <t>Total de los productos cumplidos del MGDA en los dos componentes  / Total productos del MGDA requeridos en los 3 componentes programados</t>
  </si>
  <si>
    <t xml:space="preserve">Total de los productos cumplidos del MGDA en los dos componentes  </t>
  </si>
  <si>
    <t xml:space="preserve"> Total productos del MGDA requeridos en los 3 componentes programados</t>
  </si>
  <si>
    <t>Este indicador mide número de informes del MGDA</t>
  </si>
  <si>
    <t>55%
(51)</t>
  </si>
  <si>
    <t>45%(18)</t>
  </si>
  <si>
    <t>78%(14)</t>
  </si>
  <si>
    <t>Fortalecimiento de la Administración de la Gestión Documental en la Supersalud Nacional.</t>
  </si>
  <si>
    <t>Definir y llevar a cabo estrategias de articulación del SGD con los otros subsistemas del SIG</t>
  </si>
  <si>
    <t>C-1999-0300-14</t>
  </si>
  <si>
    <t>GESTIÓN DE BIENES Y SERVICIOS</t>
  </si>
  <si>
    <t>Adquirir bienes y servicios, a través de las diferentes modalidades de contratación de acuerdo con la normatividad vigente y lo establecido en el Plan Anual de Adquisiciones, con el fin de proveer los recursos (humanos, tecnológicos, físicos, etc.) necesarios para el cumplimiento de la misión institucional y vigilar los requisitos establecidos para mejorar el desempeño ambiental en la Superintendencia Nacional de Salud.</t>
  </si>
  <si>
    <t>Funcionarios y Contratistas de la Entidad</t>
  </si>
  <si>
    <t>Socializaciones o sensibilizaciones  realizadas a los funcionarios o contratistas que tengan bienes asignados de la entidad</t>
  </si>
  <si>
    <t>Número de socializaciones o sensibilizaciones  realizadas</t>
  </si>
  <si>
    <t>Este indicador mide el número de Campañas de sensibilización realizadas</t>
  </si>
  <si>
    <t>Número de actividades ejecutadas del cronograma del Sistema de Gestión Ambiental-SGA</t>
  </si>
  <si>
    <t>Número de actividades programadas del cronograma del Sistema de Gestión Ambiental - SGA</t>
  </si>
  <si>
    <t>Este indicador mide el número el porcentaje acumulado en el avance de ejecucion en el sistema de gestion ambiental</t>
  </si>
  <si>
    <t>100%
2025  (63)</t>
  </si>
  <si>
    <t>25% (16)</t>
  </si>
  <si>
    <t>55% (35)</t>
  </si>
  <si>
    <t>80% (50)</t>
  </si>
  <si>
    <t>100% (63)</t>
  </si>
  <si>
    <t xml:space="preserve">1) Socializar, divulgar, capacitar y realizar acompañamiento técnico de los lineamientos y políticas de Gestión; 2) Ejecutar auditorias al SIG
</t>
  </si>
  <si>
    <t>BS08</t>
  </si>
  <si>
    <t>Compras y Contratación Pública</t>
  </si>
  <si>
    <t>Todas las dependencias</t>
  </si>
  <si>
    <t>Incorporar en el estudio previo que soporta la contratación, un estudio del sector que de cuenta de las prácticas de Abastecimiento Estratégico dirigidas a la promoción de la micro, pequeña y mediana empresa; exceptuando la contratación a través de la Tienda Virtual del Estado Colombiano y la Contratación Directa.</t>
  </si>
  <si>
    <t xml:space="preserve">Porcentaje de contratos celebrados a los cuales se les incorporó las prácticas de Abastecimiento Estratégico dirigidas a la promoción de la micro, pequeña y mediana empresa; exceptuando la contratación a través de la Tienda Virtual del Estado Colombiano y la Contratación Directa. </t>
  </si>
  <si>
    <t>Cantidad de contratos celebrados en donde se incorporó las prácticas de Abastecimiento Estratégico dirigidas a la promoción de la micro, pequeña y mediana empresa / Cantidad de contratos celebrados; exceptuando la contratación a través de la Tienda Virtual del Estado Colombiano y la Contratación Directa, por el 100%</t>
  </si>
  <si>
    <t xml:space="preserve">Cantidad de contratos celebrados en donde se incorporó las prácticas de Abastecimiento Estratégico dirigidas a la promoción de la micro, pequeña y mediana empresa </t>
  </si>
  <si>
    <t xml:space="preserve"> Cantidad de contratos celebrados; exceptuando la contratación a través de la Tienda Virtual del Estado Colombiano y la Contratación Directa, por el 100%</t>
  </si>
  <si>
    <t>Este indicador mide el porcentaje de procesos de selección de practicasde abastecimiento.</t>
  </si>
  <si>
    <t>BS09</t>
  </si>
  <si>
    <t xml:space="preserve">Utilizar los instrumentos de compra por catálogo derivados de la celebración de acuerdos marco de precios para la adquisición de bienes y servicios que se encuentren en la Tienda Virtual del Estado Colombiano. </t>
  </si>
  <si>
    <t>Porcentaje de procesos tramitados a través modalidad de instrumentos de compra por catálogo derivados de la celebración de acuerdos marco de precios.</t>
  </si>
  <si>
    <t>Cantidad de órdenes de compra celebradas / cantidad de solicitudes de cotización publicadas a través de la Tienda Virtual del Estado Colombiano, por el 100%</t>
  </si>
  <si>
    <t xml:space="preserve">Cantidad de órdenes de compra celebradas </t>
  </si>
  <si>
    <t xml:space="preserve"> cantidad de solicitudes de cotización publicadas a través de la Tienda Virtual del Estado Colombiano, por el 100%</t>
  </si>
  <si>
    <t>Este indicador mide la cantidad de procesos de los instrumentos de agregación de demanda.</t>
  </si>
  <si>
    <t>Este indicador mide el seguimiento a la gestión contractual</t>
  </si>
  <si>
    <t>BS06</t>
  </si>
  <si>
    <t>Incorporar en el estudio previo un estudio del sector que de cuenta de las prácticas de Análisis de Datos.</t>
  </si>
  <si>
    <t>Porcentaje de estudios previos  a los cuales se les incorporó prácticas de Análisis de Datos.</t>
  </si>
  <si>
    <t>Cantidad de contratos celebrados con estudios previos en donde se incorporaron las prácticas de Análisis de datos / Cantidad de contratos celebrados por el 100%</t>
  </si>
  <si>
    <t xml:space="preserve">Cantidad de contratos celebrados con estudios previos en donde se incorporaron las prácticas de Análisis de datos </t>
  </si>
  <si>
    <t xml:space="preserve"> Cantidad de contratos celebrados por el 100%</t>
  </si>
  <si>
    <t>Este indicador mide al rpocentaje de practicas de analisis de datos.</t>
  </si>
  <si>
    <t xml:space="preserve">Incrementar el porcentaje de eficiencia en la correcta asignación de los documentos de entrada radicados a las diferentes  dependencias de la entidad.​. </t>
  </si>
  <si>
    <t xml:space="preserve">Número de documentos radicados  asignados correctamente a las dependencias durante el trimestre </t>
  </si>
  <si>
    <t xml:space="preserve"> Número de documentos totales radicados  en el trimestre x 100​</t>
  </si>
  <si>
    <t>Este indicador mide el número de error en la asiganción de los documentos radicados en las dependencias</t>
  </si>
  <si>
    <t xml:space="preserve">Número de documentos con calidad en la digitalización y cargue al sistema durante el trimestre  </t>
  </si>
  <si>
    <t xml:space="preserve"> Número Total de documentos digitalizados durante el trimestre x 100.​</t>
  </si>
  <si>
    <t>Este indicador mide el porcentaje de error en la digitalización de documentos</t>
  </si>
  <si>
    <t>Este indicador mide el número de campañas de socialización de procesos de correspondencia.</t>
  </si>
  <si>
    <t xml:space="preserve">Funcionarios y Vigilados </t>
  </si>
  <si>
    <t>Total de actos administrativos de notificación o comunicación  gestionados en el periodo/ Total de actos administrativos recibidos para notificar  o comunicar en el periodo</t>
  </si>
  <si>
    <t>Total de actos administrativos de notificación o comunicación  gestionados en el periodo</t>
  </si>
  <si>
    <t xml:space="preserve"> Total de actos administrativos recibidos para notificar  o comunicar en el periodo</t>
  </si>
  <si>
    <t>Este indicador mide el porcentaje de actos administrativos con actuaciones de notificación</t>
  </si>
  <si>
    <t xml:space="preserve">100% 
</t>
  </si>
  <si>
    <t xml:space="preserve">Número de acciones realizadas con el fin dedar a conocer el proceso de notificación de los actos administrativos. </t>
  </si>
  <si>
    <t>Este indicador mide el número de Campañas realizadas en el periodo</t>
  </si>
  <si>
    <t xml:space="preserve">Gestión presupuestal y eficiencia del gasto público </t>
  </si>
  <si>
    <t>Todas las dependencias de la Superintendencia Nacional de Salud</t>
  </si>
  <si>
    <t>Aumentar la capacidad de gestión de ingresos, a través del  recaudo de la contribución, los procesos de cobro de sanciones, multas y gestión de cartera.</t>
  </si>
  <si>
    <t>Ejecutar cronograma de actividades para la implementación y sostenibilidad de la política  Gestión Presupuestal y Eficiencia del Gasto Público</t>
  </si>
  <si>
    <t>Este indicador mide le ejecucion presupuestal de recursos solicitado</t>
  </si>
  <si>
    <t xml:space="preserve">Compromisos total </t>
  </si>
  <si>
    <t xml:space="preserve"> Apropiación total final*100</t>
  </si>
  <si>
    <t>Este indicador mide le ejecucion presupuestal en compromisos</t>
  </si>
  <si>
    <t xml:space="preserve">Porcentaje en la oportunidad en la gestión de pagos. </t>
  </si>
  <si>
    <t xml:space="preserve">Número de cuentas gestionadas en termino igual o menor a 5 días </t>
  </si>
  <si>
    <t xml:space="preserve"> Numero de cuentas recibidas para pago en el mes</t>
  </si>
  <si>
    <t>Este indicador mide el número de cuentas gestionadas en término igual o menor a 5 días</t>
  </si>
  <si>
    <t xml:space="preserve">Usuarios del Sistema General de Seguridad Social en Salud
Vigilados
Superintendencia Nacional de Salud </t>
  </si>
  <si>
    <t xml:space="preserve">número excepciones al mandamiento de pago y facilidades de pago resueltas oportunamente </t>
  </si>
  <si>
    <t xml:space="preserve"> número excepciones al mandamiento de pago y facilidades de pago solicitadas con cumplimiento de requisitos *100.</t>
  </si>
  <si>
    <t>Este indicador mide el porcentaje de solicitudes al mandamiento de pagos</t>
  </si>
  <si>
    <t xml:space="preserve">Entidades de vigilancia y control fiscal
Directivos de la SNS </t>
  </si>
  <si>
    <t xml:space="preserve">Porcentaje de conciliación de cartera y diferencias reciprocas de SNS con Entidades sin proceso concursal </t>
  </si>
  <si>
    <t>Total de Entidades conciliadas / total Entidades priorizadas de la cartera  y diferencias reciprocas reportadas al cierre del año inmediatamente anterior.</t>
  </si>
  <si>
    <t xml:space="preserve">Total de Entidades conciliadas </t>
  </si>
  <si>
    <t xml:space="preserve"> total Entidades priorizadas de la cartera  y diferencias reciprocas reportadas al cierre del año inmediatamente anterior.</t>
  </si>
  <si>
    <t xml:space="preserve">Optimizar el proceso de  recaudo de la cartera de obligaciones a cargo del Grupo de Cobro Persuasivo y Jurisdicción Coactiva a partir del impulso procesal. </t>
  </si>
  <si>
    <t xml:space="preserve">Porcentaje de recaudo de cartera, frente al valor total de la cartera cobrable. </t>
  </si>
  <si>
    <t xml:space="preserve">Mide el recaudo de cartera, frente al valor total de la cartera cobrable. </t>
  </si>
  <si>
    <t>INDICADORES SUPERINTENDENCIA NACIONAL DE SALUD - 2025</t>
  </si>
  <si>
    <t>Dirección Juridica</t>
  </si>
  <si>
    <t xml:space="preserve">Delegatura para Entidades de Aseguramiento en Salud </t>
  </si>
  <si>
    <t>Delegatura para Prestadores de Servicios de Salud</t>
  </si>
  <si>
    <t xml:space="preserve">Dirección Innovación y Desarrollo </t>
  </si>
  <si>
    <t>Delegada de Operadores Logisticos de Tecnologias en Salud y Gestores Farmaceuticos</t>
  </si>
  <si>
    <t>Porcentaje de  decisión de fondo de  las investigaciones administrativas con riesgo de caducidad 2024-2025</t>
  </si>
  <si>
    <t>Jornadas  de la función de conciliación con informes de resultados</t>
  </si>
  <si>
    <t>Porcentaje de procesos de Cobertura de servicios incluidos en el PBS, Cobertura de servicios NO incluidos en el PBS, Multiafiliación y Libre Elección y Movilidad terminados</t>
  </si>
  <si>
    <t>Porcentaje del total de Actores del sistema con acciones de inspección y vigilancia por parte de la Dirección Regional
* Nota: Se calcula por Dirección Regional - ocho indicadores</t>
  </si>
  <si>
    <t>Delegatura de Operadores Logísticos de Tecnologías en Salud y Gestores Farmacéuticos</t>
  </si>
  <si>
    <t>Oficina Asesora de Comunicaciones estratégicas e Imagen Institucional</t>
  </si>
  <si>
    <t>Auditorias realizadas de acuerdo al  Plan Anual de Auditorias</t>
  </si>
  <si>
    <t>Auditorias   realizadas a Los vigilados en proceso de liquidación</t>
  </si>
  <si>
    <t>Auditorias   realizadas a Los vigilados en proceso de liquidación no ordenadas</t>
  </si>
  <si>
    <t>DEFT20</t>
  </si>
  <si>
    <t>FECHA</t>
  </si>
  <si>
    <t>ACTIVIDAD PLAN</t>
  </si>
  <si>
    <t>(90%, 100%]</t>
  </si>
  <si>
    <t>(75%, 90%)</t>
  </si>
  <si>
    <t>(0%, 75%)</t>
  </si>
  <si>
    <t>Indice
Variable1 + Variable2 + Variable3..</t>
  </si>
  <si>
    <t>Análisis/Interpretación de Resultados del Indicador Vigencia 2025</t>
  </si>
  <si>
    <t>Última fecha de actualización del registro :</t>
  </si>
  <si>
    <t>PROC_PROCESO</t>
  </si>
  <si>
    <t>IND_NOMBRE</t>
  </si>
  <si>
    <t>PROC_OBJET_1</t>
  </si>
  <si>
    <t>PROC_OBJET_2</t>
  </si>
  <si>
    <t>PROC_OBJET_3</t>
  </si>
  <si>
    <t>PAG_ACTV_1</t>
  </si>
  <si>
    <t>PAG_ACTV_2</t>
  </si>
  <si>
    <t>PAG_ACTV_3</t>
  </si>
  <si>
    <t>IND_FOR_VAR1</t>
  </si>
  <si>
    <t>IND_FOR_VAR2</t>
  </si>
  <si>
    <t>IND_DESC</t>
  </si>
  <si>
    <t>IND_TIPO</t>
  </si>
  <si>
    <t>IND_COD</t>
  </si>
  <si>
    <t>IND_VS</t>
  </si>
  <si>
    <t>IND_UMED</t>
  </si>
  <si>
    <t>META_VIG</t>
  </si>
  <si>
    <t>RANGO_MET</t>
  </si>
  <si>
    <t>IND_PERIODO</t>
  </si>
  <si>
    <t>RANGO_BUENO</t>
  </si>
  <si>
    <t>RANGO_REG</t>
  </si>
  <si>
    <t>RANGO_MAL</t>
  </si>
  <si>
    <t>DEPENDENCIA</t>
  </si>
  <si>
    <t>VAL_ENE_Num</t>
  </si>
  <si>
    <t>VAL_ENE_Den</t>
  </si>
  <si>
    <t>VAL_FEB_Num</t>
  </si>
  <si>
    <t>VAL_FEB_Den</t>
  </si>
  <si>
    <t>VAL_MAR_Num</t>
  </si>
  <si>
    <t>VAL_MAR_Den</t>
  </si>
  <si>
    <t>VAL_ABR_Num</t>
  </si>
  <si>
    <t>VAL_ABR_Den</t>
  </si>
  <si>
    <t>VAL_MAY_Num</t>
  </si>
  <si>
    <t>VAL_MAY_Den</t>
  </si>
  <si>
    <t>VAL_JUN_Num</t>
  </si>
  <si>
    <t>VAL_JUN_Den</t>
  </si>
  <si>
    <t>VAL_JUL_Num</t>
  </si>
  <si>
    <t>VAL_JUL_Den</t>
  </si>
  <si>
    <t>VAL_AGO_Num</t>
  </si>
  <si>
    <t>VAL_AGO_Den</t>
  </si>
  <si>
    <t>VAL_SEP_Num</t>
  </si>
  <si>
    <t>VAL_SEP_Den</t>
  </si>
  <si>
    <t>VAL_OCT_Num</t>
  </si>
  <si>
    <t>VAL_OCT_Den</t>
  </si>
  <si>
    <t>VAL_NOV_Num</t>
  </si>
  <si>
    <t>VAL_NOV_Den</t>
  </si>
  <si>
    <t>VAL_DIC_Num</t>
  </si>
  <si>
    <t>VAL_DIC_Den</t>
  </si>
  <si>
    <t>DESC_DIC</t>
  </si>
  <si>
    <t>Auditoría a los Sujetos Vigilados</t>
  </si>
  <si>
    <t xml:space="preserve">Expedientes de auditorias, Visitas y Acciones de Inspección derivadas de Contingencias Nacionales identificados, clasificados y conservados a nivel digital. </t>
  </si>
  <si>
    <t>Realizar seguimiento a los sujetos vigilados mediante auditorías y visitas, revisión de información reportada, requerimientos realizados y la verificación y análisis de indicadores para establecer el cumplimiento de las condiciones de permanencia de</t>
  </si>
  <si>
    <t>los actores del Sistema de Salud, la sostenibilidad financiera y la calidad en la prestación del servicio y producir los informes o conceptos técnicos de acuerdo con la normatividad vigente</t>
  </si>
  <si>
    <t>Crear los expedientes relacionados con las visitas, auditorías, o acciones de Inspección asociadas a contingencias nacionales, ejecutadas durante la vigencia.</t>
  </si>
  <si>
    <t>Número de expedientes de auditorías,  visitas y acciones de inspección derivadas de contingencias nacionales identificados, clasificados y conservados a nivel digital</t>
  </si>
  <si>
    <t xml:space="preserve">Este Indicador mide el número de  expedientes de las audittorias, visitas y acciones digitalmente que se realizan a los sujetos vigilados </t>
  </si>
  <si>
    <t>AI01</t>
  </si>
  <si>
    <t xml:space="preserve">Númerica </t>
  </si>
  <si>
    <t>[90%, 100%]</t>
  </si>
  <si>
    <t>[75%, 90%)</t>
  </si>
  <si>
    <t>[0%, 75%)</t>
  </si>
  <si>
    <t>Porcentaje de Auditorías, Visitas y Acciones de Inspección derivadas de contingencias nacionales realizadas.</t>
  </si>
  <si>
    <t>Ejecutar Las Auditorías, Visitas y Acciones de Inspección Derivadas de Contingencias Nacionales</t>
  </si>
  <si>
    <t>Número de auditorias,  visitas y acciones de inspección derivadas de contigencias nacionales realizadas a los sujetos vigilados</t>
  </si>
  <si>
    <t xml:space="preserve"> Número de auditorias,  visitas o acciones de inspección derivadas de contigencias nacionales que requieren realizarse</t>
  </si>
  <si>
    <t>Este Indicador nos muestra el número de auditorias realizadas a los sujetos vigilados por parte de la SNS</t>
  </si>
  <si>
    <t>AI02</t>
  </si>
  <si>
    <t>Auditorias Forenses realizadas a los sujetos vigilados</t>
  </si>
  <si>
    <t>Ejecutar el Cronograma de Auditorias Forences</t>
  </si>
  <si>
    <t>Número de auditorias forenses realizadas a los sujetos vigilados</t>
  </si>
  <si>
    <t>Este Indicador nos muestra el número de auditorias forenses realizadas a los sujetos vigilados por parte de la SNS</t>
  </si>
  <si>
    <t>AI03</t>
  </si>
  <si>
    <t>Capacitación a servidores de las regionales sobre el proceso y procedimientos de inspección y vigilancia</t>
  </si>
  <si>
    <t>Capacitar al Talento Humano de las regionales en el proceso y procedimiento para inspección y vigilancia.</t>
  </si>
  <si>
    <t>Número de capacitaciones con los servidores de las regionales sobre el proceso y procedimientos de inspección y vigilancia</t>
  </si>
  <si>
    <t>Este indicador mide la jornadas de capacitaciones realizadas a los servidores publicos de las regionales sobre el procesos y procedimientos de inspección y vigilancia</t>
  </si>
  <si>
    <t>AI04</t>
  </si>
  <si>
    <t>Supervisión a los sujetos vigilados de la Superintendencia Nacional de Salud</t>
  </si>
  <si>
    <t>Porcentaje de Órdenes de reintegro de recursos tramitadas con la normatividad adecuada, antes de la ley 1949 de 2019</t>
  </si>
  <si>
    <t>Evaluar las solicitudes de habilitación y autorización, modificación de la capacidad de afiliación, retiros voluntarios, modificación y aprobación de planes voluntarios de salud y tarifas, modificación de la razón social, reformas estatutarias, cambi</t>
  </si>
  <si>
    <t>os de la composición de la propiedad, modificación de la naturaleza jurídica, fusiones, escisiones, cesión de activos, pasivos y contratos allegadas por los sujetos vigilados a la SNS, así como el reintegro de recursos del sector salud mediante revis</t>
  </si>
  <si>
    <t>ión de los documentos soportes, realización de visitas y verificación de información con fuentes externas e internas, con el propósito de mejorar el aseguramiento y la prestación de servicios de salud.</t>
  </si>
  <si>
    <t>Ajustar las ordenes de reintegro de recursos, acorde con los cambios normativos y de estructura de la Superintendencia,  antes de la ley 1949 de 2019</t>
  </si>
  <si>
    <t>Número de ordenes de reintegro tramitadas con normatividad adecuada allegadas a la superintendencia antes de la ley 1949 de 2019</t>
  </si>
  <si>
    <t xml:space="preserve"> Número de órdenes de reintegro pendientes por expedir</t>
  </si>
  <si>
    <t>Este indicador mide los números de ordenes de reintegro tramitadas allegadas a la superintendencia.</t>
  </si>
  <si>
    <t>SU05</t>
  </si>
  <si>
    <t>Porcentaje de recursos de reposición, contra las órdenes de reintegro expedidas por la superintendencia, tramitados mediante actos administrativos.</t>
  </si>
  <si>
    <t>Apoyar la gestión de actos administrativos (Resolución de Incorporación de pruebas y resolución que resuelve recursos de reposición), relacionados con el reintegro de recursos.</t>
  </si>
  <si>
    <t>Número de actos administrativos tramitados  por ocasión de recursos de reposición</t>
  </si>
  <si>
    <t xml:space="preserve"> Número de recursos de reposición interpuestos</t>
  </si>
  <si>
    <t>Este indicador mide el numero de recursos de reposición, contra ordenes de reintegro tramitados a superintendencia.</t>
  </si>
  <si>
    <t>SU04</t>
  </si>
  <si>
    <t>Proyectos de creación de Documentos y/o propuestas de ajuste de éstos.</t>
  </si>
  <si>
    <t>Realizar proyectos de procesos, procedimientos, guías o cualquier otro tipo de documento similar y/o realizar propuestas de ajustes a los existentes</t>
  </si>
  <si>
    <t>Número de procesos, procedimientos, guías u otros documentos proyectados y/o con propuesta de ajuste</t>
  </si>
  <si>
    <t>Este indicador mide el numero de procesos, procedimientos y guias de los documentos proyectados.</t>
  </si>
  <si>
    <t>SU03</t>
  </si>
  <si>
    <t>Mesas Técnicas realizadas en las que se imparte capacitación</t>
  </si>
  <si>
    <t>Realizar Capacitación y Asistencia Técnica en Inspección y Vigilancia a Entidades Territoriales con respecto a su competencia</t>
  </si>
  <si>
    <t>Número de mesas técnicas realizadas en las que se imparte capacitación</t>
  </si>
  <si>
    <t>Este indicador mide el numero de mesas tecnicas realizadas en las capacitaciones.</t>
  </si>
  <si>
    <t>SU06</t>
  </si>
  <si>
    <t>Mesas técnicas con entidades sujetas de Inspección y Vigilancia</t>
  </si>
  <si>
    <t>Desarrollar mesas Técnicas con las entidades sujetas de Inspección y Vigilancia.</t>
  </si>
  <si>
    <t>Número de Mesas técnicas con entidades sujetas de Inspección y Vigilancia</t>
  </si>
  <si>
    <t>Este indicador mide el numero de mesas tecnicas realizadas con entidades sujetas a inspeccion y vigilancia.</t>
  </si>
  <si>
    <t>SU15</t>
  </si>
  <si>
    <t>Porcentaje de PQRDS finalizadas,  presentadas por los vigilados y grupos de interés.</t>
  </si>
  <si>
    <t>Tramitar las Peticiones, Quejas, Reclamos, Denuncias y Solicitudes-PQRDS presentadas por los vigilados y grupos de interés.</t>
  </si>
  <si>
    <t>Suma total de  PQRDS finalizadas presentadas por los vigilados y grupos de interés</t>
  </si>
  <si>
    <t xml:space="preserve"> Suma total de PQRDS presentadas por los vigilados y grupos de interés</t>
  </si>
  <si>
    <t xml:space="preserve">Este indicador mide el número de PQRDS presentadas por los sujetos vigilados y estamentos externos y tramitadas por la Delegada  </t>
  </si>
  <si>
    <t>SU01</t>
  </si>
  <si>
    <t xml:space="preserve">80%
</t>
  </si>
  <si>
    <t>[80%, 100%]</t>
  </si>
  <si>
    <t>[70%, 80%)</t>
  </si>
  <si>
    <t>[0%, 70%)</t>
  </si>
  <si>
    <t xml:space="preserve">
Delegatura Prestadores de Servicios en Salud
</t>
  </si>
  <si>
    <t>Informes elaborados respecto de la oportunidad y calidad en el reporte de información de los sujetos vigilados obligados a reportar información según la Circular Única y sus modificatorias</t>
  </si>
  <si>
    <t>Verificar y analizar la calidad y oportunidad del reporte de información de los sujetos vigilados obligados a reportar.</t>
  </si>
  <si>
    <t>Número de Informes elaborados</t>
  </si>
  <si>
    <t>Este indicador mide el número de informes elaborados respecto de la oportunidad y calidad en el reporte de información de los prestadores de Servicios de salud priorizados por la delegada.</t>
  </si>
  <si>
    <t>SU07</t>
  </si>
  <si>
    <t>Porcentaje de solicitudes resueltas o en trámite.</t>
  </si>
  <si>
    <t>Resolver o gestionar las solicitudes de los vigilados en cuanto a la gestión de sus trámites.</t>
  </si>
  <si>
    <t>Número de solicitudes Resueltas o en gestión</t>
  </si>
  <si>
    <t xml:space="preserve"> Número de Solicitudes recibidas y acumuladas</t>
  </si>
  <si>
    <t xml:space="preserve">Este indicador mide el número de solicitudes resueltas y en tramite allegadas a la superintendencia. </t>
  </si>
  <si>
    <t>SU10_A</t>
  </si>
  <si>
    <t>Delegatura Entidades Aseguramiento en salud</t>
  </si>
  <si>
    <t>Tramitar las peticiones, quejas, reclamos, denuncias y solicitudes PQRDS presentadas por los vigilados y grupos de interes</t>
  </si>
  <si>
    <t>SU10_B</t>
  </si>
  <si>
    <t>Realizar mesas de apropiación y aplicabilidad del Sistema Integrado de Gestión al interior de la Dependencia.</t>
  </si>
  <si>
    <t>Número de mesas ejecutadas para la apropiación del Sistema Integrado de Gestión al interior de la Delegada</t>
  </si>
  <si>
    <t>Este indicador mide el número de mesas realizadas para la apropiación del Sistema Integrado de Gestión al interior de la delegada.</t>
  </si>
  <si>
    <t>SU09</t>
  </si>
  <si>
    <t>Entidades Territoriales clasificadas en nivel de desempeño bajo y muy bajo </t>
  </si>
  <si>
    <t>Realizar seguimiento a las entidades territoriales respecto del cumplimiento de sus funciones y competencias en la vigencia anterior.</t>
  </si>
  <si>
    <t>Número de Entidades Territoriales clasificadas en nivel de desempeño bajo y muy bajo</t>
  </si>
  <si>
    <t>Este indicador mide el numero de entidades territoriales clasificadas en desempeño bajo y muy bajo al cumplimiento de sus funciones y competencias.</t>
  </si>
  <si>
    <t>SU11</t>
  </si>
  <si>
    <t>Númerica </t>
  </si>
  <si>
    <t>Número de instrumentos de Inspección y Vigilancia generados.</t>
  </si>
  <si>
    <t>Generar instrumentos para mejorar acciones de Inspección y Vigilancia</t>
  </si>
  <si>
    <t>Número de instrumentos generados y/o ajustados</t>
  </si>
  <si>
    <t xml:space="preserve">Este indicador mide el número de instrumentos diseñados con el fin de mejoras las acciones de Inspección y Vigilancia  </t>
  </si>
  <si>
    <t>SU12</t>
  </si>
  <si>
    <t>Documentos revisados relacionados con la racionalización de trámites en cuanto a tiempos y flujos</t>
  </si>
  <si>
    <t>Revisar Documentos relacionados con la racionalización de trámites en cuanto a tiempos y flujos</t>
  </si>
  <si>
    <t xml:space="preserve">Número de documentos revisados </t>
  </si>
  <si>
    <t>Este indicador mide el número de documentos revisados relacionados con la racionalización de trámites en cuanto a tiempos y flujos</t>
  </si>
  <si>
    <t>SU13</t>
  </si>
  <si>
    <t xml:space="preserve">Delegatura Entidades Aseguramiento en salud.
</t>
  </si>
  <si>
    <t>Gestión de Tasa</t>
  </si>
  <si>
    <t>Porcentaje de solicitudes verificadas y tramitadas en la Dirección responsable de la Delegada de Supervisión Institucional</t>
  </si>
  <si>
    <t>Identificar los sujetos, liquidar la tasa y recaudar los recursos que financiarán las actividades de Inspección, Vigilancia y Control que ejerce la Superintendencia mediante el establecimiento y ejecución de los procedimientos del proceso, con el fin</t>
  </si>
  <si>
    <t>de garantizar los recursos para el cumplimiento y desarrollo de la función misional de la Superintendencia Nacional de Salud.</t>
  </si>
  <si>
    <t>Verificar información financiera disponible en la Entidad, que permita realizar la liquidación adicional</t>
  </si>
  <si>
    <t>Número de solicitudes verificadas y tramitadas durante el período evaluado en la Dirección responsable de la Delegada de Supervisión Institucional</t>
  </si>
  <si>
    <t>Número de solicitudes radicadas en el sistema de información que maneja la Entidad durante el período evaluado</t>
  </si>
  <si>
    <t>Este indicador mide el porcentanje  de solicitudes verificadas y tramitadas en la direccion respondable de la delegada de supervision institucional.</t>
  </si>
  <si>
    <t>TS08</t>
  </si>
  <si>
    <t>Evaluación Integral de Riesgos de Sujetos Vigilados</t>
  </si>
  <si>
    <t xml:space="preserve">Informes publicados de condiciones financieras y de solvencia </t>
  </si>
  <si>
    <t>Elaborar informes de seguimiento a los riesgos de los sujetos vigilados mediante la recopilación y análisis de la información, realización de auditorías en campo y la aplicación de metodologías e instrumentos de evaluación de riesgo con el fin de rea</t>
  </si>
  <si>
    <t>lizar seguimiento a las acciones de mitigación de los riesgos de los sujetos vigilados.</t>
  </si>
  <si>
    <t>Realizar la publicación de los informes  de evaluación de cumplimiento de las condiciones financieras y de solvencia de Empresas Promotoras de Salud - Empresas Promotoras de Salud Indígenas</t>
  </si>
  <si>
    <t xml:space="preserve">Número de informes publicados de condiciones financieras y de solvencia </t>
  </si>
  <si>
    <t>Este indicador mide número de informes realizados y publicados de condiciones financieras y de solvencia de las Empresas promotoras de Salud.</t>
  </si>
  <si>
    <t>RI07</t>
  </si>
  <si>
    <t>Departamentos con convocatoria de mesa flujo de recursos</t>
  </si>
  <si>
    <t>Realizar cobertura del territorio nacional a través del desarrollo de mesas de flujo de recursos y compromisos de pago relacionados entre Empresas Promotoras de Salud e Intituciones Prestadoras de Servicios.</t>
  </si>
  <si>
    <t>Número de Departamentos con convocatoria de mesa de flujo de recursos</t>
  </si>
  <si>
    <t>Este indicador mide número  de convocatoria de mesa de flujo de recursos.</t>
  </si>
  <si>
    <t>RI10</t>
  </si>
  <si>
    <t xml:space="preserve">Informes de alertas tempranas  a las EPS </t>
  </si>
  <si>
    <t>Realizar visitas y/o auditorias en el marco de la SBR con el proposito de identificar el nivel de exposición al riesgo en las Empresas Promotoras de Salud (EPS) frente a los riesgos de liquidez, crédito, mercado de capitales, operacional, riesgo de g</t>
  </si>
  <si>
    <t>rupo, reputacional, fallas de mercado y Sistema de Administración del Riesgo de Lavado de Activos y de la Financiación del Terrorismo (SARLAFT). De acuerdo con el avance en la implementación de las metodologías, expedición de las respectiva normativa</t>
  </si>
  <si>
    <t>y guías metodológicas para los vigilados priorizados.</t>
  </si>
  <si>
    <t xml:space="preserve">Número de informes de alertas tempranas </t>
  </si>
  <si>
    <t>Este indicador mide el número de informes realizados sobre alertas tempranas que identifican el nivel de exposición al riesgo.</t>
  </si>
  <si>
    <t>RI25_A</t>
  </si>
  <si>
    <t>Informes de alertas tempranas a las IPS</t>
  </si>
  <si>
    <t>Realizar visitas y/o auditorias en el marco de la SBR con el proposito de identificar el nivel de exposición al riesgo en las Intituciones Prestadoras de Servicios de Salud (IPS) frente a los riesgos de liquidez, crédito, mercado de capitales, operac</t>
  </si>
  <si>
    <t>ional, riesgo de grupo, reputacional, fallas de mercado y Sistema de Administración del Riesgo de Lavado de Activos y de la Financiación del Terrorismo (SARLAFT). De acuerdo con el avance en la implementación de las metodologías, expedición de las re</t>
  </si>
  <si>
    <t>spectiva normativa y guías metodológicas para los vigilados priorizados.</t>
  </si>
  <si>
    <t>RI25_B</t>
  </si>
  <si>
    <t>Informes de alertas tempranas a la Administradora de los Recursos del Sistema General de Seguridad Social en Salud (ADRES) y Entidades Territoriales de Salud (ETS)</t>
  </si>
  <si>
    <t>Realizar visitas y/o auditorias en el marco de la SBR con el proposito de identificar el nivel de exposición al riesgo en la Administradora de los Recursos del Sistema General de Seguridad Social en Salud (ADRES) y Entidades Territoriales de Salud (E</t>
  </si>
  <si>
    <t>TS) frente a los riesgos de liquidez, crédito, de capitales, operacional, reputacional, de mercado y Sistema de Administración del Riesgo de Lavado de Activos y de la Financiación del Terrorismo (SARLAFT). De acuerdo con el avance en la implementació</t>
  </si>
  <si>
    <t>n de las metodologías, expedición de las respectiva normativa y guías metodológicas para los vigilados priorizados.lados priorizados).</t>
  </si>
  <si>
    <t>Este indicador mide el número de informes realizados sobre alertas tempranas que identifican el nivel de exposición al riesgo de las administradoras de los recursos del sistemas general de seguridad social en salud.</t>
  </si>
  <si>
    <t>RI25_C</t>
  </si>
  <si>
    <t>Porcentaje de saneamiento de los recobros en los estados financieros</t>
  </si>
  <si>
    <t>Realizar seguimiento al proceso de saneamiento de los recobros NO UPC del regimen contributivo en los estados financieros en el marco del acuerdo de punto final.</t>
  </si>
  <si>
    <t>Valor de la sumatoria de los Saneamientos realizados en los Estados Financieros de los recobrantes en el marco del acuerdo de punto final</t>
  </si>
  <si>
    <t>Valor total de los Pagos aprobados y glosas definitivas, determinados por la Adres en el marco del acuerdo de punto final</t>
  </si>
  <si>
    <t>Este indicador mide el porcentaje de saneamiento de los recobros de los estados financieros.</t>
  </si>
  <si>
    <t>RI23</t>
  </si>
  <si>
    <t>Instrucciones contables</t>
  </si>
  <si>
    <t>Elaborar instrucciones contables de manera conjunta con órganos reguladores y normalizadores en el marco de la ley 1314 de 2009 y sus modificatorios.</t>
  </si>
  <si>
    <t>Número de instrucciones contables</t>
  </si>
  <si>
    <t>Este indicador mide el numero de instrucciones contables.</t>
  </si>
  <si>
    <t>RI24</t>
  </si>
  <si>
    <t>Conceptos técnicos respecto de las notas técnicas</t>
  </si>
  <si>
    <t>Elaborar conceptos técnicos respecto de las notas técnicas que respaldan el cálculo de las tarifas de los planes voluntarios de salud y/o de las reservas técnicas.</t>
  </si>
  <si>
    <t>Número de conceptos técnicos respecto de las notas técnicas elaborados</t>
  </si>
  <si>
    <t>Este indicador mide el numero de conceptos tecnicos de las notas tecnicas.</t>
  </si>
  <si>
    <t>RI08</t>
  </si>
  <si>
    <t>Visitas de evaluación de la gestión de riesgos  a los vigilados priorizados en el marco de la SBR</t>
  </si>
  <si>
    <t>Realizar visitas para la verificación de la gestión del riesgo en sujetos vigilados.</t>
  </si>
  <si>
    <t>Número de visitas de evaluación de la gestión de riesgos  a los vigilados priorizados en el marco de la SBR</t>
  </si>
  <si>
    <t>Este indicador mide el número de visitas de evaluacion de gestion de riesgos a los vigilados.</t>
  </si>
  <si>
    <t>RI09</t>
  </si>
  <si>
    <t>Insumos técnicos relacionado con riesgos actuariales</t>
  </si>
  <si>
    <t>Generar insumos técnicos para la operación e implementación del Modelo de Supervisión Basado en Riesgos en lo relacionado con riesgos actuariales.</t>
  </si>
  <si>
    <t>Número de insumos técnicos generados relacionado con riesgos actuariales</t>
  </si>
  <si>
    <t>Este indicador mide el número de insumos tecnicos con riesgos actuariales.</t>
  </si>
  <si>
    <t>RI26</t>
  </si>
  <si>
    <t>Cobertura de EPS del régimen contributivo y subsidido con evaluación de la gestión del riesgo en salud.</t>
  </si>
  <si>
    <t>Realizar la Evaluación de la Gestión del Riesgo en Salud de Entidades Promotoras de Salud (EPS) del régimen contributivo y subsidiado.</t>
  </si>
  <si>
    <t>Número de evaluaciones de la gestión del riesgo en salud de las Entidades Promotoras de Salud (EPS)</t>
  </si>
  <si>
    <t>Este indicador mide el numero  de evaluaciones de la gestion del riesgo en salud de las EPS.</t>
  </si>
  <si>
    <t>RI11</t>
  </si>
  <si>
    <t>Cumplimiento del seguimiento a las EPS según nivel de riesgo contenido en la evaluación</t>
  </si>
  <si>
    <t>Realizar el Seguimiento de la Gestión del Riesgo en Salud de Entidades Promotoras de Salud (EPS) del régimen contributivo y subsidiado.</t>
  </si>
  <si>
    <t>Número de seguimientos a la gestión del riesgo en salud, (según nivel de riesgo) de las Entidades Promotoras de Salud (EPS)</t>
  </si>
  <si>
    <t xml:space="preserve">Este indicador mide el numero  de seguimiento a las EPS en la gestion del riesgo en salud. </t>
  </si>
  <si>
    <t>RI12</t>
  </si>
  <si>
    <t>EPS con análisis de interaccíon de riesgo ( salud, Operativo, reputacional, de mercado)</t>
  </si>
  <si>
    <t>Elaborar análsis de interacción de riesgos (salud, Operativo, reputacional, de mercado) para EPS del régimen contributivo y EPS del régimen subsidiado.</t>
  </si>
  <si>
    <t>Número EPS con documento de análisis de interaccíon de riesgo</t>
  </si>
  <si>
    <t xml:space="preserve">Este indicador mide el numero  de a las EPS en la gestion del riesgo en salud. </t>
  </si>
  <si>
    <t>RI01</t>
  </si>
  <si>
    <t>Cobertura de EAPB de régimen Especial o Exceptuado, entidades adaptadas y EPS Indígenas con evaluación de la Gestión del Riesgo en Salud.</t>
  </si>
  <si>
    <t>Realizar la Evaluación de la Gestión del Riesgo en Salud de Entidades de régimen Especial o Exceptuado, entidades adaptadas y EPS Indígenas.</t>
  </si>
  <si>
    <t>Número de evaluaciones de la gestión del riesgo en salud de las EAPB de régimen especiales exceptuados y adaptados</t>
  </si>
  <si>
    <t>Este indicador mide el numero  de a las EPS en la gestion del riesgo en salud de la EAPB.</t>
  </si>
  <si>
    <t>RI02</t>
  </si>
  <si>
    <t>Cumplimiento del seguimiento a las EAPB de régimen Especial o Exceptuado, entidades adaptadas y EPS Indígenas según nivel de riesgo obtenido en la evaluación</t>
  </si>
  <si>
    <t>Realizar el Seguimiento de la Gestión del Riesgo en Salud de Entidades de régimen Especial o Exceptuado, entidades adaptadas y EPS Indígenas.</t>
  </si>
  <si>
    <t>Número de seguimientos a la gestión del riesgo en salud, (según nivel de riesgo) de las EAPB de régimen Especial o Exceptuado, entidades adaptadas y EPS Indígenas</t>
  </si>
  <si>
    <t>Este indicador mide el numero  de seguimiento a las EAPB  en la gestion del riesgo en salud de la EAPB.</t>
  </si>
  <si>
    <t>RI03</t>
  </si>
  <si>
    <t>Cumplimiento de la evaluación de la Gestión del Riesgo en Salud de las  Entidades Territoriales de Salud (ET)</t>
  </si>
  <si>
    <t>Realizar la Evaluación de la Gestión del Riesgo en Salud Entidades Territoriales</t>
  </si>
  <si>
    <t>Número de evaluaciones de la Gestión del Riesgo en Salud de las  Entidades Territoriales de Salud (ET)</t>
  </si>
  <si>
    <t>El indicador mide el cumplimiento de la evaluación de la Gestión del Riesgo en Salud de las  Entidades Territoriales de Salud (ET)</t>
  </si>
  <si>
    <t>RI04</t>
  </si>
  <si>
    <t xml:space="preserve">Seguimiento a la gestión del riesgo en salud de las Entidades territoriales (Departamentales, Distritos especiales y municipos categoría 1 y 2) en nivel de riesgo alto </t>
  </si>
  <si>
    <t>Realizar el Seguimiento a la Gestión del Riesgo en Salud Entidades Territoriales</t>
  </si>
  <si>
    <t>Número de seguimientos a la gestión del riesgo en salud, (según nivel de riesgo) de las ET</t>
  </si>
  <si>
    <t xml:space="preserve">El indicador mide Seguimiento a la gestión del riesgo en salud de las Entidades territoriales en nivel de riesgo alto </t>
  </si>
  <si>
    <t>RI05</t>
  </si>
  <si>
    <t>Porcentaje de avance en la evaluación de la gestión del riesgo en salud de Prestadores de Servicios de Salud.</t>
  </si>
  <si>
    <t>Realizar la Evaluación de la Gestión del Riesgo en Salud a Prestadores de servicios de salud</t>
  </si>
  <si>
    <t>Número de actividades ejecutadas</t>
  </si>
  <si>
    <t>Número de actividades programadas en la evaluación de la gestión del riesgo en salud de Prestadores de Servicios de Salud</t>
  </si>
  <si>
    <t>El indicador mide el porcentaje de avance en la evaluación de la gestión del riesgo en salud de Prestadores de Servicios de Salud.</t>
  </si>
  <si>
    <t>RI06</t>
  </si>
  <si>
    <t>Delegatura para Prestadores de Servicios de Salud / Dirección de Inspección y Vigilancia para P.S.S</t>
  </si>
  <si>
    <t>Porcentaje de EPS clasificadas en niveles de riesgo Alto y Medio Alto</t>
  </si>
  <si>
    <t>Identificar las EPS de régimen subsidiado y contributivo que se encuentren en alto riesgo en salud.</t>
  </si>
  <si>
    <t>Número de EPS con nivel de riesgo en salud ALTO y MEDIO ALTO, desagregado por régimen (contributivo y subsidiado)</t>
  </si>
  <si>
    <t>Número total de EPS incluidas en la estimación del nivel de riesgo en salud, desagregado por régimen (contributivo y subsidiado).</t>
  </si>
  <si>
    <t>Este indicador mide el numero de EPS clasificadas en niveles de riesgo Alto y Medio Alto</t>
  </si>
  <si>
    <t>RI13</t>
  </si>
  <si>
    <t>Porcentaje de entidades territoriales clasificadas por riesgo en salud en alto y medio alto</t>
  </si>
  <si>
    <t>Identificar  a las entidades territoriales en riesgos de salud alto.</t>
  </si>
  <si>
    <t>Número de entidades territoriales de salud con nivel de riesgo en salud ALTO y MEDIO ALTO</t>
  </si>
  <si>
    <t>Número total de entidades territoriales de salud incluidas en la estimación del nivel de riesgo en salud</t>
  </si>
  <si>
    <t>Este indicador mide el número de entidades territoriales clasificadas por riesgo en salud en alto y medio alto</t>
  </si>
  <si>
    <t>RI14</t>
  </si>
  <si>
    <t>Porcentaje de EPS con incumplimiento del indicador de Patrimonio Adecuado</t>
  </si>
  <si>
    <t>Realizar seguimiento al cumplimiento de indicador de Patrimonio Adecuado</t>
  </si>
  <si>
    <t>Número de EPS con incumplimiento del indicador de Patrimonio Adecuado</t>
  </si>
  <si>
    <t>Número de EPS a las que les aplica las condiciones del Decreto 780 de 2016</t>
  </si>
  <si>
    <t>El indicador mide el seguimiento al cumplimiento de indicador de Patrimonio Adecuado de las EPS.</t>
  </si>
  <si>
    <t>RI15</t>
  </si>
  <si>
    <t>Delegatura para Entidades de Aseguramiento en Salud</t>
  </si>
  <si>
    <t>Visitas de calibración  al Seguimiento a la Gestión del Riesgo en Salud a Prestadores de servicios de salud</t>
  </si>
  <si>
    <t>Realizar visitas de calibración al Seguimiento a la Gestión del Riesgo en Salud a Prestadores de servicios de salud</t>
  </si>
  <si>
    <t>Número de visitas de calibración al Seguimiento a la Gestión del Riesgo en Salud a Prestadores de servicios de salud</t>
  </si>
  <si>
    <t>El indicador mide las visitas de calibración  al Seguimiento a la Gestión del Riesgo en Salud a Prestadores de servicios de salud</t>
  </si>
  <si>
    <t>RI16</t>
  </si>
  <si>
    <t>Gestión De La Participación Ciudadana En Las Instituciones Del Sistema General De Seguridad Social En Salud</t>
  </si>
  <si>
    <t>Reuniones de difusión de  la carta de deberes  y derechos con la población indígena Embera</t>
  </si>
  <si>
    <t>Desarrollar y liderar estrategias de promoción de la participación ciudadana, protección al usuario y del ejercicio del control social en el Sistema General de Seguridad Social en Salud, incluidos los regímenes especiales y excepcionales en salud, co</t>
  </si>
  <si>
    <t>ntribuyendo al fortalecimiento de la participación ciudadana y los grupos de control social en el sector salud, así como verificar el cumplimiento de la normatividad vigente en materia de participación ciudadana por parte de los sujetos vigilados.</t>
  </si>
  <si>
    <t>Difundir carta de derechos y deberes traducidos a lenguas indígenas ( Embera - Katio - Chami - Siapidara - Dobida)</t>
  </si>
  <si>
    <t>Número de reuniones  en donde se difunde la carta deberes y derechos en salud realizadas, traducida en lengua indígena</t>
  </si>
  <si>
    <t>Este indicador mide el número de reuniones realizadas  donde se difunde la carta deberes y derechos en salud traducidas a lenguas indígenas</t>
  </si>
  <si>
    <t>CS06</t>
  </si>
  <si>
    <t xml:space="preserve">Documento digital (texto o registro sonoro, visual o audiovisual), con la traducción de documento institucional de la Superintendencia Nacional de Salud en lengua de señas colombiana. </t>
  </si>
  <si>
    <t>Construir herramientas de acceso a los bienes y servicios del SGSSS para la población vulnerable</t>
  </si>
  <si>
    <t>Número productos entregados en los plazos definidos en el Cronograma</t>
  </si>
  <si>
    <t>Número total de productos programados para el periodo</t>
  </si>
  <si>
    <t>El indicador mide la realización de un Documento digital (texto o registro sonoro, visual o audiovisual), con la traducción de documento institucional de la Superintendencia Nacional de Salud en lengua de señas colombiana.</t>
  </si>
  <si>
    <t>CS10</t>
  </si>
  <si>
    <t xml:space="preserve">Personas que asistieron a los eventos de participación ciudadana y promoción de derechos y deberes. </t>
  </si>
  <si>
    <t>Incrementar el número de asistentes a los eventos de participación ciudadana y promoción de derechos y deberes.</t>
  </si>
  <si>
    <t>Núm de usuarios capacitados en derechos y deberes en salud y mecanismos de participación ciudadana para fortalecer el empoderamiento de la comunidad y la conformación de asoc de usuarios y veedurías ciudadanas focalizadas de manera diferencial</t>
  </si>
  <si>
    <t>Este indicador mide el número de personas que asistieron a los eventos de participación ciudadana y promoción de derechos y deberes. Realizados por la dirección de participación ciudadana</t>
  </si>
  <si>
    <t>CS02</t>
  </si>
  <si>
    <t>Porcentaje de EAPB, ESE e IPS de naturaleza pública que reportan fecha de la realización de audiencia pública de rendición de cuentas, según circular única.</t>
  </si>
  <si>
    <t>Realizar acciones de inspección y vigilancia a  las EAPB, ESE e IPS de naturaleza pública del cumplimiento de la Circular 008/2018 respecto del reporte de la fecha de audiencia pública de rendición de cuentas conforme la metodología definida por la O</t>
  </si>
  <si>
    <t>ficina de Metodologías y Análisis de Riesgos</t>
  </si>
  <si>
    <t>Número de requerimientos a EAPB, ESE e IPS públicas, que no reportaron fecha de audiencia pública para rendición de cuentas</t>
  </si>
  <si>
    <t>Número de EAPB, ESE e IPS públicas que no reportaron fecha de audiencia pública para rendición de cuentas, según la aplicación de la metodología IV</t>
  </si>
  <si>
    <t>El indicador mide a las EAPB, ESE e IPS de naturaleza pública que reportan fecha de la realización de audiencia pública de rendición de cuentas, según circular única</t>
  </si>
  <si>
    <t>CS08</t>
  </si>
  <si>
    <t>Gestión de Atención  al Usuario del Sistema General de Seguridad Social en Salud - SGSSS</t>
  </si>
  <si>
    <t>Porcentaje de cumplimiento del cronograma definido en la  medición de la calidad a los actores</t>
  </si>
  <si>
    <t>Elaborar respuestas a derechos de petición de la entidad, gestionar las quejas, reclamos, denuncias, y solicitudes de información, mediante análisis, clasificación, interpretación y aplicación de acciones como medidas cautelares y la metodología de e</t>
  </si>
  <si>
    <t>valuación de desempeño de las EPS en la atención al Usuario; y el envío de respuestas a las partes interesadas conforme a la ley, para brindar al ciudadano un servicio de calidad y satisfacer eficientemente sus necesidades y requerimientos.</t>
  </si>
  <si>
    <t>Aplicar instrumentos de medición de la calidad a los actores del Sistema General de Seguridad Social en Salud-SGSSS</t>
  </si>
  <si>
    <t>Número de actividades desarrolladas</t>
  </si>
  <si>
    <t>Número total de actividades programados para el periodo</t>
  </si>
  <si>
    <t xml:space="preserve">Este indicador mide las actvidades que se realizan para la Aplicación de instrumentos de medición de la calidad a los actores del Sistema General de Seguridad Social en Salud-SGSSS </t>
  </si>
  <si>
    <t>AU07</t>
  </si>
  <si>
    <t xml:space="preserve">Porcentaje promedio de respuestas con calificación favorable del instrumento de medición aplicado. </t>
  </si>
  <si>
    <t>Aplicar instrumento de medición de la calidad en protocolos de atención telefónica y/o canal personalizado</t>
  </si>
  <si>
    <t>Total de respuestas del instrumento de medición aplicado</t>
  </si>
  <si>
    <t>Este indicador mide el promedio de respuestas con calificación favorable de los instrumentos de medición aplicados en protocolos de atención a los usuarios.</t>
  </si>
  <si>
    <t>AU03</t>
  </si>
  <si>
    <t>Porcentaje de PQRD de EPS tramitadas, gestionadas y evaluadas en la metodología de evaluación de desempeño.</t>
  </si>
  <si>
    <t>Tramitar, gestionar y evaluar a través de la Metodología de Evaluación de desempeño las PQRD recibidas contra las EPS.</t>
  </si>
  <si>
    <t>Número de PQRD de EPS tramitadas, gestionadas y evaluadas en la metodología de evaluación de desempeño en el periodo</t>
  </si>
  <si>
    <t>Número de PQRD recibidas y PQRD de EPS reiteradas recibidas que se deben enviar a la metodología de evaluación de desempeño en el periodo</t>
  </si>
  <si>
    <t>Este indicador mide el porcentaje de PQRD tramitadas, gestionadas y evaluadas en la metodología de evaluación de desempeño.</t>
  </si>
  <si>
    <t>AU01</t>
  </si>
  <si>
    <t xml:space="preserve">Visitas de inspección a los  vigilados relacionadas a Protección al Usuario </t>
  </si>
  <si>
    <t>Realizar visitas de inspección a los  vigilados relacionadas a Protección al Usuario</t>
  </si>
  <si>
    <t>Número de visitas de inspección a los  vigilados</t>
  </si>
  <si>
    <t xml:space="preserve">Este indicador mide el número de visitas de inspección a los  vigilados, el marco del cumplimiento del Sistema de Información de Atención al Usuario  SIAU </t>
  </si>
  <si>
    <t>AI11</t>
  </si>
  <si>
    <t xml:space="preserve">Porcentaje de PQRD de riesgo vital gestionadas a  través del Grupo Soluciones Inmediatas en Salud - SIS                                                           </t>
  </si>
  <si>
    <t>Gestionar a los usuarios del Sistema General de Seguridad Social en Salud-SGSSS, las solicitudes de soluciones inmediatas recibidas.</t>
  </si>
  <si>
    <t>Número de PQRD con riesgo de vida gestionadas en el trimestre</t>
  </si>
  <si>
    <t>Número de PQRD con riesgo de vida recibidas en el trimestre</t>
  </si>
  <si>
    <t>Este indicador mide el número de PQRD resueltas clasificadas como solución inmediatas en salud SIS</t>
  </si>
  <si>
    <t>AU05</t>
  </si>
  <si>
    <t xml:space="preserve"> PQR recibidas  </t>
  </si>
  <si>
    <t>Responder a los usuarios del Sistema General de Seguridad Social en Salud-SGSSS, las PQRD recibidas.</t>
  </si>
  <si>
    <t>Cuenta del número de PQR recibidas  en el periodo</t>
  </si>
  <si>
    <t>Este indicador mide el número de PQRD realizadas por los usuarios del SGSSS recibidas  en los diferentes canales de la entidad.</t>
  </si>
  <si>
    <t>AU04</t>
  </si>
  <si>
    <t>Presencia de la Supersalud a través de puntos de atención al usuario en todos departamentos del país</t>
  </si>
  <si>
    <t>Hacer presencia para la atención al usuario a traves de los puntos de atención en los departamentos del país.</t>
  </si>
  <si>
    <t>Número de departamentos con punto de atención al usuario presencial.</t>
  </si>
  <si>
    <t>Este indicador mide el número de puntos de atención presencial para recepción de PQRD en departamentos del país existentes</t>
  </si>
  <si>
    <t>AU06</t>
  </si>
  <si>
    <t>Gestión del Procedimiento Administrativo</t>
  </si>
  <si>
    <t>Porcentaje de solicitudes de investigación gestionadas</t>
  </si>
  <si>
    <t>Analizar situaciones de presunto incumplimiento de las normas del Sistema General de Seguridad Social en Salud mediante el desarrollo del procedimiento administrativo establecido en la ley, con el propósito de sancionar las infracciones</t>
  </si>
  <si>
    <t>Gestionar  las solicitudes de investigación  (aperturas, averiguaciones preliminares, informes de improcedencia y traslados por competencia)</t>
  </si>
  <si>
    <t>Número de solicitudes de investigación recibidas en el semestre de referencia que hayan sido objeto de acto administrativo de la etapa preliminar dentro de tal semestre y el siguiente</t>
  </si>
  <si>
    <t>Número de solicitudes recibidas en el semestre de referencia</t>
  </si>
  <si>
    <t>Este indicador mide la gestión de solicitudes de investigación administrativas allegadas a la delegada</t>
  </si>
  <si>
    <t>PA11</t>
  </si>
  <si>
    <t>Porcentaje de investigaciones decididas</t>
  </si>
  <si>
    <t>Gestionar con decisiones (sanción, cierre y archivo y caducidad)  las aperturas de investigación administrativa</t>
  </si>
  <si>
    <t>Número de investigaciones iniciadas en el semestre de referencia que hayan sido objeto de decisión dentro de tal semestre y los dos siguientes</t>
  </si>
  <si>
    <t xml:space="preserve"> Número de investigaciones iniciadas en el semestre de referencia</t>
  </si>
  <si>
    <t xml:space="preserve">Este indicador mide la gestión de gestión de procesos rezagados, decisiones (sanción, cierre y archivo y caducidad)  las aperturas de investigación administrativa </t>
  </si>
  <si>
    <t>PA12</t>
  </si>
  <si>
    <t>Porcentaje de Cumplimiento de las condiciones mínimas que deben reunir las solicitudes de investigación</t>
  </si>
  <si>
    <t>Determinar qué porcentaje de las solicitudes de investigación fue aceptado para estudio de la delegada sin efectuar devolución</t>
  </si>
  <si>
    <t>Número de solicitudes de investigación recibidas en el semestre de referencia - Número de solicitudes objeto de devolución en el semestre de referencia</t>
  </si>
  <si>
    <t xml:space="preserve"> Número de solicitudes de investigación recibidas en el semestre de referencia</t>
  </si>
  <si>
    <t>Este indicador sirve para determinar qué porcentaje de las solicitudes de investigación fue aceptado para estudio de la delegada sin efectuar devolución</t>
  </si>
  <si>
    <t>PA14</t>
  </si>
  <si>
    <t>Efectividad jurídica de las acciones de Inspección y Vigilancia en relación con el ejercicio de la función de control</t>
  </si>
  <si>
    <t>Determinar qué porcentaje de las solicitudes de investigación sirvió de fundamento para la apertura de procesos administrativos sancionatorios, excluyéndose aquellas objeto informe de improcedencia</t>
  </si>
  <si>
    <t>Número de solicitudes de investigación recibidas en el semestre de referencia - Número de solicitudes recibidas en el semestre de referencia respecto de las cuales se emitió informe de improcedencia</t>
  </si>
  <si>
    <t>Este indicador sirve para determinar qué porcentaje de las solicitudes de investigación sirvió de fundamento para la apertura de procesos administrativos sancionatorios, excluyéndose aquellas objeto informe de improcedencia</t>
  </si>
  <si>
    <t>PA15</t>
  </si>
  <si>
    <t>Porcentaje de recursos y revocatorias directas resueltos contra las decisiones tomadas por la entidad en los procesos administrativos recibidos.</t>
  </si>
  <si>
    <t>Gestionar  los recursos y revocatorias directas presentados contra las decisiones tomadas por la entidad en los procesos administrativos recibidos en el periodo dentro del termino de Ley.</t>
  </si>
  <si>
    <t>Recursos y revocatorias resueltos durante el presente semestre</t>
  </si>
  <si>
    <t xml:space="preserve"> recursos y revocatorias presentados en el semestre anterior pendientes de resolver</t>
  </si>
  <si>
    <t>Este indicador mide los recursos y revocatorias directas resueltos contra las decisiones tomadas por la entidad en los procesos administrativos recibidos.</t>
  </si>
  <si>
    <t>PA04</t>
  </si>
  <si>
    <t xml:space="preserve">Mesas de concertación entre contratistas y coordinadores </t>
  </si>
  <si>
    <t>Realizar mesas de trabajo entre contratistas y coordinadores para unificar criterios de ejecución del contrato</t>
  </si>
  <si>
    <t>Número de mesas de concertación entre contratistas y coordinadores realizadas</t>
  </si>
  <si>
    <t>Este indicador mide el número de mesas de concertación realizadas entre contratistas y coordinadores con el fin de optimizar los procesos internos de la Delgada.</t>
  </si>
  <si>
    <t>PA06</t>
  </si>
  <si>
    <t>Mesas de trabajo con las  dependencias que aportan insumos para la investigación administrativa</t>
  </si>
  <si>
    <t>Realizar de forma permanente mesas técnico jurídicas con las dependencias que aportan insumos para la investigación administrativa para socializar la Circular 04 de 2018 y demás aspectos relacionados con la política sancionatoria de la entidad  y la</t>
  </si>
  <si>
    <t>calidad de los casos trasladados a la Delegada</t>
  </si>
  <si>
    <t>Número de mesas de trabajo con las  dependencias que aportan insumos para la investigación administrativa realizadas</t>
  </si>
  <si>
    <t>Este indicador mide el numero de mesas de trabajo con las  dependencias que aportan insumos para la apertura de investigación administrativa</t>
  </si>
  <si>
    <t>PA13</t>
  </si>
  <si>
    <t>Adopción y Seguimiento de Acciones y Medidas Especiales</t>
  </si>
  <si>
    <t>Porcentaje de EAPB en marcha con medida adoptada que evidencian reporte  y seguimiento del equipo técnico de la Superintendencia</t>
  </si>
  <si>
    <t>Adoptar acciones y medidas especiales mediante la identificación de las situaciones críticas o irregulares que se estén presentando en los actores del SGSSS, la determinación de los correctivos a implementar, así como su ejecución y seguimiento, con</t>
  </si>
  <si>
    <t>el propósito de lograr la adecuada prestación de los servicios de salud y la protección de los derechos de los usuarios.</t>
  </si>
  <si>
    <t>Realizar seguimiento a las EAPB a las entidades bajo acción o medida especial, y a la gestión de los agentes interventores, liquidadores y contralores designados por la Superintendencia Nacional de Salud.</t>
  </si>
  <si>
    <t>Número de EAPB en marcha con medida adoptada que evidencian reporte  y seguimiento del equipo técnico de la Superintendencia</t>
  </si>
  <si>
    <t>Numero total de EAPB en marcha con medida adoptada por la Superintendencia</t>
  </si>
  <si>
    <t>Este indicador mide a las  EAPB en marcha con medida adoptada que evidencian reporte oportuno en la herramienta de seguimiento y monitoreo de las medidas especiales</t>
  </si>
  <si>
    <t>ME01</t>
  </si>
  <si>
    <t>Delegatura para Entidades en Aseguramiento en Salud
 (Dirección de Medidas Especiales para EPS y Entidades Adaptadas)</t>
  </si>
  <si>
    <t>Visitas  realizadas a las EAPB bajo acción o medida especial</t>
  </si>
  <si>
    <t>Realizar seguimiento a las entidades bajo acción o medida especial, y a la gestión de los agentes interventores, liquidadores y contralores designados por la Superintendencia Nacional de Salud a través de auditorias o visitas.</t>
  </si>
  <si>
    <t>Número de visitas generadas por la adopción, seguimiento y monitoreo a las EAPB bajo medida especial en el periodo</t>
  </si>
  <si>
    <t>Este indicador mide el número de visitas  realizadas a las entidades bajo acción o medida especial y a la gestión que realizan los agentes interventores, liquidadores y controladores.</t>
  </si>
  <si>
    <t>AI05</t>
  </si>
  <si>
    <t xml:space="preserve">Numérica </t>
  </si>
  <si>
    <t>Documentos de análisis consolidado del avance de las medidas adoptadas a EAPB al Comité de Medidas Especiales</t>
  </si>
  <si>
    <t>Realizar seguimiento a las entidades bajo acción o medida especial, y a la gestión de los agentes interventores, liquidadores y contralores designados por la Superintendencia Nacional de Salud.</t>
  </si>
  <si>
    <t>Número de documentos radicados al Comité de Medidas Especiales</t>
  </si>
  <si>
    <t>Este indicador mide el número de  documentos presentados al Comité de Medidas Especiales resultado del seguimiento realizado a las entidades que se encuentran bajo alguna acción o medida especial.</t>
  </si>
  <si>
    <t>ME04</t>
  </si>
  <si>
    <t>EAPB con medida especial preventiva</t>
  </si>
  <si>
    <t>Ejercer el control a través de medidas preventivas de la toma de posesión, para garantizar el aseguramiento y la prestación de servicio de salud a los usuarios con calidad.</t>
  </si>
  <si>
    <t>Número de EAPB con medida especial preventiva en el periodo</t>
  </si>
  <si>
    <t>Este indicador mide el número de medidas especiales adoptadas con el fin de garantizar la prestación de servicios de salud.</t>
  </si>
  <si>
    <t>ME10</t>
  </si>
  <si>
    <t xml:space="preserve">Eventos de difusión, socialización y capacitación realizados en relación con las acciones y medidas especiales adoptadas a EAPB de la Superintendencia Nacional de Salud </t>
  </si>
  <si>
    <t>Realizar eventos de difusión,  socialización y capacitación,  relacionados con las competencias de la Delegada para las Medidas Especiales del Sector Salud.</t>
  </si>
  <si>
    <t xml:space="preserve">Este indicador mide el número de eventos de difusión, socialización y capacitación, en relación con las acciones y medidas especiales de la Superintendencia Nacional de Salud realizados </t>
  </si>
  <si>
    <t>ME14</t>
  </si>
  <si>
    <t>Delegatura para Entidades en Aseguramiento en Salud</t>
  </si>
  <si>
    <t>Actualizaciones  a la información publicada en formato datos abiertos,   sobre las EAPB  sujetas a Medidas Especiales.</t>
  </si>
  <si>
    <t>Publicar y actualizar mensualmente en el sitio web institucional, información en formato datos abiertos sobre las entidades que son objeto de alguna acción o medida especial por parte de la Superintendencia, que se encuentran en liquidación voluntari</t>
  </si>
  <si>
    <t>a o  adelantan Acuerdos de Reestructuración de Pasivos</t>
  </si>
  <si>
    <t>Número de actualizaciones realizadas a la información publicada en formato datos abiertos,  sobre las  EAPB sujetas a Medidas Especiales</t>
  </si>
  <si>
    <t>Indicador mide núm de actualizaciones realizadas de la inf publicada en el sitio web de la entidad sobre las entidades EAPB que son objeto de alguna acción o medida especial por parte de la SNS cumpliendo lineamientos de datos abiertos.</t>
  </si>
  <si>
    <t>ME17</t>
  </si>
  <si>
    <t>Este indicador mide núm de actualizaciones realizadas de la información publicada en el sitio web de la entidad sobre las entidades EAPB que son objeto de alguna acción o medida especial por parte de la Superintendencia cumpliendo lineamientos de DA.</t>
  </si>
  <si>
    <t>Porcentaje de PSS en marcha con medida adoptada que evidencian reporte  y seguimiento del equipo técnico de la Superintendencia</t>
  </si>
  <si>
    <t>Realizar seguimiento  a las PSS a las entidades bajo acción o medida especial, y a la gestión de los agentes interventores, liquidadores y contralores designados por la Superintendencia Nacional de Salud</t>
  </si>
  <si>
    <t>Número de PSS en marcha con medida adoptada que evidencian reporte  y seguimiento del equipo técnico de la Superintendencia</t>
  </si>
  <si>
    <t>Numero total de PSS en marcha con medida adoptada por la Superintendencia</t>
  </si>
  <si>
    <t>Este indicador mide a las  PSS en marcha con medida adoptada que evidencian reporte oportuno en la herramienta de seguimiento y monitoreo de las medidas especiales</t>
  </si>
  <si>
    <t>ME02</t>
  </si>
  <si>
    <t>Delegatura para Prestadores de Servicios en Salud (Dirección de Medidas Especiales para P.S.S)</t>
  </si>
  <si>
    <t>Visitas  realizadas a las PSS bajo acción o medida especial</t>
  </si>
  <si>
    <t>Número de  visitas generadas por la adopción, seguimiento y monitoreo a las PSS  en el periodo</t>
  </si>
  <si>
    <t>Este indicador mide el número de visitas  realizadas a las PSS bajo acción o medida especial</t>
  </si>
  <si>
    <t>AI06</t>
  </si>
  <si>
    <t>Documentos de análisis consolidado del avance de las medidas adoptadas a PSS al Comité de Medidas Especiales</t>
  </si>
  <si>
    <t>Número de documentos radicados al Comité de Medidas Especiales de acuerdo al análisis de avance</t>
  </si>
  <si>
    <t>ME05</t>
  </si>
  <si>
    <t>Medidas especiales adoptadas a EAPB y PSS</t>
  </si>
  <si>
    <t>Realizar las medidas, en materia de control que se requieran, para garantizar el aseguramiento y la prestación de servicio de salud a los usuarios con calidad.</t>
  </si>
  <si>
    <t>Número de medidas especiales adoptadas a EAPB y PSS que se encontraban sin medida en el periodo</t>
  </si>
  <si>
    <t>Este indicador mide el número de PSS medidas especiales adoptadas con el fin de garantizar la prestación de servicios de salud.</t>
  </si>
  <si>
    <t>ME07</t>
  </si>
  <si>
    <t>Desecalonamiento (incluyendo levantamiento de la medidas) de medidas adoptadas a EAPB y PSS</t>
  </si>
  <si>
    <t>Número de EAPB  y PSS con desescalonamiento de la medida especial adoptada durante el periodo</t>
  </si>
  <si>
    <t>Este indicador mide el número de EAPB  y PSS con desescalonamiento de la medida especial adoptada durante el periodo</t>
  </si>
  <si>
    <t>ME11</t>
  </si>
  <si>
    <t xml:space="preserve">Eventos de difusión, socialización y capacitación realizados en relación con las acciones y medidas especiales adoptadas a PSS de la Superintendencia Nacional de Salud </t>
  </si>
  <si>
    <t>ME15</t>
  </si>
  <si>
    <t>Actualizaciones  a la información publicada en formato datos abiertos,   sobre los PSS  sujetos a Medidas Especiales.</t>
  </si>
  <si>
    <t>Número de actualizaciones realizadas a la información publicada en formato datos abiertos,  sobre los PSS  sujetos a Medidas Especiales</t>
  </si>
  <si>
    <t>Ind mide núm de actualizaciones realizadas de la información publicada en el sitio web de  sobre las entidades PSSS que son objeto de alguna acción o medida especial por parte de la SNS cumpliendo lineamientos de datos abiertos.</t>
  </si>
  <si>
    <t>ME18</t>
  </si>
  <si>
    <t>Delegatura para Prestadores  de Servicios de Salud
 (Dirección de Medidas Especiales para P.S.S)</t>
  </si>
  <si>
    <t>Este ind mide número de actualizaciones realizadas de la información publicada en el sitio web de  sobre las entidades PSSS que son objeto de alguna acción o medida especial por parte de la Superintendencia cumpliendo lineamientos de datos abiertos.</t>
  </si>
  <si>
    <t>Evaluación y Aprobación de Acuerdos de Reestructuración de Pasivos</t>
  </si>
  <si>
    <t>Porcentaje  de solicitudes de acuerdos de restructuración de pasivos promovidos</t>
  </si>
  <si>
    <t>Elaborar el concepto sobre la aceptación o rechazo de las solicitudes de promoción de Acuerdos de Reestructuración de Pasivos presentadas, mediante la evaluación de los requisitos establecidos en la norma, así como el seguimiento al cumplimiento dela</t>
  </si>
  <si>
    <t>s etapas procesales establecidas en la Ley 550 de 1999 hasta la celebración del Acuerdo de Reestructuración de Pasivos, con el propósito de facilitar los procesos de saneamiento de pasivos que permitan mejorar las condiciones financieras de las empre</t>
  </si>
  <si>
    <t>sas sociales del estado (ESE), y con ello lograr la adecuada prestación de los servicios de salud.</t>
  </si>
  <si>
    <t>Aceptar o rechazar la celebración de acuerdos de reestructuración de pasivos presentados ante la Superintendencia Nacional de Salud</t>
  </si>
  <si>
    <t>Número de acuerdos de restructuración de pasivos promovidos en el periodo</t>
  </si>
  <si>
    <t>Numero de acuerdos de restructuración de pasivos solicitados</t>
  </si>
  <si>
    <t>Este indicador mide el número de acuerdos de restructuración de pasivos promovidos en el periodo</t>
  </si>
  <si>
    <t>AR01</t>
  </si>
  <si>
    <t>Porcentaje de vigilados en proceso de liquidación que evidencian reporte  y seguimiento del equipo técnico de la Superintendencia</t>
  </si>
  <si>
    <t>Realizar seguimiento vigilados en proceso de liquidación, a las entidades bajo acción o medida especial, y a la gestión de los agentes interventores, liquidadores y contralores designados por la Superintendencia Nacional de Salud</t>
  </si>
  <si>
    <t>Número de vigilados en proceso de liquidación que evidencian reporte  y seguimiento del equipo técnico de la Superintendencia</t>
  </si>
  <si>
    <t>Numero total de vigilados en proceso de liquidación</t>
  </si>
  <si>
    <t>El indicador mide a los vigilados en proceso de liquidación que evidencian reporte  y seguimiento del equipo técnico de la Superintendencia</t>
  </si>
  <si>
    <t>ME03</t>
  </si>
  <si>
    <t>Visitas  realizadas a los vigilados en proceso de liquidación</t>
  </si>
  <si>
    <t xml:space="preserve">Este indicador mide el número de visitas  realizadas a los vigildos en proceso de liquidación. </t>
  </si>
  <si>
    <t>AI07_A</t>
  </si>
  <si>
    <t xml:space="preserve">Auditorias y visitas Inspectivas </t>
  </si>
  <si>
    <t>Auditorias y visitas Inspectivas realizadas</t>
  </si>
  <si>
    <t xml:space="preserve">Este indicador mide las auditorias y visitas Inspectivas </t>
  </si>
  <si>
    <t>AI07_B</t>
  </si>
  <si>
    <t>Documentos de análisis consolidado del avance de los vigilados en proceso de liquidación al Comité de Medidas Especiales</t>
  </si>
  <si>
    <t>ME06</t>
  </si>
  <si>
    <t>Liquidación forzosa adoptada a sujetos vigilados</t>
  </si>
  <si>
    <t>Número de liquidaciones forzosas adoptadas a sujetos vigilados</t>
  </si>
  <si>
    <t>Este indicador mide el número de  medidas especiales adoptadas  en Liquidación forzosa con el fin de garantizar la prestación de servicios de salud.</t>
  </si>
  <si>
    <t>ME09</t>
  </si>
  <si>
    <t>Entidades en intervención forzosa administrativa para liquidar</t>
  </si>
  <si>
    <t>Número de entidades en intervención forzosa administrativa para liquidar</t>
  </si>
  <si>
    <t>Este indicador mide a las entidades en intervención forzosa administrativa para liquidar</t>
  </si>
  <si>
    <t>ME13</t>
  </si>
  <si>
    <t xml:space="preserve">Eventos de difusión, socialización y capacitación realizados en relación con los vigilados en proceso de liquidación de la Superintendencia Nacional de Salud </t>
  </si>
  <si>
    <t>ME16</t>
  </si>
  <si>
    <t>Actualizaciones  a la información publicada en formato datos abiertos,   sobre los los vigilados en proceso de liquidación o liquidados sujetos de seguimiento por parte de la Delegada para las Medidas Especiales</t>
  </si>
  <si>
    <t>Número de actualizaciones realizadas a la información publicada en formato datos abiertos,  sobre los vigilados en proceso de liquidación o liquidados sujetos de seguimiento por parte de la Delegada para las Medidas Especiales</t>
  </si>
  <si>
    <t>Ind mide núm de actualizaciones realizadas de la inf publicada en el sitio web de  sobre los vigilados en proceso de liq o liquidados sujetos de seg que son objeto de alguna acción o medida especial por parte de la SNS cumpliendo lineamientos de DA.</t>
  </si>
  <si>
    <t>ME19</t>
  </si>
  <si>
    <t>Este ind mide núm de actualizaciones realizadas de la inf publicada en el sitio web sobre los vigilados en proceso de liq o liquidados sujetos de seg que son objeto de alguna acción o medida especial por parte de la SNS cumpliendo lineamientos de DA.</t>
  </si>
  <si>
    <t>Identificación y Seguimiento de Liquidaciones Voluntarias</t>
  </si>
  <si>
    <t xml:space="preserve">Porcentaje de Entidades en liquidación voluntaria que han reportado entrega de historias clínicas </t>
  </si>
  <si>
    <t>Realizar seguimiento a los procesos de liquidación voluntaria identificados a través de conceptos técnicos, visitas inspectivas, auditorías integrales y requerimientos de información con el propósito de verificar que el vigilado garantice los derecho</t>
  </si>
  <si>
    <t>s de los afiliados y la correcta aplicación de los recursos del sector salud.</t>
  </si>
  <si>
    <t>Realizar seguimiento a las entidades que se encuentren en liquidación voluntaria.</t>
  </si>
  <si>
    <t>Número de entidades que han reportado entrega de historias clínicas</t>
  </si>
  <si>
    <t>Número de entidades identificadas en liquidación voluntaria</t>
  </si>
  <si>
    <t xml:space="preserve">Este indicador mide a las  entidades que se encuentran en liquidación voluntaria y que han reportado entrega de historias clínicas. </t>
  </si>
  <si>
    <t>LV01</t>
  </si>
  <si>
    <t>Resolución de Conflictos derivados entre los actores del Sistema General de Seguridad Social en Salud</t>
  </si>
  <si>
    <t xml:space="preserve">Este indicador mide el número de Pre jornadas  de la función de conciliación con informes de resultados </t>
  </si>
  <si>
    <t>RC01</t>
  </si>
  <si>
    <t xml:space="preserve">Este indicador mide el numero de jornadas  de la función de conciliación entre prestadores de servicios con informes de resultados </t>
  </si>
  <si>
    <t>RC05</t>
  </si>
  <si>
    <t>Realizar las audiencias de conciliación admitidas de  la red pública y privada  como  actores del SGSS  propendiendo por  el animo conciliatorio</t>
  </si>
  <si>
    <t>Número de audiencias de conciliación realizadas en el período</t>
  </si>
  <si>
    <t>Total de solicitudes de conciliación a petición de parte admitidas</t>
  </si>
  <si>
    <t xml:space="preserve">Este indicador mide las Audiencias de Conciliación realizadas entre los prestadores del salud.  </t>
  </si>
  <si>
    <t>RC02</t>
  </si>
  <si>
    <t>Número de acuerdos conciliatorios  con seguimientos realizados</t>
  </si>
  <si>
    <t>Número de  acuerdos conciliatorios suscritos que sean exigibles</t>
  </si>
  <si>
    <t>Este indicador mide los seguimientos realizados a los acuerdos de conciliación suscritos que sean exigibles.</t>
  </si>
  <si>
    <t>RC03</t>
  </si>
  <si>
    <t>Documentos  técnicos y jurídicos para fortalecer la   Función de conciliación elaborados.</t>
  </si>
  <si>
    <t>Realizar documentos técnicos y jurídicos para fortalecer la  Función de conciliación</t>
  </si>
  <si>
    <t>Número de documentos  técnicos y jurídicos para fortalecer la  Función de conciliación elaborados</t>
  </si>
  <si>
    <t xml:space="preserve">Este indicador mide el número de documentos  técnicos y jurídicos realizados para fortalecer la  Función de conciliación </t>
  </si>
  <si>
    <t>RC04</t>
  </si>
  <si>
    <t xml:space="preserve">Administración de Justicia dentro del Sistema General de Seguridad Social en Salud – SGSSS </t>
  </si>
  <si>
    <t>Procesos de prestaciones económicas terminados</t>
  </si>
  <si>
    <t>Tramitar los procesos jurisdiccionales vigentes con anterioridad a la Ley 1949 de 2019 para depurar los procesos pendientes.</t>
  </si>
  <si>
    <t>Números procesos de prestaciones económicas terminados</t>
  </si>
  <si>
    <t>Este indicador mide el números procesos de prestaciones económicas terminados con anterioridad a la ley 1949 de 2019.</t>
  </si>
  <si>
    <t>PJ01</t>
  </si>
  <si>
    <t>Procesos Jurisdiccionales de otros asuntos diferentes a prestaciones económicas, de vigencias anteriores al 2019, terminados</t>
  </si>
  <si>
    <t>Tramitar los procesos jurisdiccionales  de otros asuntos diferentes a prestaciones económicas  con anterioridad a la Ley 1949 de 2019 para depurar los procesos pendientes.</t>
  </si>
  <si>
    <t>Número de procesos Jurisdiccionales de otros asuntos diferentes a prestaciones económicas  terminados</t>
  </si>
  <si>
    <t>Este indicador mide el número de procesos jurisdiccionales de otros asuntos diferentes a prestaciones económicas  terminados, previos a la ley 1949 de 2019.</t>
  </si>
  <si>
    <t>PJ02</t>
  </si>
  <si>
    <t>Porcentaje de procesos de Cobertura de servicios incluidos en el PBS, Cobertura de servicios NO incluidos en el PBS, Multiafiliacion y Libre Elección y Movilidad terminados</t>
  </si>
  <si>
    <t>Surtir el proceso de Cobertura de servicios incluidos en el Plan de Beneficios de Salud - PBS, Cobertura de servicios NO incluidos en el PBS, Multiafiliacion y Libre Elección y Movilidad  conforme a la Ley 1949 de 2019.</t>
  </si>
  <si>
    <t>Número de procesos de Cobertura de servicios incluidos en el PBS, Cobertura de servicios NO incluidos en el PBS, Multiafiliacion y Libre Elección y Movilidad terminados en el semestre de reporte</t>
  </si>
  <si>
    <t>Núm de procesos de Cobertura de servicios incluidos en el PBS, Cobertura de servicios NO incluidos en el PBS, Multiafiliacion y Libre Elección y Movilidad admitidos en el último trim del semestre anterior más el primer trim del semestre reportado</t>
  </si>
  <si>
    <t>Este indicador mide el porcentaje de procesos de Cobertura de servicios incluidos en el PBS, Cobertura de servicios NO incluidos en el PBS, Multiafiliación y Libre Elección y Movilidad terminados de acuerdo a la ley 1949 de 2019.</t>
  </si>
  <si>
    <t>PJ03</t>
  </si>
  <si>
    <t>Numero de socializaciones de las funciones jurisdiccional y de conciliación a los usuarios y actores del SGSSS</t>
  </si>
  <si>
    <t>Este indicador mide las socializaciones realizadas frente a las funciones jurisdiccional y de conciliación a los usuarios y actores del S.G.S.S.S.</t>
  </si>
  <si>
    <t>PJ05</t>
  </si>
  <si>
    <t xml:space="preserve">Documentos  técnicos y jurídicos para fortalecer la Función Jurisdiccional elaborados </t>
  </si>
  <si>
    <t>Realizar documentos técnicos y jurídicos para fortalecer la Función Jurisdiccional</t>
  </si>
  <si>
    <t>Número de documentos  técnicos y jurídicos para fortalecer la Función Jurisdiccional elaborados</t>
  </si>
  <si>
    <t>Este indicador mide el número de documentos  técnicos y jurídicos elaborados para fortalecer la Función Jurisdiccional .</t>
  </si>
  <si>
    <t>PJ04</t>
  </si>
  <si>
    <t xml:space="preserve">Total radicaciones de procesos jurisdiccionales </t>
  </si>
  <si>
    <t>Cuantificar los procesos jurisdiccionales recibidos por la Delegada para la Función Jurisdiccional .</t>
  </si>
  <si>
    <t>Número de radicaciones de procesos jurisdiccionales recibidos en el periodo de reporte</t>
  </si>
  <si>
    <t xml:space="preserve">Este indicador mide el número de radicaciones realizadas de procesos jurisdiccionales recibidos </t>
  </si>
  <si>
    <t>PJ08</t>
  </si>
  <si>
    <t xml:space="preserve">Total de procesos jurisdiccionales admitidos para la función jurisdiccional </t>
  </si>
  <si>
    <t>Cuantificar los procesos jurisdiccionales  admitidos para la función jurisdiccional.</t>
  </si>
  <si>
    <t>Número de procesos jurisdiccionales admitidos en el periodo de reporte</t>
  </si>
  <si>
    <t xml:space="preserve">Este indicador mide el número de procesos jurisdiccionales admitidos </t>
  </si>
  <si>
    <t>PJ06</t>
  </si>
  <si>
    <t>Sentencias emitidas en el proceso jurisdiccional.</t>
  </si>
  <si>
    <t>Emitir sentencias en los procesos jurisdiccionales .</t>
  </si>
  <si>
    <t>Número de  sentencias emitidas en  procesos jurisdiccional  en el periodo de reporte</t>
  </si>
  <si>
    <t xml:space="preserve">Este indicador mide el número de  sentencias emitidas en  procesos jurisdiccional  </t>
  </si>
  <si>
    <t>PJ07</t>
  </si>
  <si>
    <t>Actividades del cronograma de organización en el territorio desarrolladas</t>
  </si>
  <si>
    <t>Realizar actividades de inspección y vigilancia a los sujetos vigilados en las regiones, de acuerdo con la priorización.</t>
  </si>
  <si>
    <t xml:space="preserve">Número de actividades del cronograma de organización en el territorio desarrolladas </t>
  </si>
  <si>
    <t>Este indicador mide el número de actividades  de inspección y vigilancia a los sujetos vigilados en las regiones</t>
  </si>
  <si>
    <t>AI08</t>
  </si>
  <si>
    <t>Pocentaje de municipios por presencia institucional con acciones de inspección y vigilancia de las regionales cubiertos</t>
  </si>
  <si>
    <t>Realizar cobertura de municipios por presencia institucional con acciones de inspección y vigilancia de las regionales</t>
  </si>
  <si>
    <t>Número de municipios por presencia institucional con acciones de inspección y vigilancia de las regionales cubiertos</t>
  </si>
  <si>
    <t>Número de municipios ubicados en el área de influencia de las regionales priorizados</t>
  </si>
  <si>
    <t>Este indicador mide el porcentaje de municipios de la organización en el territorio impactados con acciones de inspección y vigilancia</t>
  </si>
  <si>
    <t>AI09</t>
  </si>
  <si>
    <t>Porcentaje de auditorias programadas y no programadas de acuerdo con las necesidades identificadas en la jurisdicción de las regionales.</t>
  </si>
  <si>
    <t>Realizar visitas y/o auditorias no programadas de acuerdo con las necesidades identificadas por la Superintendencia Nacional de Salud.</t>
  </si>
  <si>
    <t>Número de auditorias y/o visitas realizadas a los sujetos vigilados en el periodo</t>
  </si>
  <si>
    <t>Número de auditorias y/o visitas solicitadas</t>
  </si>
  <si>
    <t>Este indicador mide el porcentaje de visitas realizadas de acuerdo con las necesidades identificadas en la jurisdicción de las regionales.</t>
  </si>
  <si>
    <t>AI10</t>
  </si>
  <si>
    <t>Porcentaje de participación en las mesas de articulación y/o mesas técnicas en inspección y vigilancia  en el Territorio.</t>
  </si>
  <si>
    <t>Participar en las mesas de articulación y/o mesas técnicas en inspección y vigilancia de la organización en el territorio.</t>
  </si>
  <si>
    <t>Número de participación en las mesas de articulación y/o mesas técnicas en inspección y vigilancia  en el territorio</t>
  </si>
  <si>
    <t>Número de mesas de articulación y/o mesas técnicas en inspección y vigilancia solicitadas en el territorio</t>
  </si>
  <si>
    <t>Este indicador mide el porcentaje de realización de mesas de articulación con la Red de Controladores de acuerdo a la priorización del territorio .</t>
  </si>
  <si>
    <t>SU14</t>
  </si>
  <si>
    <t xml:space="preserve">Formulación, Implementación y Evaluación de Planes y Programas </t>
  </si>
  <si>
    <t xml:space="preserve">Planes  institucionales  formulados y socializados  </t>
  </si>
  <si>
    <t>Formular, implementar y evaluar los planes y programas institucionales, mediante la alineación y aplicación de políticas, lineamientos, metodologías e instrumentos técnicos establecidos y adoptados por la entidad, mediante la implementación y el segu</t>
  </si>
  <si>
    <t>imiento al cumplimiento de los planes y programas a través de la medición de la gestión institucional, y evaluación con el fin de   lograr el desarrollo de estrategias enmarcadas para el cumplimiento de la misión y visión de la entidad.</t>
  </si>
  <si>
    <t>Formular y socializar los Planes Institucionales (Plan Estratégico Institucional y Desarrollo Administrativo, Plan Anual de Gestión, Plan Anticorrupción y de Atención al Ciudadano 2021).</t>
  </si>
  <si>
    <t xml:space="preserve">Número  de Planes  institucionales  formulados y socializados  </t>
  </si>
  <si>
    <t xml:space="preserve">El indicador mide el número de Planes Institucionales Estratégicos a cargo de la Oficina Asesora de Planeación que son elaborados y socializados a los grupos de valor e interés. </t>
  </si>
  <si>
    <t>PI01</t>
  </si>
  <si>
    <t xml:space="preserve">Informes de seguimiento a Planes institucionales </t>
  </si>
  <si>
    <t>Elaborar informes de seguimiento a los planes Estratégicos Institucionales</t>
  </si>
  <si>
    <t>Número de Informes de seguimiento a Planes institucionales</t>
  </si>
  <si>
    <t>El indicador mide los seguimientos realizados a todos los planes institucionales estratégicos formulados por la entidad y relacionados en el procedimiento PIPD01</t>
  </si>
  <si>
    <t>PI03</t>
  </si>
  <si>
    <t xml:space="preserve">Actividades realizadas para la apropiación, fortalecimiento y seguimiento de la Planeación Estratégica en la entidad </t>
  </si>
  <si>
    <t>Ejecutar cronograma de actividades para la apropiación, fortalecimiento  y seguimiento de la planeación estratégica institucional.</t>
  </si>
  <si>
    <t xml:space="preserve">Número de actividades realizadas para la apropiación, fortalecimiento y seguimiento de la Planeación Estratégica en la entidad </t>
  </si>
  <si>
    <t xml:space="preserve">El indicador mide todas las actividades necesarias para llevar a cabo el cumplimiento del Objetivo del proceso de Formular, implementar y evaluar los planes y programas institucionales </t>
  </si>
  <si>
    <t>PI02</t>
  </si>
  <si>
    <t>Actividades ejecutadas en el plan de acción de MIPG de las políticas  "Planeación Institucional, Seguimiento y evaluación del desempeño institucional"</t>
  </si>
  <si>
    <t>Ejecutar cronograma de actividades para la implementación del Modelo Integrado de Planeación- MIPG para las políticas de Planeación Institucional y  Seguimiento y Evaluación del Desempeño Institucional</t>
  </si>
  <si>
    <t>Número de actividades ejecutadas en el plan de acción de MIPG de las políticas "Planeación Institucional, Seguimiento y evaluación del desempeño institucional"</t>
  </si>
  <si>
    <t>El indicador mide las actividades necesarias para eliminar las brechas existentes frente al FURAG y Autodiagnósticos realizados en el marco del MIPG en las políticas de Planeación Institucional, Seguimiento y evaluación del desempeño instituciona</t>
  </si>
  <si>
    <t>PI04</t>
  </si>
  <si>
    <t>Cumplimiento en el reporte de indicadores y compromisos de cada dependencia (PND, tableros de control y Ejes Estratégicos)</t>
  </si>
  <si>
    <t>Validar y realizar seguimiento al Cumplimiento en el reporte de indicadores y compromisos de cada dependencia (Situacional)</t>
  </si>
  <si>
    <t>Número de reportes de indicadores y compromisos de cada dependencia (PND, tableros de control y Ejes Estratégicos)</t>
  </si>
  <si>
    <t xml:space="preserve">El indicador mide el reporte  solicitado a las dependencias para el cumplimiento de indicadores frente ala PND, Tablero de control, ejes estrategicos. </t>
  </si>
  <si>
    <t>PI05</t>
  </si>
  <si>
    <t>Administración del Sistema Integrado de Gestión</t>
  </si>
  <si>
    <t>Actividades ejecutadas en el plan de acción de MIPG "Fortalecimiento Organizacional y Simplificación de Procesos"</t>
  </si>
  <si>
    <t>Establecer, implementar y mantener el Sistema Integrado de Gestión de la Entidad, mediante la elaboración y control de documentos y registros, la administración de Riesgos, la identificación y seguimiento de aspectos ambientales, la revisión por la d</t>
  </si>
  <si>
    <t>irección, la planificación y realización de auditorías internas con el fin de orientar, facilitar, seguir y tomar decisiones que permitan el logro de los objetivos institucionales en términos de eficiencia, eficacia y efectividad</t>
  </si>
  <si>
    <t>Ejecutar cronograma de actividades para la implementación del Modelo Integrado de Planeación- MIPG para la política de Fortalecimiento Organizacional y Simplificación de Procesos</t>
  </si>
  <si>
    <t>Número de actividades ejecutadas en el plan de acción de MIPG "Fortalecimiento Organizacional y Simplificación de Procesos"</t>
  </si>
  <si>
    <t>El indicador mide las actividades necesarias para eliminar las brechas existentes frente al FURAG y Autodiagnósticos realizados en el marco del MIPG en la política Fortalecimiento Organizacional y Simplificación de Procesos.</t>
  </si>
  <si>
    <t>AS08</t>
  </si>
  <si>
    <t>Actividades ejecutadas en el plan de acción de MIPG "Control interno".</t>
  </si>
  <si>
    <t>Ejecutar cronograma de actividades para la implementación del Modelo Integrado de Planeación y Gestión- MIPG, para la política de Control Interno</t>
  </si>
  <si>
    <t>Número de actividades ejecutadas en el plan de acción de MIPG  "Control interno"</t>
  </si>
  <si>
    <t>El indicador mide las actividades necesarias para eliminar las brechas existentes frente al FURAG y Autodiagnósticos realizados en el marco del MIPG en la política de Control Interno.</t>
  </si>
  <si>
    <t>AS07</t>
  </si>
  <si>
    <t xml:space="preserve">Actividades ejecutadas del cronograma del proyecto de Reingeniería de procesos  </t>
  </si>
  <si>
    <t>Ejecutar el cronograma del proyecto Reingeniería de Procesos para el fortalecimiento institucional</t>
  </si>
  <si>
    <t>Número de actividades realizadas para  la ejecución del proyecto de Reingeniería</t>
  </si>
  <si>
    <t xml:space="preserve">El indicador mide las actividades necesarias para la ejecución del Proyecto de reingeniería de la Superintendencia Nacional de Salud </t>
  </si>
  <si>
    <t>AS02</t>
  </si>
  <si>
    <t xml:space="preserve">Actividades realizadas y acciones de fortalecimiento evaluadas para la sostenibilidad del Sistema Integrado de Gestión </t>
  </si>
  <si>
    <t>Ejecutar cronograma de actividades y evaluar acciones de fortalecimiento para la sostenibilidad y apropiación del Sistema Integrado de Gestión</t>
  </si>
  <si>
    <t xml:space="preserve">Número de actividades realizadas  para la sostenibilidad del sistema Integrado de Gestión </t>
  </si>
  <si>
    <t xml:space="preserve">El indicador mide las actividades necesarias para llevar a cabo la sostenibilidad del sistema integrado de gestión en la entidad </t>
  </si>
  <si>
    <t>AS01</t>
  </si>
  <si>
    <t xml:space="preserve">Actividades realizadas para la para la  sostenibilidad y fortalecimiento  del Modelo Integrado de Planeación y Gestión - MIPG   </t>
  </si>
  <si>
    <t>Ejecutar cronograma de actividades para la sostenibilidad y fortalecimiento  del Modelo Integrado de Planeación y Gestión - MIPG</t>
  </si>
  <si>
    <t xml:space="preserve">Numero de  actvidades realizadas para la para la  sostenibilidad y fortalecimiento  del Modelo Integrado de Planeación y Gestión - MIPG   </t>
  </si>
  <si>
    <t xml:space="preserve">El indicador mide las actividades necesarias para  implementar y fortalecer el Modelo Integrado de Planeación y Gestión en la Entidad </t>
  </si>
  <si>
    <t>AS03</t>
  </si>
  <si>
    <t xml:space="preserve">Actividades realizadas y acciones de fortalecimiento evaluadas para la sostenibilidad del Subsistema de Responsabilidad Social </t>
  </si>
  <si>
    <t>Ejecutar cronograma de actividades y evaluar acciones de fortalecimiento para la sostenibilidad y apropiación del Subsistema de Responsabilidad Social</t>
  </si>
  <si>
    <t xml:space="preserve">Número de actividades realizadas  para la sostenibilidad del Subsistema de Responsabilidad Social </t>
  </si>
  <si>
    <t xml:space="preserve">El indicador mide las actividades necesarias para la  sostenibilidad del Subsistema de Responsabilidad Social  en la Entidad </t>
  </si>
  <si>
    <t>AS04</t>
  </si>
  <si>
    <t>Auditorias Internas del Sistema Integrado de Gestión - SIG  realizadas</t>
  </si>
  <si>
    <t>Ejecutar el programa de Auditorias Internas del Sistema Integrado de Gestión - SIG</t>
  </si>
  <si>
    <t>Número de Auditorias Internas del Sistema Integrado de Gestión - SIG  realizadas</t>
  </si>
  <si>
    <t xml:space="preserve">El indicador mide las Auditorias Internas del Sistema Integrado de Gestión - SIG  realizadas </t>
  </si>
  <si>
    <t>AS10</t>
  </si>
  <si>
    <t xml:space="preserve">Formulación, Implementación y Evaluación de Estudios  y Proyectos </t>
  </si>
  <si>
    <t xml:space="preserve">Informes de seguimiento de ejecución de los proyectos de inversión elaborados y publicados dentro de los primeros 12 días de cada mes </t>
  </si>
  <si>
    <t>Formular, implementar y evaluar estudios y proyectos, así como diseñar, producir, administrar y publicar  información estadística institucional, mediante la aplicación de metodologías e instrumentos técnicos establecidos o adoptados por la Entidad y</t>
  </si>
  <si>
    <t>la elaboración, validación y divulgación de informes, reportes y/o documentos técnicos con el fin de brindar información oportuna para la toma de decisiones y apoyar el cumplimiento de los objetivos institucionales.</t>
  </si>
  <si>
    <t>Elaborar y publicar informes de seguimiento frente a la ejecución de los proyectos de inversión</t>
  </si>
  <si>
    <t xml:space="preserve">Número de informes de seguimiento de ejecución de los proyectos de inversión elaborados y publicados dentro de los primeros 12 días de cada mes </t>
  </si>
  <si>
    <t xml:space="preserve">El indicador mide los informes de seguimiento realizados frente a la ejecución de los proyectos de inversión que tienen a cargo las diferentes áreas de la entidad. </t>
  </si>
  <si>
    <t>EP01</t>
  </si>
  <si>
    <t>Porcentaje de funcionarios con calificación satisfactoria, producto de evaluación virtual,  por cada actividad de capacitación.</t>
  </si>
  <si>
    <t>Evaluar las actividades de capacitación relacionadas con proyectos de inversión</t>
  </si>
  <si>
    <t xml:space="preserve">Número de funcionarios con calificación satisfactoria producto de evaluación virtual por cada actividad de capacitación </t>
  </si>
  <si>
    <t xml:space="preserve"> Número de funcionarios que asistieron a actividades de socialización y capacitación que fueron evaluados virtualmente.</t>
  </si>
  <si>
    <t xml:space="preserve">El indicador mide el porcentaje de evaluación de los funcionarios que obtienen calificación satisfactoria frente a las capacitaciones realizadas por el Grupo de Proyectos de Inversión de la Oficina Asesora de Planeación </t>
  </si>
  <si>
    <t>EP02</t>
  </si>
  <si>
    <t xml:space="preserve">Ejecución del presupuesto de inversión </t>
  </si>
  <si>
    <t>Realizar seguimiento y emitir alertas tempranas sobre la ejecución del presupuesto.</t>
  </si>
  <si>
    <t>Compromisos_presupuesto de inversión</t>
  </si>
  <si>
    <t xml:space="preserve"> Apropiación final_presupuesto de inversión</t>
  </si>
  <si>
    <t>El indicador mide la ejecución del presupuesto frente a los recursos dados por proyectos de inversión.</t>
  </si>
  <si>
    <t>EP05</t>
  </si>
  <si>
    <t>Representación Judicial en Tutelas</t>
  </si>
  <si>
    <t>Porcentaje de respuestas oportunas a acciones constitucionales de tutela</t>
  </si>
  <si>
    <t>Dar respuesta oportuna a las acciones de tutela en las cuales sea parte o intervenga la Superintendencia Nacional de Salud mediante las actuaciones administrativas internas y acciones judiciales de tutela requeridas, para garantizar la defensa jurídi</t>
  </si>
  <si>
    <t>ca de la Entidad y la protección de sus intereses, así como garantizar los derechos de los usuarios del Sistema General de Seguridad Social en Salud.</t>
  </si>
  <si>
    <t>Responder los requerimientos realizados por los despachos judiciales en el marco de las acciones de tutela.</t>
  </si>
  <si>
    <t xml:space="preserve">Número de acciones constitucionales de tutela con respuesta en términos de ley en el periodo </t>
  </si>
  <si>
    <t xml:space="preserve"> Número de acciones constitucionales de tutela recibidas en el periodo</t>
  </si>
  <si>
    <t xml:space="preserve">El indicador mide las respuestas dadas frente a las acciones de Tutela interpuestas en la Superintendencia Nacional de Salud </t>
  </si>
  <si>
    <t>JT01</t>
  </si>
  <si>
    <t>Tramitar los requerimientos realizados por los despachos judiciales en el marco de las acciones de tutela</t>
  </si>
  <si>
    <t xml:space="preserve">Número de requerimientos gestionados en desarrollo de las acciones de tutela dentro de los términos de ley  </t>
  </si>
  <si>
    <t xml:space="preserve"> Número de requerimientos constitucionales en sede de tutela recibidas en el periodo</t>
  </si>
  <si>
    <t>El indicador mide los requerimientos tramitados oportunamente en desarrollo de las acciones constitucionales de tutela recibidas en sede.</t>
  </si>
  <si>
    <t>JT02</t>
  </si>
  <si>
    <t>Porcentaje de actos administrativos que resuelven los recursos solicitudes de revocatoria directa que se presenten dentro de los procesos de única instancia</t>
  </si>
  <si>
    <t>Número de actos administrativos entregados para firma del Superintendente Nacional de Salud resolviendo recursos y solicitudes de única instancia</t>
  </si>
  <si>
    <t>No. De procesos y solicitudes presentadas con vencimiento dentro del término de oportunidad de única instancia</t>
  </si>
  <si>
    <t>Este indicador mide los actos administrativos que resuelven los recursos solicitudes de revocatoria directa que se presenten dentro de los procesos de única instancia</t>
  </si>
  <si>
    <t>PA09</t>
  </si>
  <si>
    <t>Porcentaje de actos administrativos que resuelve recursos de apelación y solicitudes dentro de procesos sancionatorios de segunda Instancia</t>
  </si>
  <si>
    <t>No Actos administrativos entregados para firma del Superintendente Nacional de Salud resolviendo recursos de apelación y solicitudes de segunda instancia</t>
  </si>
  <si>
    <t>No. De procesos administrativos con vencimiento dentro del término de oportunidad de segunda instancia</t>
  </si>
  <si>
    <t>Este indicador mide el número de actos administrativos que resuelven los recursos de apelación y solicitudes dentro de los procesos de segunda instancia.</t>
  </si>
  <si>
    <t>PA10</t>
  </si>
  <si>
    <t>Porcentaje de actos administrativos que resuelven los recursos de reposición y solicitudes presentadas contra las resoluciones de liquidación de tasa.</t>
  </si>
  <si>
    <t>Proyectar los actos administrativos que resuelven los recursos de reposición y solicitudes de revocatoria directa que se presentan contra las resoluciones de liquidación de tasa</t>
  </si>
  <si>
    <t>No. Actos administrativos que resuelven recursos y solicitudes de liquidación de tasa entregados para firma de la Secretaria General</t>
  </si>
  <si>
    <t>No. De recursos y solicitudes de liquidación de tasa remitidas dentro del periodo a reportar</t>
  </si>
  <si>
    <t>El indicador mide los actos administrativos que resuelven los recursos de reposición y solicitudes presentadas contra las resoluciones de liquidación de tasa.</t>
  </si>
  <si>
    <t>TS05</t>
  </si>
  <si>
    <t>Cobro Persuasivo y por Jurisdicción Coactiva</t>
  </si>
  <si>
    <t xml:space="preserve">Porcentaje de Efectividad en el recaudo </t>
  </si>
  <si>
    <t>Adelantar la gestión de cobro coactivo para la recuperación de las obligaciones a favor de la Superintendencia Nacional de Salud.</t>
  </si>
  <si>
    <t>Gestionar y controlar el recaudo del total de obligaciones (tasa, sanciones, contribución y Régimen Subsidiado) que se encuentren en proceso de cobro persuasivo y coactivo.</t>
  </si>
  <si>
    <t>Valor total de recaudo de las obligaciones clasificadas como cobrables</t>
  </si>
  <si>
    <t>Valor total de las obligaciones clasificadas como cobrables (IVC+Tasa)</t>
  </si>
  <si>
    <t>El indicador mide la efectividad del recaudo de las obligaciones clasificadas como cobrables.</t>
  </si>
  <si>
    <t>CJ01</t>
  </si>
  <si>
    <t xml:space="preserve">Secretaria General- Dirección Financiera </t>
  </si>
  <si>
    <t>Valor depurado en el periodo</t>
  </si>
  <si>
    <t>Depurar la cartera a partir de la acción ejecutiva de cobro de la cartera a 31 de diciembre de 2019</t>
  </si>
  <si>
    <t>Total valores depurados en el periodo</t>
  </si>
  <si>
    <t>El indicador refleja el valor a depurar en la cartera a partir de la acción ejecutiva de cobro  a 31 de diciembre de 2019</t>
  </si>
  <si>
    <t>CJ03</t>
  </si>
  <si>
    <t>Conceptos y Asesoría Jurídica</t>
  </si>
  <si>
    <t xml:space="preserve">Porcentaje de conceptos, solicitudes y derechos de petición tramitados </t>
  </si>
  <si>
    <t>Emitir conceptos jurídicos y respuestas a solicitudes y Derechos de petición, así como recopilar, proyectar y publicar el Boletín Jurídico, mediante la interpretación, aplicación y revisión de la normatividad vigente en materia de Seguridad Social en</t>
  </si>
  <si>
    <t>salud, para definir criterios orientadores que permitan tener un mayor y mejor comprensión del alcance de las normas que regulan el Sistema General de Seguridad Social en Salud.</t>
  </si>
  <si>
    <t>Proyectar dentro de los términos de ley, las respuestas a las solicitudes y derechos de petición  recibidos que sean competencia del grupo de conceptos de la Oficina Asesora Jurídica</t>
  </si>
  <si>
    <t>Número de conceptos, derechos de petición y solicitudes tramitados  en el trimestre</t>
  </si>
  <si>
    <t>Número de conceptos, derechos de petición y solicitudes recibidas  en el trimestre sujetos a los términos de ley</t>
  </si>
  <si>
    <t xml:space="preserve">El indicador muestra los conceptos técnicos realizados frente a las solicitudes realizadas en derechos de petición. </t>
  </si>
  <si>
    <t>AJ02</t>
  </si>
  <si>
    <t>El indicador muestra los Boletines jurídicos realizados y publicados.</t>
  </si>
  <si>
    <t>AJ03</t>
  </si>
  <si>
    <t>Representación Judicial y Extrajudicial</t>
  </si>
  <si>
    <t>Porcentaje de acciones contencioso administrativas y ordinarias trámitadas dentro de los términos de ley</t>
  </si>
  <si>
    <t>Ejercer en debida forma la representación judicial y extrajudicial de la Superintendencia Nacional de Salud para salvaguardar y garantizar los derechos e intereses de la misma, en las acciones contencioso-administrativas, constitucionales, ordinarias</t>
  </si>
  <si>
    <t>, penales y administrativas, así como otro tipo de requerimientos judiciales y extrajudiciales.</t>
  </si>
  <si>
    <t>Elaborar demandas, contestaciones y ejercer la actividad procesal</t>
  </si>
  <si>
    <t>Total de acciones contencioso administrativas y ordinarias recibidas para trámite en el periodo</t>
  </si>
  <si>
    <t>El indicador muestra las demandas y contestaciones respondidas o tramitadas de orden contencioso administrativo</t>
  </si>
  <si>
    <t>JE01</t>
  </si>
  <si>
    <t>Número de solicitudes de conciliaciones presentadas ante el Comité de conciliación en el periodo</t>
  </si>
  <si>
    <t>Número de solicitudes de conciliaciones recibidas 15 días calendario antes de la última fecha programada para realizar el Comité de conciliación en el periodo</t>
  </si>
  <si>
    <t>El indicador muestra las solicitudes de conciliación presentadas ante el Comité de acuerdo a las recibidas 15 días antes de la fecha programada para la realización del mismo.</t>
  </si>
  <si>
    <t>JE02</t>
  </si>
  <si>
    <t>Porcentaje de sentencias favorables a la Superintendencia Nacional de Salud</t>
  </si>
  <si>
    <t>Medir la  tasa de éxito procesal.</t>
  </si>
  <si>
    <t>Número de sentencias a favor de la Superintendencia Nacional de Salud notificadas en el periodo</t>
  </si>
  <si>
    <t>Número de sentencias expedidas en el periodo</t>
  </si>
  <si>
    <t>El indicador mide el número de sentencias a favor de la Superintendencia Nacional de Salud notificadas</t>
  </si>
  <si>
    <t>JE03</t>
  </si>
  <si>
    <t>Actividades ejecutadas en el plan de acción de MIPG de la política de Defensa Jurídica</t>
  </si>
  <si>
    <t>Ejecutar las actividades plasmadas en el plan de acción de (FURAG y Autodiagnóstico de MIPG), correspondiente a la política de "Defensa Jurídica"</t>
  </si>
  <si>
    <t>Número de actividades ejecutadas en el plan de acción de MIPG de la política de Defensa Jurídica</t>
  </si>
  <si>
    <t>El indicador mide las actividades necesarias para eliminar las brechas existentes frente al FURAG y Autodiagnósticos realizados en el marco del MIPG en las políticas relacionadas.</t>
  </si>
  <si>
    <t>JE04</t>
  </si>
  <si>
    <t>Comunicación Integral</t>
  </si>
  <si>
    <t>Porcentaje de visualizaciones de los contenidos emitidos en la comunicación interna</t>
  </si>
  <si>
    <t>Informar a nuestros públicos objetivos tanto internos como externos así como a los actores  del Sistema General de Seguridad Social en Salud (SGSSS), sobre las políticas, programas,  acciones de IVC y directrices adoptadas por la Superintendencia Nac</t>
  </si>
  <si>
    <t>ional de Salud, definidas dentro la política de comunicaciones, con el propósito de fomentar en los servidores un sentido de pertenencia y una cultura organizacional en torno a una gestión ética, eficiente y eficaz y generar confianza en la entidad a</t>
  </si>
  <si>
    <t>todos los actores que hacen parte del SGSSS.</t>
  </si>
  <si>
    <t>Evaluar las campañas y mensajes de comunicación interna de acuerdo con la muestra seleccionada</t>
  </si>
  <si>
    <t>Número de visualizaciones de los contenidos emitidos en la comunicación interna</t>
  </si>
  <si>
    <t>Número de contenidos de información socializada</t>
  </si>
  <si>
    <t>El indicador hace referencia a las visualizaciones realizadas por los funcionarios de la SNS frente a las campañas, piezas y difusiones realizada por la OAC en los diferentes canales internos de la entidad.</t>
  </si>
  <si>
    <t>CI04</t>
  </si>
  <si>
    <t>Encuestas de satisfacción de la comunicación  interna</t>
  </si>
  <si>
    <t>Realizar encuesta de percepción de la comunicación interna ( mensajes, campañas, videos, notas, piezas gráficas, entrevistas)</t>
  </si>
  <si>
    <t xml:space="preserve">Numero de encuestas con resultado satisfactorio de la comunicación  interna realizadas </t>
  </si>
  <si>
    <t>El indicador mide el nivel de satisfacción de los funcionarios y contratistas de la entidad frente las campañas, piezas y difusiones enviadas por la OAC en los diferentes canales internos de la entidad.</t>
  </si>
  <si>
    <t>CI05</t>
  </si>
  <si>
    <t>Número de informes de seguimiento sobre el comportamiento de canales digitales elaborados</t>
  </si>
  <si>
    <t>El indicador mide el seguimiento a través de la  herramienta metodológica del comportamiento de los canales digitales de la entidad</t>
  </si>
  <si>
    <t>CI01</t>
  </si>
  <si>
    <t xml:space="preserve">Apariciones del Superintendente Nacional de Salud en los medios de comunicación </t>
  </si>
  <si>
    <t>Realizar actividades de relacionamiento con los medios de comunicación para mostrar la gestión institucional</t>
  </si>
  <si>
    <t>Número de apariciones orgánicas realizadas</t>
  </si>
  <si>
    <t xml:space="preserve">El indicador muestra la participación en medios de comunicación nacionales del Superintendente Nacional de Salud o el cuerpo directivo. </t>
  </si>
  <si>
    <t>CI02</t>
  </si>
  <si>
    <t>Realizar Audiencia Pública de Rendición de Cuentas</t>
  </si>
  <si>
    <t>El indicador mide la Audiencia Pública de Rendición de Cuentas que realiza el Superintendente Nacional de Salud. A todos los usuarios del SGSSS</t>
  </si>
  <si>
    <t>CI03</t>
  </si>
  <si>
    <t xml:space="preserve">Anual </t>
  </si>
  <si>
    <t>Diseño E Implementación De Políticas, Metodologías, E Instrumentos Para La Inspección, Vigilancia Y Control (IVC)</t>
  </si>
  <si>
    <t>Porcentaje  de actividades realizadas para la elaboración de las  Metodologías e instrumentos en desarrollo frente a las actividades programadas de metodologías e instrumentos solicitadas por las dependencias.</t>
  </si>
  <si>
    <t>Diseñar y actualizar políticas, metodologías e instrumentos para la Inspección, Vigilancia y Control (IVC) mediante la definición del alcance, la situación inicial, los requerimientos técnicos, las estrategias de implementación y el cronograma, el de</t>
  </si>
  <si>
    <t>sarrollo de las etapas de validación, seguimiento y evaluación ex – post, con el propósito de proveer herramientas técnicas estandarizadas para el desarrollo de las actividades de IVC y los lineamientos institucionales que enmarcarán su ejecución.</t>
  </si>
  <si>
    <t>Realizar actividades para la elaboración de metodologías, instrumentos y políticas para la supervisión del SGSSS.</t>
  </si>
  <si>
    <t>Numero de actividades realizadas en el período</t>
  </si>
  <si>
    <t>Número de actividades programadas en el período para el desarrollo de metodologías e instrumentos solicitados por las dependencias</t>
  </si>
  <si>
    <t>El indicador muestra las actividades necesarias para la realización de metodologías o instrumentos solicitadas por las dependencias.</t>
  </si>
  <si>
    <t>MI01</t>
  </si>
  <si>
    <t>Metodologías, Instrumentos y Políticas revisados y ajustados</t>
  </si>
  <si>
    <t>Realizar actividades para la revisión y ajuste de metodologías, instrumentos y políticas para la supervisión del SGSSS.</t>
  </si>
  <si>
    <t>Número de Metodologías, Instrumentos y Políticas revisados y ajustados</t>
  </si>
  <si>
    <t>El indicador mide las metodologías, Instrumentos y Políticas revisados y ajustados para la supervisión del SGSSS</t>
  </si>
  <si>
    <t>MI04</t>
  </si>
  <si>
    <t>Metodologías e instrumentos evaluados</t>
  </si>
  <si>
    <t>Evaluar las metodologías e instrumentos diseñados para la supervisión del SGSSS.</t>
  </si>
  <si>
    <t>Número de metodologías e instrumentos  evaluados</t>
  </si>
  <si>
    <t xml:space="preserve">El indicador busca evaluar las metodologías e instrumentos diseñados para la supervisión del SGSSS.  </t>
  </si>
  <si>
    <t>MI05</t>
  </si>
  <si>
    <t>Porcentaje  de actividades realizadas  para aportar a las acciones de IVC a partir de la información disponible.</t>
  </si>
  <si>
    <t>Diseñar modelos y desarrollar análisis para aportar a las acciones de IVC a partir de la información disponible.</t>
  </si>
  <si>
    <t>Número de actividades programadas en el período para el diseño de modelos y análisis de acciones de IVC</t>
  </si>
  <si>
    <t>El indiacdor mide las actividades realizadas  para aportar a las acciones de IVC a partir de la información disponible.</t>
  </si>
  <si>
    <t>MI02</t>
  </si>
  <si>
    <t>Porcentaje de avances en la salidas de información o informes del sector realizados en el período</t>
  </si>
  <si>
    <t>Implementar salidas de información aplicando métodos de analítica</t>
  </si>
  <si>
    <t>Número de salidas de información o informes del sector realizados en el período</t>
  </si>
  <si>
    <t>Número de salidas de información o informes del sector programadas en el período</t>
  </si>
  <si>
    <t>El indicador muestra los informes realizados por la OMSAR del sector salud para la toma de decisiones frente a la IVC.</t>
  </si>
  <si>
    <t>MI06</t>
  </si>
  <si>
    <t>Porcentaje de actividades realizadas de revisión y ajuste</t>
  </si>
  <si>
    <t>Revisar y ajustar la normatividad y las intrucciones dirigidas a los vigilados de las Superintendencia Nacional de Salud</t>
  </si>
  <si>
    <t>Número de instrucciones a vigilados revisados y ajustados</t>
  </si>
  <si>
    <t>Número de instrucciones programadas en el período</t>
  </si>
  <si>
    <t>El indicador sirve para revisar y ajustar la normatividad y las intrucciones dirigidas a los vigilados de las Superintendencia Nacional de Salud</t>
  </si>
  <si>
    <t>MI07</t>
  </si>
  <si>
    <t>Porcentaje de análisis y propuestas de la reglamentación realizados</t>
  </si>
  <si>
    <t>Revisar y proponer ajustes a la normatividad que regula al SGSSS</t>
  </si>
  <si>
    <t>Número de análisis y propuestas de la reglamentación realizados en el periodo</t>
  </si>
  <si>
    <t>número de proyectos reglamentarios del sistema publicados en la vigencia</t>
  </si>
  <si>
    <t xml:space="preserve">El indicador mide el análisis y propuestas de la reglamentación del SGSSS. </t>
  </si>
  <si>
    <t>MI08</t>
  </si>
  <si>
    <t>Total de actividades ejecutadas para la Organización de la Información Estadística Institucional</t>
  </si>
  <si>
    <t>Organizar y difundir las cifras y la Información Estadística de la Superintendencia en medios y canales institucionales</t>
  </si>
  <si>
    <t>Número de actividades realizadas oportunamente para la Organización de la Información Estadística Institucional</t>
  </si>
  <si>
    <t xml:space="preserve">El indicador mide las actividades realizadas frente a la implementación y fortalecimiento de la Información Estadística Institucional </t>
  </si>
  <si>
    <t>EP04</t>
  </si>
  <si>
    <t>Gobierno Y Gestión De La Información</t>
  </si>
  <si>
    <t>Total de actividades ejecutadas para desarrollar el Gobierno y la Gestión de los Datos y la Información</t>
  </si>
  <si>
    <t>Gobernar, generar, elaborar e implementar mecanismos para la gestión eficaz de administración de la información, mediante la elaboración de políticas, lineamientos, la administración de riesgos de seguridad de la información, el análisis de la calida</t>
  </si>
  <si>
    <t>d de datos, la implantación de controles de seguridad física y lógica y de informes de vulnerabilidades técnicas, para preservar la integridad, disponibilidad, confidencialidad, privacidad y calidad de la información de la entidad.</t>
  </si>
  <si>
    <t>Ejecutar actividades que aporten al desarrollo del Gobierno y la Gestión de los Datos y la Información de la Superintendencia Nacional de Salud</t>
  </si>
  <si>
    <t>Número de actividades ejecutadas  oportunamente para desarrollar el Gobierno y la Gestión de los Datos y la Información</t>
  </si>
  <si>
    <t xml:space="preserve">El indicador mide las actividades realizadas frente a la implementación del gobierno y la Gestión de los datos y la información Institucional </t>
  </si>
  <si>
    <t>GG02</t>
  </si>
  <si>
    <t>Gestión de Servicios Tecnológicos</t>
  </si>
  <si>
    <t>Porcentaje acumulado de actividades ejecutadas en el PETI</t>
  </si>
  <si>
    <t>Proveer servicios tecnológicos mediante la atención y solución de incidentes, problemas, requerimientos y gestión de cambios  para garantizar  el desarrollo y cumplimiento de las labores de los usuarios de la entidad</t>
  </si>
  <si>
    <t>Ejecutar el Plan Estrategico de Tecnologías de la Información y las Comunicaciones PETI para los procesos de transformación digital de la Entidad</t>
  </si>
  <si>
    <t>Número de actividades ejecutadas en el PETI</t>
  </si>
  <si>
    <t>Número actividades programadas en el periodo</t>
  </si>
  <si>
    <t>El indicador muestre el porcentaje de avance en las actividades programadas para la implementación y cumplimiento del Plan Estratégico de Tecnologías de la Información y las Comunicaciones PETI</t>
  </si>
  <si>
    <t>GG01</t>
  </si>
  <si>
    <t>Porcentaje de avance en la integración al portal unico del estado GOV.CO</t>
  </si>
  <si>
    <t>Numero de trámites integrados a GOV.CO</t>
  </si>
  <si>
    <t>Numero de tramites habilitados en la SNS</t>
  </si>
  <si>
    <t>El indicador mide el avance en la integración al portal unico del estado GOV.CO</t>
  </si>
  <si>
    <t>GG05</t>
  </si>
  <si>
    <t>Porcentaje de actividades implementadas en el Plan de Seguridad y Privacidad de la Información</t>
  </si>
  <si>
    <t>Implementar el Plan de Seguridad y Privacidad de la Información</t>
  </si>
  <si>
    <t>Número de actividades implementadas en el Plan de Seguridad y Privacidad de la Información</t>
  </si>
  <si>
    <t>El indicador muestre el porcentaje de avance en las actividades programadas para la implementación y cumplimiento del Plan de Seguridad y Privacidad de la Información</t>
  </si>
  <si>
    <t>GG03</t>
  </si>
  <si>
    <t>Porcentaje de actividades implementadas en el Plan de Tratamiento de Riesgos de Seguridad y Privacidad de la Información</t>
  </si>
  <si>
    <t>Implementar el Plan de Tratamiento de Riesgos de Seguridad y Privacidad de la Información</t>
  </si>
  <si>
    <t>Número de actividades implementadas en el   Plan de Tratamiento de Riesgos de Seguridad y Privacidad de la Información</t>
  </si>
  <si>
    <t>El indicador muestre el porcentaje de avance en las actividades programadas para la implementación y cumplimiento del Plan de Tratamiento de Riesgos de Seguridad y Privacidad de la Información</t>
  </si>
  <si>
    <t>GG04</t>
  </si>
  <si>
    <t>Provisión de soluciones Tecnológicas</t>
  </si>
  <si>
    <t>Porcentaje de actividades ejecutadas en la implementación de la Arquitectura de TI</t>
  </si>
  <si>
    <t>Proveer soluciones tecnológicas mediante la gestión de arquitectura y la gestión de aplicaciones de T.I, a fin de  Optimizar el servicio, los procesos y recursos de la entidad.</t>
  </si>
  <si>
    <t>Realizar la ejecución de las actividades establecidas en el cronograma para la  implementación de la arquitectura de TI</t>
  </si>
  <si>
    <t>Número de actividades ejecutadas en la implementación de la arquitectura de TI</t>
  </si>
  <si>
    <t>El indicador muestre el porcentaje de avance en las actividades programadas para la implementación de la Arquitectura de TI</t>
  </si>
  <si>
    <t>RS03</t>
  </si>
  <si>
    <t>Porcentaje de seguimiento a la disponibilidad de TI, para garantizar el funcionamiento de los componentes tecnologicos</t>
  </si>
  <si>
    <t>Gestionar la operación y garantizar el funcionamiento de los componentes tecnológicos desde la Oficina de Tecnologías de la Información para la Superintendencia Nacional de Salud</t>
  </si>
  <si>
    <t>Número de actividades de seguimientos a la disponibilidad de TI realizadas para el funcionamiento de los componentes tecnológicos</t>
  </si>
  <si>
    <t>Número actividades programadas para el funcionamiento de los componentes tecnológicos</t>
  </si>
  <si>
    <t>El indicador mide el seguimiento a la disponibilidad de TI, para garantizar el funcionamiento de los componentes tecnologicos</t>
  </si>
  <si>
    <t>GS05</t>
  </si>
  <si>
    <t xml:space="preserve">Porcentaje de Eficiencia en la atención de requerimientos </t>
  </si>
  <si>
    <t>Cumplir con la prestación de  servicios de TI</t>
  </si>
  <si>
    <t>Número de requerimientos solucionados</t>
  </si>
  <si>
    <t>Número de requerimientos recibidos</t>
  </si>
  <si>
    <t>El Indicador muestra la Eficiencia en la atención de requerimientos recibidos durante el mes</t>
  </si>
  <si>
    <t>GS03</t>
  </si>
  <si>
    <t>Porcentaje de requerimientos internos de demanda a la OTI</t>
  </si>
  <si>
    <t>Identificar la evolución de los requerimientos recibidos por la OTI.</t>
  </si>
  <si>
    <t>Número de requerimientos internos atendidos por la OTI</t>
  </si>
  <si>
    <t xml:space="preserve">El indicador muestra los requerimientos internos atendidos por la OTI frente a los recibidos </t>
  </si>
  <si>
    <t>RS04</t>
  </si>
  <si>
    <t>Actividades ejecutadas en el plan de acción de MIPG de las políticas "Gobierno y Seguridad Digital"</t>
  </si>
  <si>
    <t>Ejecutar las actividades plasmadas en el plan de acción de (FURAG y Autodiagnóstico de MIPG), correspondiente a las políticas de "Gobierno y Seguridad Digital"</t>
  </si>
  <si>
    <t>Número de actividades ejecutadas en el plan de acción de MIPG de las políticas "Gobierno y Seguridad Digital"</t>
  </si>
  <si>
    <t>El indicador mide las actividades necesarias para eliminar las brechas existentes frente al FURAG y Autodiagnósticos realizados en el marco del MIPG en las políticas de Gobierno y Seguridad Digital.</t>
  </si>
  <si>
    <t>GS04</t>
  </si>
  <si>
    <t>Administración de personal,  Fortalecimiento de competencias, Bienestar social, Estímulos e Incentivos, Evaluación del Desempeño, Gestión del Sistema de Seguridad Social en Salud</t>
  </si>
  <si>
    <t xml:space="preserve">Porcentaje acumulado de avance en la ejecución del Plan Estratégico de Desarrollo del Talento Humano </t>
  </si>
  <si>
    <t>Formular, gestionar y controlar las actividades necesarias para la vinculación, compensación, permanencia y retiro de los empleados públicos de la Superintendencia Nacional de Salud, mediante el uso y registro en los sistemas de información instituci</t>
  </si>
  <si>
    <t>onales y externos dispuestos de conformidad con la normatividad vigente, con el fin de proporcionar personal competente para el logro de la misión de la entidad.</t>
  </si>
  <si>
    <t>Formular,  ejecutar y evaluar  el Plan Estratégico de  Gestión del Talento Humano-PETH basado en el Modelo Integral de Gestión de Personas. (Plan anual de vacantes, Plan de Previsión de Recursos Humanos, Plan institucional de Capacitación, Plan de Bi</t>
  </si>
  <si>
    <t>enestar social, Estímulos e Incentivos, Plan Anual de Trabajo de Seguridad y Salud en el Trabajo)</t>
  </si>
  <si>
    <t>Número de actividades ejecutadas en el periodo</t>
  </si>
  <si>
    <t xml:space="preserve"> Número de actividades programadas en el cronograma del Plan Estratégico de Desarrollo del Talento Humano en el periodo</t>
  </si>
  <si>
    <t xml:space="preserve">El indicador muestra el nivel de avance en la ejecución de actividades programadas para la implementación y desarrollo del Plan Estratégico de Desarrollo del Talento Humano </t>
  </si>
  <si>
    <t>AP01</t>
  </si>
  <si>
    <t xml:space="preserve">Secretaria General - Direción de Talento Humano </t>
  </si>
  <si>
    <t xml:space="preserve">Fortalecimiento de competencias </t>
  </si>
  <si>
    <t>Porcentaje acumulado de avance en la ejecución del Plan institucional de capacitación</t>
  </si>
  <si>
    <t>Cualificar los servidores públicos de la Superintendencia Nacional de Salud, mediante eventos de capacitación para mejorar su desempeño en el puesto de trabajo.</t>
  </si>
  <si>
    <t>Ejecutar  el Cronograma del plan institucional de capacitación ( Componente de Gestión del Desarrollo)</t>
  </si>
  <si>
    <t>Número de actividades ejecutadas en el período</t>
  </si>
  <si>
    <t xml:space="preserve"> Número de actividades programadas en el cronograma del Plan institucional de capacitación</t>
  </si>
  <si>
    <t>El indicador mide la ejecución de actividades del Cronograma del plan institucional de capacitación ( Componente de Gestión del Desarrollo)</t>
  </si>
  <si>
    <t>FC01</t>
  </si>
  <si>
    <t>Bienestar social estimulos e incentivos</t>
  </si>
  <si>
    <t xml:space="preserve">Porcentaje acumulado de avance en la ejecución del Plan de bienestar social y estímulos </t>
  </si>
  <si>
    <t>Promocionar estrategias de participación e integración que estimulen a los funcionarios, mediante la implementación de actividades orientadas al bienestar y los incentivos, con el fin de contribuir con el mejoramiento de la calidad de vida de los mis</t>
  </si>
  <si>
    <t>mos.</t>
  </si>
  <si>
    <t xml:space="preserve"> Número de actividades programadas en el cronograma del Plan de bienestar social y estímulos</t>
  </si>
  <si>
    <t xml:space="preserve">El indicador mide el avance en la ejecución del Plan de bienestar social y estímulos </t>
  </si>
  <si>
    <t>BE01</t>
  </si>
  <si>
    <t>Gestión del sistema de seguridad y salud en el tarbajo</t>
  </si>
  <si>
    <t>Porcentaje acumulado de avance en la ejecución del Plan anual de Seguridad y Salud en el Trabajo</t>
  </si>
  <si>
    <t>Diseñar, implementar y mantener los estándares legales en materia de Seguridad y Salud en el Trabajo, a través de campañas, planes, programas y eventos con el fin de contribuir en la promoción y el cuidado de la salud, la seguridad y el bienestar lab</t>
  </si>
  <si>
    <t>oral de los servidores de la Entidad.</t>
  </si>
  <si>
    <t xml:space="preserve"> Número de actividades programadas en el cronograma del Plan anual de Seguridad y Salud en el Trabajo</t>
  </si>
  <si>
    <t>El indicador mide el avance en la ejecución del Plan anual de Seguridad y Salud en el Trabajo</t>
  </si>
  <si>
    <t>ST01</t>
  </si>
  <si>
    <t xml:space="preserve">Administración de personal </t>
  </si>
  <si>
    <t>Ejecutar el cronograma para la implementación de la Política de integridad desde el componente #6 del PAAC 2021 ( Componente de Gestión de las Relaciones Humanas)</t>
  </si>
  <si>
    <t xml:space="preserve"> Número de actividades programadas en el cronograma para la implementación de la  política de integridad</t>
  </si>
  <si>
    <t>El indicador mide el avance en la ejecución del cronograma para la implementación de la  política de integridad</t>
  </si>
  <si>
    <t>AP02</t>
  </si>
  <si>
    <t xml:space="preserve">Porcentaje acumulado de avance en la ejecución del cronograma para la Implementación de la Política de Talento Humano -MIPG. </t>
  </si>
  <si>
    <t>Ejecutar el cronograma  para la Implementación de la Política de Talento Humano -MIPG. , desde el PETH. (Modelo Integral de la Gestión de Personas)</t>
  </si>
  <si>
    <t xml:space="preserve"> Número de actividades programadas en el  cronograma para la Implementación de la Política de Talento Humano -MIPG en el periodo</t>
  </si>
  <si>
    <t>El indicador mide el avance en la ejecución para la Implementación de la Política de Talento Humano -MIPG</t>
  </si>
  <si>
    <t>AP03</t>
  </si>
  <si>
    <t xml:space="preserve"> Fortalecimiento de competencias</t>
  </si>
  <si>
    <t xml:space="preserve">Porcentaje acumulado de avance en la ejecución del cronograma para la Implementación de la Política de Gestión del Conocimiento -MIPG. </t>
  </si>
  <si>
    <t>Ejecutar el cronograma  para la Implementación de la Política de Gestión del Conocimiento -MIPG. (Componente de Gestión del Desarrollo)</t>
  </si>
  <si>
    <t xml:space="preserve"> Número de actividades programadas en el cronograma para la Implementación de la Política de Gestión del Conocimiento -MIPG en el periodo</t>
  </si>
  <si>
    <t>El indicador muestra el nivel de avance en la ejecución de actividades programadas para la implementación y desarrollo  la Política de Gestión del Conocimiento</t>
  </si>
  <si>
    <t>FC02</t>
  </si>
  <si>
    <t xml:space="preserve">Informes de Monitoreos de Riesgos allegado a la Secretaria General </t>
  </si>
  <si>
    <t>Enviar a Secretaría General un informe con los soportes y monitoreo de los Riesgos de Gestión y Riesgos de Corrupción con corte a 31 de junio y 31 de diciembre de la vigencia.</t>
  </si>
  <si>
    <t xml:space="preserve">Número de Informes de Monitoreos de Riesgos allegado a la Secretaria General </t>
  </si>
  <si>
    <t xml:space="preserve">El indicador mide los Monitoreos de Riesgos allegado a la Secretaria General </t>
  </si>
  <si>
    <t>AS11</t>
  </si>
  <si>
    <t>Contractual</t>
  </si>
  <si>
    <t>Seguimientos a la Gestión Contractual realizados</t>
  </si>
  <si>
    <t>Celebrar el contrato o convenio y apoyar la ejecución satisfactoria del mismo, mediante la supervisión o interventoría y seguimiento de las obligaciones contractuales con el debido cumplimiento de la normatividad vigente, las obligaciones establecida</t>
  </si>
  <si>
    <t>s en el Manual de Contratación de la Entidad, así como los atributos de calidad, oportunidad y legalidad, con el fin de apoyar el cumplimiento de la misión, operación y el Plan de Contratación de la Entidad</t>
  </si>
  <si>
    <t>Realizar el seguimiento a la Gestión Contractual.</t>
  </si>
  <si>
    <t>Número de seguimientos a la Gestión Contractual realizados</t>
  </si>
  <si>
    <t xml:space="preserve">Este indicador muestra los informes realizados de Seguimientos a la Gestión Contractual programados y solicitados por la alta dirección </t>
  </si>
  <si>
    <t>PC04</t>
  </si>
  <si>
    <t xml:space="preserve">Secretaria General - Dirección de Contratación </t>
  </si>
  <si>
    <t>Porcentaje de avance en Contratos celebrados</t>
  </si>
  <si>
    <t>Celebrar los contratos y/o convenios previstos en el Plan Anual de Adquisiciones a través de la plataforma de SECOP II</t>
  </si>
  <si>
    <t>Número de contratos celebrados</t>
  </si>
  <si>
    <t>Número de solicitudes previstas en el Plan Anual de Adquisiciones radicadas por las dependencias</t>
  </si>
  <si>
    <t xml:space="preserve">Este indicador muestra el resultado de los contratos celebrados frente a los planeados en el Plan Anual de Adquisiciones </t>
  </si>
  <si>
    <t>PC02</t>
  </si>
  <si>
    <t>Porcentaje de modificaciones contractuales tramitadas</t>
  </si>
  <si>
    <t>Tramitar las modificaciones contractuales radicadas</t>
  </si>
  <si>
    <t>Número de modificaciones contractuales  tramitadas</t>
  </si>
  <si>
    <t>Número de modificaciones contractuales radicadas</t>
  </si>
  <si>
    <t xml:space="preserve">El indicador muestra las modificaciones realizadas al Plan Anual de Adquisiciones solicitadas por las dependencias </t>
  </si>
  <si>
    <t>PC03</t>
  </si>
  <si>
    <t>Administración de la Gestión Documental</t>
  </si>
  <si>
    <t>Porcentaje de avance en la ejecución del PINAR</t>
  </si>
  <si>
    <t>Administrar la documentación recibida y producida por la Entidad mediante el uso de los estándares del tratamiento de documentos (físicos o electrónicos), de la normatividad vigente, notificación de los actos administrativos y demás documentos con el</t>
  </si>
  <si>
    <t>fin de facilitar el trámite, utilización, consulta de las partes interesadas y la conservación de la memoria institucional de la Superintendencia Nacional de Salud.</t>
  </si>
  <si>
    <t>Formular y ejecutar el PINAR</t>
  </si>
  <si>
    <t>Número de actividades ejecutadas en el PINAR</t>
  </si>
  <si>
    <t>Número de actividades formuladas a ejecutar en el periodo</t>
  </si>
  <si>
    <t>El indicador muestra el nivel de avance en la ejecución de actividades programadas para la implementación y desarrollo  del Plan Institucional de Archivos - PINAR</t>
  </si>
  <si>
    <t>GD12</t>
  </si>
  <si>
    <t xml:space="preserve">Secretaria General - Dirección Administrativa </t>
  </si>
  <si>
    <t xml:space="preserve">Porcentaje acumulado de avance en la ejecución del Plan de Implementación de la Política de Gestión Documental </t>
  </si>
  <si>
    <t>Ejecutar el Plan de Implementación de la Política de Gestión Documental 2021 según MIPG</t>
  </si>
  <si>
    <t>Número de actividades ejecutadas en el Plan de implementación de la política de Gestión Documental en el 2021</t>
  </si>
  <si>
    <t xml:space="preserve"> Número de actividades formuladas a ejecutar en el periodo en el Plan de implementación de la política de Gestión Documental en el 2021</t>
  </si>
  <si>
    <t xml:space="preserve">El indicador muestra el nivel de avance en la ejecución de actividades programadas para la implementación y desarrollo  de la Política de Gestión Documental 2020 según MIPG </t>
  </si>
  <si>
    <t>GD05</t>
  </si>
  <si>
    <t>Porcentaje de error en el direccionamiento de los documentos de entrada radicados a las dependencias.</t>
  </si>
  <si>
    <t>Disminuir el porcentaje de error en el direccionamiento de los documentos de entrada radicados a las dependencias respecto al promedio del año  inmediatamente anterior (Línea base)</t>
  </si>
  <si>
    <t>Número de documentos de entrada con error en el direccionamiento durante el periodo</t>
  </si>
  <si>
    <t>Total documentos de entrada radicados en el periodo</t>
  </si>
  <si>
    <t xml:space="preserve">Este indicador muestra la disminución en el porcentaje de error en el direccionamiento de los documentos allegados a la SNS. </t>
  </si>
  <si>
    <t>GD02</t>
  </si>
  <si>
    <t xml:space="preserve">Menor a 1%
</t>
  </si>
  <si>
    <t>[0%,  1%]</t>
  </si>
  <si>
    <t>(1%, 3%)</t>
  </si>
  <si>
    <t>Mayor o igual a 3,0%</t>
  </si>
  <si>
    <t xml:space="preserve">Porcentaje de error en la digitalización de documentos. </t>
  </si>
  <si>
    <t>Disminuir el porcentaje de error de documentos digitalizados con cumplimiento de las características de calidad, respecto al promedio del año inmediatamente anterior (Línea Base)</t>
  </si>
  <si>
    <t>Número de documentos con error en la digitalización y cargue al sistema durante el periodo</t>
  </si>
  <si>
    <t>Número Total de documentos digitalizados durante el periodo</t>
  </si>
  <si>
    <t xml:space="preserve">Este indicador muestra la disminución en el porcentaje de error en la digitalización y cargue del sistema de los documentos direccionados a las dependencias de la SNS. </t>
  </si>
  <si>
    <t>GD03</t>
  </si>
  <si>
    <t>Número de mesas de trabajo realizadas con el operador de mensajería expresa para verificar la oportunidad en la entrega de las comunicaciones</t>
  </si>
  <si>
    <t>Establecer mesas de trabajo con el operador de mensajería expresa para verificar la oportunidad en la entrega de las comunicaciones y así establecer lineamientos de mejora</t>
  </si>
  <si>
    <t>Número de mesas de trabajo realizadas</t>
  </si>
  <si>
    <t xml:space="preserve">Este indicador muestra las mesas de trabajo realizado entre el grupo de correspondencia y el operador logístico de mensajería expresa con el fin de optimizar los tiempos de entrega en las comunicaciones </t>
  </si>
  <si>
    <t>GD19</t>
  </si>
  <si>
    <t>Total de actos administrativos recibidos para notificar  o comunicar en el periodo</t>
  </si>
  <si>
    <t xml:space="preserve">El indicador muestra  el numero de actos administrativos con notificación frente al total de actos administrativos enviado por las dependencias </t>
  </si>
  <si>
    <t>GD01</t>
  </si>
  <si>
    <t>Porcentaje de actos administrativos con orden de notificación por medios electrónicos</t>
  </si>
  <si>
    <t>Tramitar las notificaciones o comunicaciones ordenados por medios electrónicos</t>
  </si>
  <si>
    <t>Total de actos administrativos ordenados por medios  electrónicos en el periodo</t>
  </si>
  <si>
    <t>Total de actos administrativos ordenados para notificar o comunicar en el periodo</t>
  </si>
  <si>
    <t>Porcentaje de actos administrativos con orden de notificación por medios electrónicos.</t>
  </si>
  <si>
    <t>GD14</t>
  </si>
  <si>
    <t>Campañas realizadas para fortalecer el uso de medios electrónicos y la notificación electrónica</t>
  </si>
  <si>
    <t>Realizar campañas dirigidas a los grupos de valor para fortalecer el uso de medios electrónicos y la notificación electrónica</t>
  </si>
  <si>
    <t>Número de Campañas realizadas en el periodo</t>
  </si>
  <si>
    <t>El indicador el numero de campañas realizadas para fortalecer el uso de medios electrónicos y la notificación electrónica</t>
  </si>
  <si>
    <t>GD15</t>
  </si>
  <si>
    <t>Acciones realizadas con el fin de incrementar el uso de medios electrónicos y el número de notificaciones electrónicas en el trámite de notificación.</t>
  </si>
  <si>
    <t>Realizar acciones con el fin de incrementar el uso de medios electrónicos y el número de notificaciones electrónicas en el trámite de notificación.</t>
  </si>
  <si>
    <t>Número de acciones realizadas con el fin de incrementar tanto el uso de medios electrónicos como el número de autorizaciones de notificación electrónica en el trámite de notificación</t>
  </si>
  <si>
    <t>El indicador muestra las acciones realizadas con el fin de incrementar el uso de medios electrónicos y el número de notificaciones electrónicas en el trámite de notificación.</t>
  </si>
  <si>
    <t>GD16</t>
  </si>
  <si>
    <t>Capacitación a los Gestores de la Superintendencia Nacional de Salud en el proceso de la Notificación.</t>
  </si>
  <si>
    <t>Capacitar a los Gestores  de la Superintendencia sobre el proceso de notificación (Personal - Electrónica), con el fin de que sirvan de multiplicadores de este proceso.</t>
  </si>
  <si>
    <t>Número de capacitaciones realizadas a los enlaces de Notificaciones de las diferentes dependencias en el proceso de Notificación</t>
  </si>
  <si>
    <t xml:space="preserve">Este indicador mide las campañas realizadas a los funcionarios para resaltar e interiorizar los aspectos positivos del sistema de correspondencia </t>
  </si>
  <si>
    <t>GD17</t>
  </si>
  <si>
    <t>1</t>
  </si>
  <si>
    <t>Proporción de notificaciones electrónicas</t>
  </si>
  <si>
    <t>Tablero Estratégico PEIDA: Profundizar esfuerzos para aumentar el número de vigilados que son notificados electrónicamente</t>
  </si>
  <si>
    <t>Número total de actos administrativos tramitados de forma electrónica</t>
  </si>
  <si>
    <t xml:space="preserve"> actos administrativos recibidos para notificar o comunicar</t>
  </si>
  <si>
    <t>El indicador mide la Proporción de notificaciones electrónicas</t>
  </si>
  <si>
    <t>GD13</t>
  </si>
  <si>
    <t xml:space="preserve">Vigilados que aceptaron notificación electrónica </t>
  </si>
  <si>
    <t>Cuenta del número de vigilados que aceptaron notificación electrónica</t>
  </si>
  <si>
    <t>El indicador mide el número de vigilados que aceptaron notificación electrónica</t>
  </si>
  <si>
    <t>GD18</t>
  </si>
  <si>
    <t>Administración de los Bienes de Consumo  y Devolutivos</t>
  </si>
  <si>
    <t>Campañas de sensibilización acerca del cuidado de los bienes de la entidad a cargo de funcionarios y contratistas.</t>
  </si>
  <si>
    <t>Gestionar los bienes de consumo y devolutivos, mediante la administración, mantenimiento y control de infraestructura y equipos, con el fin de garantizar la continuidad en el funcionamiento de la infraestructura de la Entidad.</t>
  </si>
  <si>
    <t>Realizar campañas de sensibilización acerca del cuidado de los bienes de la entidad a cargo de funcionarios y contratistas.</t>
  </si>
  <si>
    <t xml:space="preserve">Número de Campañas de sensibilización realizadas </t>
  </si>
  <si>
    <t xml:space="preserve">Este indicador muestra las campañas de sensibilización realizadas a los funcionarios de la entidad sobre la importancia y cuidado de los bienes de la entidad. </t>
  </si>
  <si>
    <t>AB02</t>
  </si>
  <si>
    <t>Campañas de socialización sobre el manejo del aplicativo de control de activos denominado “ApliCa”.</t>
  </si>
  <si>
    <t>Realizar campañas de socialización sobre el manejo del aplicativo de control de activos denominado “ApliCa”.</t>
  </si>
  <si>
    <t xml:space="preserve">Número de Campañas de socialización realizadas </t>
  </si>
  <si>
    <t>Este indicador muestra las campañas de sensibilización realizadas a los funcionarios de la entidad sobre  el manejo y la importancia del aplicativo de bienes ApliCa</t>
  </si>
  <si>
    <t>AB03</t>
  </si>
  <si>
    <t>Prestación de los Servicios Generales</t>
  </si>
  <si>
    <t>Porcentaje de cumplimiento a la atención oportuna de los requerimientos en temas de suministro y  mantenimiento de bienes y servicios generales solicitados a la Mesa de Ayuda de Recursos Físicos</t>
  </si>
  <si>
    <t>Identificar los bienes y servicios requeridos por la entidad, mediante la estructuración y la ejecución del Plan Anual de Adquisiciones, en lo referente a gastos generales, con el fin de Garantizar la continuidad en el funcionamiento de la infraestru</t>
  </si>
  <si>
    <t>ctura de la entidad.</t>
  </si>
  <si>
    <t>Realizar el control y seguimiento a la atención oportuna de los requerimientos en temas de suministro y  mantenimiento de bienes y servicios generales solicitados a la Mesa de Ayuda de Recursos Físicos.</t>
  </si>
  <si>
    <t>Número de requerimientos atendidos oportunamente</t>
  </si>
  <si>
    <t>Número de solicitudes realizadas por las áreas</t>
  </si>
  <si>
    <t xml:space="preserve">Este indicador muestra la oportunidad frente a los requerimientos de suministro y mantenimientos relacionados a bienes y servicios de la entidad. </t>
  </si>
  <si>
    <t>SG01</t>
  </si>
  <si>
    <t>Cumplimiento en la ejecución de actividades definidas en el cronograma del Subsistema de Gestión Ambiental-SGA</t>
  </si>
  <si>
    <t>Formular y ejecutar el Cronograma del Subsistema de Gestión Ambiental</t>
  </si>
  <si>
    <t>Número de actividades ejecutadas del cronograma del Subsistema de Gestión Ambiental - SGA</t>
  </si>
  <si>
    <t>El indicador muestra el nivel de avance en la ejecución de actividades programadas para la implementación y desarrollo  del Subsistema de Gestión Ambiental</t>
  </si>
  <si>
    <t>AS05</t>
  </si>
  <si>
    <t>Gestión Presupuestal</t>
  </si>
  <si>
    <t xml:space="preserve">Ejecución total del presupuesto en compromisos </t>
  </si>
  <si>
    <t>Registrar en SIIF Nación la ejecución de los recursos financieros apropiados por la ley anual de presupuesto y decreto de liquidación mediante la desagregación inicial del presupuesto, la expedición de los Certificados de Disponibilidad Presupuestal</t>
  </si>
  <si>
    <t>(CDP), el Registro Presupuestal del Compromiso (RPC), las modificaciones presupuestales, la verificación y creación de beneficiario cuenta, y otros trámites como las vigencias futuras y constitución de Reservas Presupuestales, para cumplir con las ne</t>
  </si>
  <si>
    <t>cesidades de la Entidad.</t>
  </si>
  <si>
    <t>Realizar seguimiento y emitir alertar tempranas sobre la ejecución del presupuesto.</t>
  </si>
  <si>
    <t>Compromisos total</t>
  </si>
  <si>
    <t xml:space="preserve"> Apropiación total final</t>
  </si>
  <si>
    <t xml:space="preserve">El indicador muestra el porcentaje de ejecución del presupuesto asignado a toda la entidad </t>
  </si>
  <si>
    <t>GP04</t>
  </si>
  <si>
    <t xml:space="preserve">Secretaria General - Dirección Financiera </t>
  </si>
  <si>
    <t xml:space="preserve">Ejecución total del presupuesto en obligaciones </t>
  </si>
  <si>
    <t>Obligaciones total</t>
  </si>
  <si>
    <t>GP05</t>
  </si>
  <si>
    <t xml:space="preserve">Ejecución del presupuesto de funcionamiento </t>
  </si>
  <si>
    <t>Compromisos_presupuesto de funcionamiento</t>
  </si>
  <si>
    <t xml:space="preserve"> Apropiación final_presupuesto de funcionamiento</t>
  </si>
  <si>
    <t xml:space="preserve">El indicador muestra el porcentaje de ejecución del presupuesto asignado por rubro de funcionamiento a toda la entidad </t>
  </si>
  <si>
    <t>GP06</t>
  </si>
  <si>
    <t xml:space="preserve">Porcentaje acumulado de avance en la ejecución del Plan para la Implementación de la Política de Gestión Presupuestal y eficiencia del gasto público  -MIPG. </t>
  </si>
  <si>
    <t>Realizar seguimiento a la ejecución presupuestal (vigencia actual y reservas presupuestales) y Plan Anual de Adquisiciones, para identificar y controlar el cumplimiento de los objetivos institucionales</t>
  </si>
  <si>
    <t xml:space="preserve"> Número de actividades programadas en el Plan para la Implementación de la Política de Gestión Presupuestal y eficiencia del gasto público  -MIPG en el periodo</t>
  </si>
  <si>
    <t xml:space="preserve">El indicador muestra el nivel de avance en la ejecución de actividades programadas para la implementación y desarrollo  la Política de Gestión Presupuestal y eficiencia del gasto público  -MIPG. </t>
  </si>
  <si>
    <t>GP07</t>
  </si>
  <si>
    <t>Informes de ejecución presupuestal enviados a la Alta Dirección y a las dependencias</t>
  </si>
  <si>
    <t>Realizar y entregar informes de ejecución presupuestal a las Dependencias Ejecutoras con el fin de que sirva de herramienta para el análisis por parte de cada responsable.</t>
  </si>
  <si>
    <t>Número de Informes realizados y entregados</t>
  </si>
  <si>
    <t xml:space="preserve">Corresponde el indicador de los informes realizados relacionados a la ejecución presupuestal dirigidos a la alta dirección, para realizar seguimiento a la ejecución del presupuesto asignado de la entidad. </t>
  </si>
  <si>
    <t>GP03</t>
  </si>
  <si>
    <t>Socializaciones en temas presupuestales dirigidas a los responsables  de la ejecución presupuestal</t>
  </si>
  <si>
    <t>Realizar socializaciones a las diferentes dependencias responsables de la ejecución sobre el manejo presupuestal y casos específicos.</t>
  </si>
  <si>
    <t>Número de socializaciones realizadas</t>
  </si>
  <si>
    <t xml:space="preserve">El indicador mide las socializaciones realizadas frente a temas presupuestales, dirigidos especialmente a los lideres y responsables de la ejecución presupuestal de la entidad. </t>
  </si>
  <si>
    <t>GP02</t>
  </si>
  <si>
    <t>Gestión de Tesorería</t>
  </si>
  <si>
    <t>Informes de seguimiento de viáticos</t>
  </si>
  <si>
    <t>Gestionar eficientemente los recursos financieros de la Superintendencia Nacional de Salud mediante la programación mensual de PAC, las transferencias a la Cuenta Única Nacional y el control de las cuentas bancarias con el fin de garantizar el flujo</t>
  </si>
  <si>
    <t>de recursos económicos de la entidad.</t>
  </si>
  <si>
    <t>Enviar informe  de las comisiones gestionadas, legalizadas y pendientes de legalizar a cada jefe de área.</t>
  </si>
  <si>
    <t xml:space="preserve">Número de informes enviados </t>
  </si>
  <si>
    <t>El indicador muestra  los informes realizados relacionados a los viáticos con información relevante en cuanto comisiones gestionadas, legalizadas y pendientes de legalizar a cada jefe de área.</t>
  </si>
  <si>
    <t>GT03</t>
  </si>
  <si>
    <t>Informes de Ejecución de PAC</t>
  </si>
  <si>
    <t>Enviar informes de seguimiento del PAC a las áreas responsables de  la ejecución.</t>
  </si>
  <si>
    <t>Número de informes enviados</t>
  </si>
  <si>
    <t>El indicador mide los informes de seguimiento del PAC enviados a las áreas responsables de  la ejecución</t>
  </si>
  <si>
    <t>GT01</t>
  </si>
  <si>
    <t>Gestión Contable</t>
  </si>
  <si>
    <t>Porcentaje acumulado de avance en la ejecución del cronograma de actividades que permiten presentar información financiera confiable y oportuna  para la toma de decisiones y análisis de los usuarios internos y externos de la Entidad</t>
  </si>
  <si>
    <t>Revelar la realidad económica de la Superintendencia Nacional de Salud mediante el registro, análisis, verificación y control de la información contable derivada de hechos económicos para  presentar Estados Financieros con información confiable, rele</t>
  </si>
  <si>
    <t>vante y comprensible</t>
  </si>
  <si>
    <t>Ejecutar el cronograma de actividades que permiten presentar información financiera confiable y oportuna  para la toma de decisiones y análisis de los usuarios internos y externos de la Entidad</t>
  </si>
  <si>
    <t>Número de actividades ejecutadas del cronograma  de actividades</t>
  </si>
  <si>
    <t xml:space="preserve"> Número de actividades programadas</t>
  </si>
  <si>
    <t>El indicador mide avance en la ejecución del cronograma de actividades que permiten presentar información financiera confiable y oportuna  para la toma de decisiones y análisis de los usuarios internos y externos de la Entidad</t>
  </si>
  <si>
    <t>GC01</t>
  </si>
  <si>
    <t xml:space="preserve">Control Financiero de Cuentas </t>
  </si>
  <si>
    <t>Informes de validaciones funcionales y de razonabilidad sobre los procesamientos financieros que afectan las cuentas por cobrar</t>
  </si>
  <si>
    <t>Consolidar la información financiera mediante el registro, la validación, la depuración y la conciliación a nivel interno y externo, de las variables que afectan las Cuentas por Cobrar (recaudo, causación, deterioro, recursos, revocatoria, depuración</t>
  </si>
  <si>
    <t>entre otras) por concepto de Tasa, Sanción y 0.2% Régimen Subsidiado, con el fin de generar información cualitativa y cuantitativa base para la solución de consultas sobre el estado de la cartera y del reporte de los hechos económicos de la Superint</t>
  </si>
  <si>
    <t>endencia Nacional de Salud en los estados financieros.</t>
  </si>
  <si>
    <t>Validar estados de cuenta y recaudos por clasificar</t>
  </si>
  <si>
    <t>Número de Informes de validaciones funcionales y de razonabilidad sobre los procesamientos financieros que afectan las cuentas por cobrar</t>
  </si>
  <si>
    <t>El indicador muestra los Informes de validaciones funcionales y de razonabilidad sobre los procesamientos financieros que afectan las cuentas por cobrar realizados</t>
  </si>
  <si>
    <t>CF02</t>
  </si>
  <si>
    <t>Porcentaje acumulado de avance en la ejecución del cronograma para la gestión de la Contribución</t>
  </si>
  <si>
    <t>Ejecutar el cronograma de actividades que permiten presentar el avance de la gestión de la Contribución</t>
  </si>
  <si>
    <t>Número de actividades ejecutadas del cronograma para la gestión de la Contribución</t>
  </si>
  <si>
    <t xml:space="preserve"> Número de actividades programadas del cronograma para la gestión de la Contribución</t>
  </si>
  <si>
    <t>El indicador mide avance en la ejecución del cronograma para la gestión de la Contribución</t>
  </si>
  <si>
    <t>GP08</t>
  </si>
  <si>
    <t>Porcentaje de cumplimiento de la meta de recaudo 2021</t>
  </si>
  <si>
    <t>Recaudar la Contribución mínimo en un 70%</t>
  </si>
  <si>
    <t>Millones recaudados de la Contribución</t>
  </si>
  <si>
    <t>Millones proyectados de recaudo de la Contribución</t>
  </si>
  <si>
    <t>El indicador mide el cumplimiento de la meta de recaudo 2021</t>
  </si>
  <si>
    <t>GP09</t>
  </si>
  <si>
    <t>Porcentaje de solicitudes de aplicación fórmula de liquidaciones adicionales de tasa gestionadas</t>
  </si>
  <si>
    <t>Aplicar la fórmula de liquidación de Tasa para las liquidaciones adicionales.</t>
  </si>
  <si>
    <t>Número de solicitudes gestionadas con oportunidad por la Oficina Asesora de Planeación</t>
  </si>
  <si>
    <t>Número de solicitudes asignadas en el Sistema que maneje la Entidad</t>
  </si>
  <si>
    <t xml:space="preserve">El indicador muestra el porcentaje de solicitudes de aplicación fórmula de liquidaciones adicionales de tasa gestionadas frente a las solicitudes asignadas en el sistema de TASA. </t>
  </si>
  <si>
    <t>TS01</t>
  </si>
  <si>
    <t xml:space="preserve">Secretaría General - Dirección Financiera </t>
  </si>
  <si>
    <t>Actuaciones Disciplinarias</t>
  </si>
  <si>
    <t>Mesas de trabajo orientadoras  con la áreas de mayor ocurrencia de conductas disciplinables</t>
  </si>
  <si>
    <t>Proferir providencias disciplinarias mediante la aplicación de la ritualidad de las actuaciones previstas en el Código Disciplinario Único y demás normas concordantes, con el fin de garantizar la efectividad de los principios y fines previstos en el</t>
  </si>
  <si>
    <t>ordenamiento jurídico aplicable a los funcionarios de la Superintendencia Nacional de Salud.</t>
  </si>
  <si>
    <t>Realizar mesas de trabajo orientadoras  con la áreas de mayor ocurrencia de conductas disciplinables y difundir mediante correo institucional de tips informativos en desarrollo de la función preventiva del proceso disciplinario</t>
  </si>
  <si>
    <t>Número de mesas de trabajo orientadoras  con las áreas de mayor ocurrencia de conductas disciplinables</t>
  </si>
  <si>
    <t>El indicador mide las mesas de trabajo orientadoras  con la áreas de mayor ocurrencia de conductas disciplinables</t>
  </si>
  <si>
    <t>AD02</t>
  </si>
  <si>
    <t xml:space="preserve">Secretaría General - Oficina de Control Disciplinario Interno </t>
  </si>
  <si>
    <t>Porcentaje de novedades disciplinarias, quejas, informes y derechos de petición tramitados.</t>
  </si>
  <si>
    <t>Determinar el procedimiento y/o actividad correspondiente, para adelantar el ejercicio de la acción disciplinaria que culminará con decisión de fondo.</t>
  </si>
  <si>
    <t>Número de novedades disciplinarias, quejas, informes y derechos de peticiones tramitados dentro del período</t>
  </si>
  <si>
    <t>Número de novedades disciplinarias, quejas, informes y derechos de peticiones recibidos dentro del período</t>
  </si>
  <si>
    <t xml:space="preserve">El indicador muestra las novedades disciplinarias, quejas, informes y derechos de petición tramitados por la Oficina de Control Interno Disciplinario frente a las recibidas. Por los diferentes canales de denuncia. </t>
  </si>
  <si>
    <t>AD01</t>
  </si>
  <si>
    <t>Solicitudes de capacitación dirigidas por el Ministerio Público y demás entidades competentes</t>
  </si>
  <si>
    <t>Gestionar con entidades externas capacitaciones en temas relacionados con derecho disciplinario. (Plan de capacitaciones- Instituto de estudios del ministerio publico - gestiones de la oficina)</t>
  </si>
  <si>
    <t>Número de solicitudes de capacitación dirigidas por el Ministerio Público y demás entidades competentes</t>
  </si>
  <si>
    <t>El indicador mide las solicitudes de capacitación dirigidas por el Ministerio Público y demás entidades competentes</t>
  </si>
  <si>
    <t>AD03</t>
  </si>
  <si>
    <t>Jornadas de decongestión del inventario de actuaciones disciplinarias</t>
  </si>
  <si>
    <t>Elaborar un plan de choque con el objeto de descongestionar el total de inventario de actuaciones disciplinarias de la Oficina, así como reducir el término de prescripción y caducidad.</t>
  </si>
  <si>
    <t>Número  de jornadas de descongestión realizadas</t>
  </si>
  <si>
    <t>El indicador mide las Jornadas de decongestión del inventario de actuaciones disciplinarias</t>
  </si>
  <si>
    <t>AD04</t>
  </si>
  <si>
    <t>Auditorías Integrales de Gestión</t>
  </si>
  <si>
    <t>Auditorias realizadas de acuerdo al  Programa Anual de Auditorias</t>
  </si>
  <si>
    <t>Verificar el cumplimiento de los objetivos institucionales y sus posibles desviaciones, alineados con el rol de tercera línea y control independiente, a través de la elaboración y presentación de informes de Auditorías Internas de Gestión a planes, p</t>
  </si>
  <si>
    <t>rogramas, proyectos, procesos, procedimientos, actividades y resultados de gestión u otro asunto de la Superintendencia Nacional de Salud, bajo los principios de autocontrol, autogestión y autorregulación, a fin de identificar recomendaciones y halla</t>
  </si>
  <si>
    <t>zgos, contribuyendo al mejoramiento continuo y fortalecimiento institucional.</t>
  </si>
  <si>
    <t>Ejecutar Programa Anual de Auditorías Internas</t>
  </si>
  <si>
    <t xml:space="preserve"> Número de auditorías realizadas en el periodo de acuerdo al programa anual de auditorías</t>
  </si>
  <si>
    <t>El indicador muestra las auditorias integrales de Gestión realizadas  a las dependencias de la entidad de acuerdo al Programa anual de Auditorias.</t>
  </si>
  <si>
    <t>IG01</t>
  </si>
  <si>
    <t>Numérico</t>
  </si>
  <si>
    <t>Seguimiento a la Gestión Institucional</t>
  </si>
  <si>
    <t>Verificar el cumplimiento de las metas y objetivos institucionales y sus posibles desviaciones, a través de la elaboración y presentación de informes de seguimiento y evaluación de resultados a Planes Institucionales, Planes de Mejoramiento u otro as</t>
  </si>
  <si>
    <t>unto objeto de seguimiento, previa verificación del cumplimiento de requisitos legales, competencias institucionales y procedimientos mediante la aplicación de herramientas, instrumentos, manuales y guías metodológicas, entre otros, adoptados por la</t>
  </si>
  <si>
    <t>Entidad o establecidos por organismos reguladores, con el fin de presentar  las recomendaciones y los hallazgos que den lugar, que fortalezcan el cumplimiento de la misión y objetivo de la Entidad.</t>
  </si>
  <si>
    <t>Ejecutar Programa Anual Seguimiento a la Gestión Institucional</t>
  </si>
  <si>
    <t>Número de seguimientos y evaluaciones realizadas oportunamente dentro de las fechas programadas en el periodo</t>
  </si>
  <si>
    <t xml:space="preserve">El indicador muestra el número de seguimientos y evaluaciones realizadas oportunamente frente a la Gestión Institucional. </t>
  </si>
  <si>
    <t>GI01</t>
  </si>
  <si>
    <t>Seguimientos y evaluaciones efectuadas al control en riesgos institucional</t>
  </si>
  <si>
    <t>Informe Ejecutivo Seguimiento Evaluación Riesgos de la Entidad</t>
  </si>
  <si>
    <t>El indicador muestra los seguimientos realizadas frente a la Evaluación del Riesgos de la Entidad.</t>
  </si>
  <si>
    <t>GI02</t>
  </si>
  <si>
    <t>50% (2)</t>
  </si>
  <si>
    <t>100%(4)</t>
  </si>
  <si>
    <t xml:space="preserve">Para el segundo trimestre de 2025, la Dirección de Inspección y Vigilancia para Prestadores de Servicios de Salud, programó 17 auditorias, de la siguiente manera:
En el mes de abril, se programaron 10 auditorias de las cuales se ejecutaron 10.
En el mes de mayo se programaron 2 auditorias de las cuales se ejecutaron 2.
En el mes de junio, aunque, se programaron 5 auditorias, se ejecutaron 6. Esta auditoria adicional, tuvo alcance específico, debido a situaciones presentadas en el sistema, que requirieron atención inmediata del Equipo IV de Salud.
Por lo anterior, para el II trimestre de 2025, se presenta una ejecución del 105%, correspondiente a la ejecución de 18 auditorías, de 17 programadas para dicho periodo.
</t>
  </si>
  <si>
    <t xml:space="preserve">​Para el primer trimestre de 2025 se programó la realización de 19 auditorias. 
Durante el mes de enero, se realizaron 3 auditorias, en el mes de febrero 8 auditorias y en el mes de marzo 8 auditorias, para un total de 19 auditorias, dando cumplimiento en el numero de auditorias realizadas, versus las auditorias programadas para el I trimestre de la vigencia 2025.
</t>
  </si>
  <si>
    <t xml:space="preserve">Observamos que, para el segundo trimestre de 2025, el Indicador DI28 Nivel de madurez de acuerdo con la matriz de cumplimiento del MGDA, alcanzó un cumplimiento satisfactorio del 100% con la ejecución de 18 actividades , llegando a un avance consolidado del 45%, con 26 actividades cumplidas.
</t>
  </si>
  <si>
    <t>Durante el periodo se activaron cuatro (4) redes de controladores, en razón a alertas en aalgunos territorios, por lo que se superó la meta programada, así:
1. El   16 de abril de 2025 a pedido del Procurador Regional y el defensor del Pueblo   Regional del Vichada, se realizó la activación de la Red de Controladores del   Sector Salud del departamento del Vichada, donde se trató la problemática de   desnutrición, desabastecimiento de medicamentos, referencia y   contrareferencia entre otros.
     2. Se llevo a cabo el 4 de junio del año en curso la activación de la Red   de Controladores del Sector Salud del departamento del Huila, la cual se   desarrolló para ver la problemática de salud del Departamento, y a su vez   para ver como estaban preparados para realizar las fiestas en una emergencia   de Fiebre Amarilla. Se revisaron los planes de contingencia presentados por   el CRUE.
     3. El 12 de junio de 2025 se activó la Red de Controladores del Sector   Salud del departamento del Putumayo, lo anterior debido a la cantidad de   casos de Epizootias y posibles casos de Fiebre Amarilla reportados por el   Instituto Nacional de Salud en el departamento.
     4. Con fecha 18 de junio se llevo a cabo la activación   de la Red de Controladores del Sector Salud del departamento de Bolívar, con   énfasis en la problemática presentada por la Caja de Previsión de la   Universidad de Cartagena. Se asistió con el acompañamiento de la delegatura   de DEAS.
     5. Entre el 25, 26 y 27 de junio se realizó el seguimiento a los   compromisos generados de la Red de Controladores del Sector Salud de los   departamentos del Eje Cafetero (Caldas, Quindío y Risaralda), donde se   citaron a las EPS intervenidas, con el fin de levantar un acta de compromisos   por parte de ellos y la Entidades Territoriales de cada departamento.</t>
  </si>
  <si>
    <t>​se realizaron con exito las siguientes prejornadas :
1. pre-jornada bolívar – córdoba y sucre
2. pre-jornada guajira y cesar
3. pre-jornada atlántico – magdalena y san andrés 
4. pre-jornada meta – amazonas – guaviare – vaupés – vichada y guainía. 
5. pre-jornada cauca 
 6. pre-jornada boyacá 
 7. pre-jornada antioquia y chocó. </t>
  </si>
  <si>
    <t>se programan 7 jornadas formalmente con los actores del sgsss en el primer semestre; se realizan por tiempos de agenda segun las semanas que tienen dias festivos dentro de los meses de enero a junio y  la ultima jornada por lo anterior se materializa la primera semana del mes de julio; esta jornada se realiza en antioquia (medellin ) 
1.​jornada bolívar – córdoba y sucre 
2. jornada guajira y cesar 
3. jornada atlántico – magdalena y san andrés
4. jornada meta – amazonas – guaviare – vaupés – vichada  y guainía. 
5. jornada cauca 
 6. jornada boyacá  </t>
  </si>
  <si>
    <t xml:space="preserve">el numero de audiencias realizadas en el periodo  fue de 2125 y el total de solicitudes de conciliación a petición de parte  admitidas fueron de 2125  en el segundo trimestre del 2025
</t>
  </si>
  <si>
    <t>​Durante el primer trimestre de 2025 fue publicado el nuevo formato de boletín (Magazine Jurídico) correspondiente al último trimestre de 2024, en este se hizo una recopilación de los conceptos más relevantes emitidos por la Dirección Jurídica sobre el tema de medicamentos.</t>
  </si>
  <si>
    <t xml:space="preserve">Numérica
</t>
  </si>
  <si>
    <t xml:space="preserve">Porcentual
</t>
  </si>
  <si>
    <t>Número de actividades ejecutadas para generar la estrategia para la caracterización de grupos de interés y de valor para la SNS / Número de actividades ejecutadas para generar la estrategia para la caracterización de grupos de interés y de valor para la SNS * 100</t>
  </si>
  <si>
    <t>Porcentaje de estudios previos a los cuales se les incorporó prácticas de Análisis de Datos.</t>
  </si>
  <si>
    <t>Porcentaje de contratos celebrados a los cuales se les incorporó las prácticas de Abastecimiento Estratégico dirigidas a la promoción de la micro, pequeña y mediana empresa; exceptuando la contratación a través de la Tienda Virtual del Estado Colombiano y la Contratación Directa.</t>
  </si>
  <si>
    <t>Utilizar los instrumentos de compra por catálogo derivados de la celebración de acuerdos marco de precios para la adquisición de bienes y servicios que se encuentren en la Tienda Virtual del Estado Colombiano.</t>
  </si>
  <si>
    <t xml:space="preserve">​Teniendo en cuena la contingencia de requerimientos realizada en el segundo trimestre de 2025 a la Dirección de Medidas Especiales de EPS E.A., se evidenció la actualización de 8 fichas de seguimiento de 11 entidades en medida.
</t>
  </si>
  <si>
    <t xml:space="preserve">​Durante el periodo del segundo trimestre , la verificacion de medicion de esta actividad , se evidencio el cumplimiento de este indicador segun la meta establecida , fueron gestionados 45 providencias de glosas y devoluciones ; se ha disminuido notablemente el numero de expedientes que habia en represamiento y hasta el momento ya el año 2024 esta siendo terminado en su totalidad quedando pendientes cerca de 34 expedientes .
</t>
  </si>
  <si>
    <t xml:space="preserve">Se presenta información con corte a mayo 2025, en virtud de que el periodo de reporte de insumos es 5 días hábiles mes vencido. 
Aclarado lo anterior se presenta el resultado de la aplicación de la encuesta de satisfacción realizada en el canal telefonico y presencial (Regionales, Puntos de Atención y CAC). 
Entre abril y mayo 2025 se recibieron 96.046 respuestas con calificación buena y exelente de un total de 111.133 respuestas las cuales correponden a un 86.42% de satisfacción
</t>
  </si>
  <si>
    <t xml:space="preserve">Para el I semestre de 2025, se gestionaron 10 solicitudes de reformas estatutarias de 10 recibidas para trámite en la Dirección IV para Prestadores de Servicios de Salud, de las cuales, 2 finalizaron con resolución, 1 finalizó con oficio y 7 gestionadas con análisis de SARLAFT, análisis financiero y requerimiento al vigilado.
Por lo anterior, se da cumplimiento a la meta establecida del 100% para el periodo evaluado.
</t>
  </si>
  <si>
    <t xml:space="preserve">​Dentro del periodo a reportar la Subdirección de Recursos Jurídicos cumplió con el indicador propuesto (100%), toda vez que, resolvió  los recursos de única instancia en el termino de oportunidad de dos meses desde la fecha de recepción del recursos. 
 Dentro de los asuntos gestionados se encuentran 13 recursos de reposición y una solicitud de revocatoria directa.
</t>
  </si>
  <si>
    <t xml:space="preserve">​Durante el periodo a reportar (2025-1) está Subdirección  cumplió con el indicador propuesto (100%),  entregando para firma y notificación los actos administrativos en el termino previsto por el artículo 52 de la Ley 1437.
 Dentro del periodo a reportar, se encuentran 102 asuntos que resuelven apelación, 5 que resuelven recurso de queja y  7 que resuelven solicitudes de revocatoria directa.
</t>
  </si>
  <si>
    <t xml:space="preserve">​En el link adjunto se evidencia el avance y seguimiento de la gestión digital en nuestros canales de comunicación establecidos. Tal es el caso del aumento de seguidores, visualización de conteenidos e interacción de mensajes institucionales.
</t>
  </si>
  <si>
    <t xml:space="preserve">Durante el cuarto trimestre del año 2024, se elaboró el informe de seguimiento de los planes institucionales PAG, evidenciando que el 97% de las metas establecidas por las dependencias fueron cumplidas. Estos resultados reflejan un avance significativo hacia el logro de los objetivos propuestos por la entidad.
</t>
  </si>
  <si>
    <t xml:space="preserve">Durante el primer trimestre se elaboró el informe de seguimiento de los planes institucionales (PND, PES, PEI y PAG), evidenciando que el 97% de las metas establecidas por las dependencias fueron cumplidas. Estos resultados reflejan un avance significativo hacia el logro de los objetivos propuestos por la entidad."
</t>
  </si>
  <si>
    <t xml:space="preserve">De conformidad a la programación establecida en el PAAS para la vigencia 2025 y en atención a la actividad "Ejecutar Programa Anual Seguimiento a la Gestión Institucional", alusiva al indicador "Seguimientos y evaluaciones efectuadas al control institucional", la Oficina de Control Interno definió reportar en el mes de abril el cumplimiento correspondiente al primer trimestre de la presente anualidad; de ello, se puede precisar, que fueron ejecutadas las quince (15) actividades programadas.
Por lo anteriormente señalado, el porcentaje de cumplimiento para el período ahora reportado obedece al 100% de ejecución de acuerdo con lo definido en el Plan Anual de Seguimientos de Ley a la Gestión Institucional.
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
</t>
  </si>
  <si>
    <t xml:space="preserve">​Durante el segundo trimestre de 2025, la Superintendencia Nacional de Salud realizó seguimiento a la ejecución del Plan Anual de Adquisiciones, alcanzando un avance del 37,7% en inversión y 36,1% en funcionamiento. Se publicaron 13 versiones del PAA en SECOP II, con múltiples actualizaciones derivadas de solicitudes de las dependencias, y se efectuaron reuniones y memorandos mensuales para su seguimiento. Al corte de junio, se habían programado 314 líneas y quedaban tres procesos contractuales pendientes por radicar.
</t>
  </si>
  <si>
    <t>https://supersalud-my.sharepoint.com/:f:/g/personal/laura_naranjo_supersalud_gov_co/EgFOTh2Ja0tLu6tDLIjkpAMBwUJ08X0uTAK-nIOwx5iGRA?e=zp5qO4</t>
  </si>
  <si>
    <t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institucional de capacitación (Componente de Gestión del Desarrollo)
</t>
  </si>
  <si>
    <t>https://supersalud-my.sharepoint.com/:f:/g/personal/camila_jaime_supersalud_gov_co/EmKgPeTtW_NIqFwDWRIac6kBcAquNOgGXMAHcvtYdJj4-g?e=vADiZy</t>
  </si>
  <si>
    <t xml:space="preserve">​Se realiza el seguimiento programado para el período.  En este caso al municipio de Dabeiba Antioquia.Se adjuntan las evidencias de seguimiento.
</t>
  </si>
  <si>
    <t xml:space="preserve">​Se realizó mesa de trabajo con el Gestor Farmacéutico Colsubsidio y la EPS Sura en la ciudad de Medellín ,la cual tuvo como objetivos fundamentales:Presentación de la información por parte del Gestor Farmacéutico.Presentación de la información por parte de la EAPB.Acuerdo y suscripción de los compromisos en el acta acta.
Lo cual es fundamental para el cumplimiento de las acciones de IV de la DOLTS-GF, de esta manera se da cumplimiento al 100% de lo propuesto en el PAG para Mayo 2025.
</t>
  </si>
  <si>
    <t xml:space="preserve">​Se realizó actividad de IV con el Gestor Farmacéutico COHAN y  representantes de FOMAG en la ciudad de Quibdo  la cual tuvo como objetivos fundamental:Presentación de la información por parte del Gestor Farmacéutico.Presentación de la información por parte de la EAPB.Lo cual es fundamental para el cumplimiento de las acciones de IV de la DOLTS-GF, de esta manera se da cumplimiento al 100% de lo propuesto en el PAG para mayo 2025.
</t>
  </si>
  <si>
    <t>version indicador</t>
  </si>
  <si>
    <t>Porcentaje de  decisión de fondo de  las investigaciones administrativas con riesgo de caducidad 2025 y primer trimestre de 2026</t>
  </si>
  <si>
    <t>(Número de investigaciones administrativas con riesgo de caducidad 2025, que hayan sido objeto de decisión dentro del trimestre de reporte / Número de investigaciones con caducidad 2025 y primer trimestre de 2026)*100</t>
  </si>
  <si>
    <t>2025</t>
  </si>
  <si>
    <t xml:space="preserve">​INDICADOR A DEMANADA 
Durante el TRIMESTRE se expidieron con apertura/improcedencia /investigación preliminar 116 procesos de  DE LOS CUALES 2 fueron por  criterio de priorización de orden judicial 
</t>
  </si>
  <si>
    <t xml:space="preserve">​Durante el tercer trimestre de 2025, se finalizaron 21 trámites de los cuales 19 fueron gestionados con estudio de viabilidad o recomendación en 140 días o menos, con un porcentaje de 90,5 % de trámites finalizados en 140 días o menos, superando la meta programada del 85%.
</t>
  </si>
  <si>
    <t xml:space="preserve">Durante el tercer trimestre de 2025 se realizaron 9 auditorías de 9 programadas, para un cumplimiento del 100%, superando la meta programada del 85 %.
</t>
  </si>
  <si>
    <t>​Para el tercer trimestre de 2025 se tenían programados 4 seguimientos en campo a las EPS Capresoca, Sanitas, Nueva EPS y Coosalud, sin embargo solo se realizaron 3, teniendo en cuenta que la Corte Constitucional por medio de la SENTENCIA SU-277 del 26 de junio de 2025, bajo el expediente con radicado T-10.477.327, Magistrado ponente: Juan Carlos Cortés González, la Sala Plena de la Corte Constitucional resolvió DEJAR SIN EFECTOS la Resolución No. 2024160000003002-6 del 2 de abril de 2024 que ordenó la toma de posesión inmediata de los bienes, haberes y negocios de la Entidad Promotora de Salud Sanitas S.A.S. por el término de un año, así como la intervención forzosa para ejercer la administración de dicha EPS; la Resolución 2024100000003060-6 del 10 de abril de 2024 que la corrigió; así como la Resolución 2025320030001947-6 del 1 de abril de 2025, mediante la cual se prorrogó dicha medida de intervención por un año, dictadas por la Superintendencia Nacional de Salud, de acuerdo con lo expuesto en la parte considerativa de esta sentencia, situación que conllevo a la no realización del seguimiento. Asi mismo se informa que dadas las condiciones administrativas y financieras de la Nueva EPS, la SNS instaló la instancia de seguimiento permanente en la Nueva EPS, ordenada mediante  Resolución 2025320030006237-6 del 31 de julio de 2025, modificada por la Resolución 2025320030006459-6 del 6 de agosto de 2025, la cual tiene por objetivo reallizar un monitoreo al cumplimiento de las órdenes impartidas en la resolución de la medida de cesación, que involucrará la verificación de los procesos que hoy aplica la EPS en la asignación de recursos del Sistema General de Seguridad Social en Salud y la garantía de la atención a la población afiliada, motivo por el cual no se aporta el auto del seguimiento, sino las resoluciones mencionadas.</t>
  </si>
  <si>
    <t xml:space="preserve">​Durante el tercer trimestre de 2025 se efectuó la actualización de 15 de las 22 medidas programadas para el periodo. Es preciso señalar que durante el periodo 11 entidades se encuentran bajo medida especial. Sin embargo, el alto volumen de requerimientos recibidos durante el trimestre, derivados de la orden impartida por la Corte Constitucional en relación con la EPS Sanitas, así como las condiciones administrativas y financieras de la Nueva EPS, generaron múltiples solicitudes de control político por parte del Congreso de la República y requerimientos adicionales de los entes de control. Esta situación superó la capacidad operativa de la Dirección de Medidas Especiales, situación que se vio agravada por la rotación de personal como resultado del concurso de méritos
</t>
  </si>
  <si>
    <t>https://supersalud-my.sharepoint.com/:f:/g/personal/sulma_cabanilla_supersalud_gov_co/ErnECNtIWCROhOI9q8oZ244B-wFa8jbhJTu4lCLw2XV4lQ?e=vYH2HA</t>
  </si>
  <si>
    <t xml:space="preserve">​En el tercer trimestre del 2025, la Dirección de conciliación programó y surtió un total de audiencias de conciliación extrajudiciales en Derecho 2.464, de las cuales 670 se atendieron en Sede Bogotá de manera virtual, como resultado del reparto ordinario, aplazamientos, reprogramaciones y/o suspensiones y 1.794 en el desarrollo de 4 jornadas de conciliación adelantadas en territorio
</t>
  </si>
  <si>
    <t xml:space="preserve">​Se realizó PLAN DE CHOQUE en aras de optimizar el recuerso humano del area para dar cumplimiento a la alta demanda de denuncias relacionadas con Glosas en salud , de los diferentes actores del SGSSS.y esto hizo que se superara satisfactoriamente la meta establecida ya que estas circustancias son de causa subita e imprevista. 
</t>
  </si>
  <si>
    <t xml:space="preserve">​Se cumplió la meta establecida a pesar de la llegada de funcionarios nuevos de la CNSC a la Delegada, estos fueron muy receptivos y se les realizo la INDUCCION - CAPACITACION de la DFJC en temas especificos de sus actividades o  funciones y con ellos se hizo TUTORIA permanente por parte de los Directores, compañeros y el Delegado y asi cumplir con la meta a pesar del alto volumen de demandas por reconocimiento economico en salud.
</t>
  </si>
  <si>
    <t xml:space="preserve">​Durante los meses de Mayo, Junio, Julio y Agosto se realizaron de total 14 auditorías en entidades territoriales como Magdalena, Cesar, Bolivar, Caldas, Boyacá, Antioquia y Chocó y a algunos generadores de recursos en el departamento del Cauca. Se registran las evidencias en carpetas por cada mes en el enlace del Sharepoint de la DETGRARSGSSS.
</t>
  </si>
  <si>
    <t>https://supersalud.sharepoint.com/:f:/s/DelegadaparaETyGRARdelSGSSS/El4PC6EEB8xOvz5IjcntxlMBZYyt6UDTHF0ZuR0qkOlTXA?e=yjsjUX</t>
  </si>
  <si>
    <t xml:space="preserve">​En el primer semestre se pudieron presentar algunos errores en el reporte; por tal motivo, se están realizando reportes adicionales para contrarrestar esto.  
Frente al avance en este indicador, se realizaron 17 seguimientos a auditorias entre las que se encuentran las realizadas a los  municipios de Riohacha, Manaure, Uribia, Maicao, deparatamento de La Guajira y Seguimiento del segundo (2) avance Plan de Mejoramiento Empresa Industrial y Comercial del Estado Administradora del Monopolio Rentístico de los Juegos de Suerte y Azar - COLJUEGOS . En la carpeta de evidencias se encuentran las actas e informes de los seguimientos realizados.
</t>
  </si>
  <si>
    <t>https://supersalud.sharepoint.com/:f:/s/DelegadaparaETyGRARdelSGSSS/EuIoi4wHnvNLq6eqzZNhi-gBx3Ng7XM83dUacONTjGgV9w?e=mFUW5L</t>
  </si>
  <si>
    <t>https://supersalud.sharepoint.com/:f:/s/DelegadaparaETyGRARdelSGSSS/EurDxGSB_x5NiyLlR_sJgFABfmZt6bWTkR17uxdv63L_UQ?e=AHmamH</t>
  </si>
  <si>
    <t>https://supersalud.sharepoint.com/:f:/s/DelegadaparaETyGRARdelSGSSS/EojJpxmdEEdPljAtknDnticBpbIJR1tBaDYpiWbXLDXfMA?e=bf3nkn</t>
  </si>
  <si>
    <t>https://supersalud.sharepoint.com/:f:/s/DelegadaparaETyGRARdelSGSSS/EgKBZWEt-7JBrLuiwl37INwBqLgeQcp5ennGqacQfy5KqQ?e=QKuFVq</t>
  </si>
  <si>
    <t>https://supersalud.sharepoint.com/:f:/s/DelegadaparaETyGRARdelSGSSS/Ek8bs6ej9xlGjvO-j3OZ7A8Bi8B9L0QZ_S0bC62sNOPJQg?e=VwICTX</t>
  </si>
  <si>
    <t>https://supersalud.sharepoint.com/:f:/s/DelegadaparaETyGRARdelSGSSS/Ei9sXW97yXhLoT_q41vnL8MBXKlsSEwZCowcHxKtmXmOuw?e=a7oqfK</t>
  </si>
  <si>
    <t>https://supersalud.sharepoint.com/:f:/s/DelegadaparaETyGRARdelSGSSS/EsrA_MEkCJVBtqPRCbkJZrEBMjgxHuQLfxUsYJDhNNkvfg?e=JD9Ys8</t>
  </si>
  <si>
    <t xml:space="preserve">Para el periodo de seguimiento se programaron impactar 50 nuevos territorios y se logró llegar a 50, lo cual evidencia un cumplimiento del 100% de los territorios programados para el periodo, así:              DR Andina: Acción Inspectiva con prestadores en Ituango, y Mesa convocada por terceros en Santuario Risaralda.
DR Orinoquía:En total fueron impactados 3 nuevos territorios. 1. Mesa IV en cumaribo -  VIchada el 13 y 14 de agosto de 2025. 2. Mesa IV en San Carlos de Guaroa - Meta el 28 de julio de 2025. 3. Mesa IV en San Martin de los Llanos - Meta el 30 de Julio de 2025.
DR Occidental: Se realizaron un total de ocho (8) acciones de inspección y vigilancia en nuevos territorios, tres (3) en el departamento del Cauca, en los municipios de Puerto Tejada (vigías en el territorio referencia y contrarreferencia y a gestor farmacéutico); Villa Rica  (vigías en el territorio referencia y contrarreferencia y a gestor farmacéutico); Caloto (mesa de IV tosferina) y en el Valle del Cauca cinco (5) acciones, Tuluá (vigías en el territorio referencia y contrarreferencia); Palmira (vigías en el territorio referencia y contrarreferencia y a gestor farmacéutico); Candelaria (vigías en el territorio referencia y contrarreferencia y a gestor farmacéutico); Yumbo (vigías en el territorio referencia y contrarreferencia y a gestor farmacéutico) y Guadalajara de Buga vigías en el territorio (referencia y contrarreferencia y a gestor farmacéutico). 
DR Sur: En total fueron 4 territorios nuevos atendidos con: Mesa IV - San Vicente del Caguán - Caquetá, Mesa de Gobernanza - San Miguel y Orito - Putumayo, Apoyo a DPU en jornada de atención al usuario - Ataco - Tolima. 
DR Norte: N/A
DR Nororiental: 4 nuevos territorios  (2 Mesa IV de Gámeza e Iza), (1 Mesa Consejo Municipal Moniquirá), (2 Vigías de la Salud en Málaga y Socorro), (1 LVR en San Vicente de Chucurí)
DR Chocó: 9 acciones entre las cuales mesas IV, REFERENCIA Y CONTRAREFERENCIA
DR Caribe: 1 Mesa IV - Bosconia - Cesar,  5 Mesas de Gobernanza:  Cesar:  2:   Becerril, Talamemeque, Magdalena:  3 Salamina, Puebloviejo, La Guajira: 1:  Fonseca. 1 AIT - Santa Ana Magdalena. Proceso de referencia y contrareferencia.  5, LVR Gestores Farmaceuticos: 4
Sede Agualongo: En la sede Agualongo se realizaron cuatro (4) mesas de Inspección y Vigilancia en los municipios de Magui Payan, Barbacoas, Sandoná y Tuquerres.
</t>
  </si>
  <si>
    <t>https://supersalud.sharepoint.com/:f:/s/DelegadaparaETyGRARdelSGSSS/EvmNn6T_KWRAvI00MTp80CMBgxN6tNPdGGG-1srx6UmPlg?e=g04KEl</t>
  </si>
  <si>
    <t>https://supersalud.sharepoint.com/:f:/s/DelegadaparaETyGRARdelSGSSS/En4HWnxwmtJGtu6JqAWFzewBImzojep3z2V8efFW_kvI4w?e=zcUXOl</t>
  </si>
  <si>
    <t>https://supersalud.sharepoint.com/:f:/s/DelegadaparaETyGRARdelSGSSS/EjK4KzNMwFZDtfHAXYnVVM8BzQe2TxP_jrhTX_7-hInAtg?e=FaYAHE</t>
  </si>
  <si>
    <t xml:space="preserve">​Durante el periodo de reporte se efectuaron 5 seguimientos a las Direcciones Regionales Andina, Choco, Norte, Caribe y Sede Insular, de los cuales se tienen los informes correspondientes al tercer seguimiento/ Estrategia Plan Padrino. DDebido al cambio de personal no se alcanzó la meta programada y se realizarán en el último trimestre para dar cumplimiento a la meta programada.
</t>
  </si>
  <si>
    <t>https://supersalud.sharepoint.com/:f:/s/DelegadaparaETyGRARdelSGSSS/EqEDv_aX1pVLg4eIDY-BWloBeC7zWLuTvzKiETaqxl1HWA?e=tBs4YE</t>
  </si>
  <si>
    <t>https://supersalud.sharepoint.com/:f:/s/DelegadaparaETyGRARdelSGSSS/Eh2qjut6-i5Ilnp7PKU7ORwBLOUOkbkbEaZet8g_OL_XfA?e=10fBvu</t>
  </si>
  <si>
    <t xml:space="preserve">Entre JULIO y SEPTIEMBRE 2025 se han realizado 4 diálogos en donde se han recibido 102 reclamos en salud de los cuales a todos 100% se les ha realizado seguimiento, pero de estos se han cerrado 85 (83%) y permanecen abiertos 102 reclamos a pesar del seguimeinto realizado.
</t>
  </si>
  <si>
    <t>https://acortar.link/Vs1IbE</t>
  </si>
  <si>
    <t>https://acortar.link/i9TuBG</t>
  </si>
  <si>
    <t>https://shre.ink/SUlc</t>
  </si>
  <si>
    <t>https://shre.ink/SUaF</t>
  </si>
  <si>
    <t>https://shre.ink/SUad</t>
  </si>
  <si>
    <t xml:space="preserve">​Entre julio a septiembre se radicaron y trasladaron al responsable del aseguramiento a travez de una orden de inmediato y obligatorio cumplimiento 504.428 reclamos en salud recibidos por multicanal (escrito, web, telefonico, chat y redes sociales)
</t>
  </si>
  <si>
    <t>https://shre.ink/SUcJ</t>
  </si>
  <si>
    <t xml:space="preserve">​Entre julio a septiembre se radicaron y trasladaron al responsable del aseguramiento a travez de una orden de inmediato y obligatorio cumplimiento 93.348 reclamos en salud recibidos por el canal presencial
</t>
  </si>
  <si>
    <t>https://shre.ink/SUcj</t>
  </si>
  <si>
    <t xml:space="preserve">​Se cumple con la programación de la actividad, dado que se realiza auditoría al gestor farmacéutico CAJA COLOMBIANA DE SUBSIDIO FAMILIAR COLSUBSIDIO ordenada mediante Auto No  2025600010000909-7 el día 14 de julio de 2025
</t>
  </si>
  <si>
    <t xml:space="preserve">​Se cumple con la programación de la actividad dado que se realizan actividades de socialización, asistencia técnica, mesas de trabajo o acompañamiento a los actores del SGSSS, en la regional Nororiental, departamento de Santander (Disfarma, Pharmasan, Colsubsidio, Discolmets, Foscal y Cafam) con las EPS, los días 03 y 04 de julio de 2025.
</t>
  </si>
  <si>
    <t xml:space="preserve">​​Se cumple con la programación de la actividad dado que se realizan actividades de IVC al gestor farmacéutico CAJA COLOMBIANA DE SUBSIDIO FAMILIAR - COLSUBSIDIO objeto de supervisión en el marco del proceso de operación inicial de la Supervisión Basada en Riesgos.
</t>
  </si>
  <si>
    <t xml:space="preserve">​​Se cumple con la programación dado que se realizan actividades de socialización, asistencia técnica, mesas de trabajo o acompañamiento a los actores del SGSSS, en la Regional Orinoquia, Gestores Farmacéuticos con las EPS, los días 21 y 22 de agosto de 2025.
</t>
  </si>
  <si>
    <t xml:space="preserve">​​Se cumple con la programación de las actividades de acompañamiento a las Direcicones Regionales dado que se realizan actividades de IVC a los Gestores  DISCOLMETS y DISFARMA 
</t>
  </si>
  <si>
    <t xml:space="preserve">​​Se cumple con la programación de la actividad, dado que se realiza auditoría al Gestor Farmacéutico DISCOLMETS ordenada mediante Auto No  2025600020001212-7 del 26 de agosto de 2025
</t>
  </si>
  <si>
    <t xml:space="preserve">​Debido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
</t>
  </si>
  <si>
    <t xml:space="preserve">​​Debido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
</t>
  </si>
  <si>
    <t xml:space="preserve">​ Se cumple con la programación dado que se realizan actividades de socialización y acompañamiento a los actores del SGSSS, en el marco de RELACIONAMIENTO CON LA  CIUDADANÍA Y GRUPOS DE VALOR, en la Regional Andina, con los usuarios en salud, líderes de control social, entidades Territoriales y Empresas Promotoras de Salud EPS, los días 18 y 19 de septiembre de 2025
</t>
  </si>
  <si>
    <t xml:space="preserve">​​Se cumple con la programación de las actividades de acompañamiento a las Direcicones Regionales dado que se realizan actividades de IVC a los Gestores  ETICOS y LOGIFARMA 
</t>
  </si>
  <si>
    <t xml:space="preserve">​​Se cumple con la programación de la actividad, dado que se realiza auditoría al Gestor Farmacéutico MENNAR SAS ordenada mediante Auto No  2025600020001375-7 del 18 de septiembre de 2025
</t>
  </si>
  <si>
    <t>Número de actividades ejecutadas para realizar la convocatoria que permita fortalecer y actualizar el registro de agentes Liquidadores, Interventores y Contralores - RILCO</t>
  </si>
  <si>
    <t xml:space="preserve">​ El proyecto Rilco para el 2025 tiene la particularidad que se contrató un tercero externo la Universidad Nacional de Colombia y que se encargará de adelantaran todas las fases del proceso. Anteriormente la Universidad Nacional solo se encargaba de la prueba de conocimiento. El acta de inicio se firmó el 1 de mayo. Una I fase es la Verificación de Requisitos Mínimos- VRM durante el periodo de mayo a junio y se inició con el proceso y divulgación de la inscripción de los participantes a la convocatoria en la pagina web de la supersalud.
</t>
  </si>
  <si>
    <t>https://supersalud-my.sharepoint.com/:f:/g/personal/gerson_ruiz_supersalud_gov_co/EglE87_nJIxMpkziUJBO7OcB-JAmPt9yeJPuubguoayBXA?e=hEh6VL</t>
  </si>
  <si>
    <t>https://supersalud.sharepoint.com/:f:/s/SUBDIRECCINMETODOLOGASEINSTRUMENTOSDESUPERVISN/EglopBcDrJtNgxXCB4uzbnkBbAbOtVET1JXu5eYKwcYTaQ?e=PfQ6RT</t>
  </si>
  <si>
    <t>se realizaron dos socializaciones en la ciudades de Pasto y Cali, en la cuales se aboradron los temas de Marco Integral de Supervisión y SIARC respectivamente</t>
  </si>
  <si>
    <t>https://supersalud.sharepoint.com/:f:/s/SUBDIRECCINMETODOLOGASEINSTRUMENTOSDESUPERVISN/EqTFlhhZP9xEuochazsuHTUBLZNQ1SaPNmAt_WmmYA-u8A?e=olg24w</t>
  </si>
  <si>
    <t>https://supersalud-my.sharepoint.com/:f:/g/personal/gerson_ruiz_supersalud_gov_co/EhcBfX-7QRRKr-jzYJLM1xsBjzvCZOHarFk4knFtNx6x8g?e=TfEYh3</t>
  </si>
  <si>
    <t>Número de actividades ejecutadas para la implementación del Programa de Gestión del Conocimiento / Número de actividades definidas para la implementación en la vigencia 2025 Programa de Gestión del Conocimiento *100</t>
  </si>
  <si>
    <t xml:space="preserve">​Para la implementación del Programa de Gestión del Conocimiento, se avanzó en el envío a la Oficina Asesora de Planeación de una serie de documentos para formalizar este proceso. En el correo adjunto se puede evidenciar las solicitudes y documentos anexados.
</t>
  </si>
  <si>
    <t xml:space="preserve">​La jornada de aplicación de pruebas de personalidad se llevó a cabo el día domingo 10 de agosto de 2025 en el campus de la Universidad Nacional de Colombia, sede Bogotá - Edificio 212 Aulas de Ciencias Humanas. Para su cumplimiento y realización, se garantizó desde la dirección del proyecto, en conjunto con la Unidad Administrativa de la Facultad de Ciencias Humanas, en primer lugar contar con espacios adecuados y de fácil acceso para cada uno de los aspirantes citados a esta jornada, así mismo, que estos brindaran rutas de fácil evacuación, aulas con suficiente ventilación cruzada y óptima iluminación.
</t>
  </si>
  <si>
    <t xml:space="preserve">​Se cumple con el desarrollo de una mesa de trabajo para la implementación y sostenibilidad de la política de gestión y desempeño de Mejora Normativa de una actividad programada dentro del cronograma para el  mes de agosto de 2025, mesa que se adelantó conjuntamente con el grupo de conceptos de la Dirección Jurídica y la Dirección de Innovación y Desarrollo con el objeto de revisar propuesta del manual de mejora normativa y aclarar competencias frente al proceso.
</t>
  </si>
  <si>
    <t xml:space="preserve">​Se ejecutaron las 6 actividades programadas para el mes de septiembre conforme al cronograma de implementación y sostenibilidad de la Política de Mejora Normativa.  Con estas actividades se busca la expedición del Manual de mejor Normativa y demás compromisos adquiridos en la implementación y sostenibilidad de la política de mejora normativa.
</t>
  </si>
  <si>
    <t xml:space="preserve">​En el tercer trimestre del año 2025, se recibieron en total 123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Respecto a los 123 asuntos de demandas recibidos , se notificaron 31 autos admisorios de la demanda de los cuales fueron contestadas 22 demandas y recursos de insistencia, se encuentran en proyecto 8 contestaciones de demanda y 1 admisorio de la demanda se encuentra en recurso de apelación, y 90 asuntos judiciales están en trámite de proyección por no haberse notificado a la fecha el auto admisorio de estas demandas, 1 asunto judicial con rechazo de la demanda y en 1 asunto judicial no hace parte la SNS; en conclusión se tiene un total de 123  procesos judiciales y un cumplimiento del 100% respecto de las demandas notificadas y contestadas dentro del término legal.
</t>
  </si>
  <si>
    <t xml:space="preserve">​En el tercer trimestre del año 2025, se recibieron 39 solicitudes de conciliación extrajudicial; de las cuales 36 fueron presentadas y decididas por el Comité de Conciliación, 2 no cumplen con los requisitos de ley establecidos para su presentación, y en 1 solicitud de conciliación la SNS no es parte; para un total de 39 solicitudes, cumpliéndose este indicador en un 100%.
</t>
  </si>
  <si>
    <t xml:space="preserve">​Bajo este informe digital, se puede observar el ranking de las paginas institucionales más visitadas, detalle de la participación mesual por parte de los internautas, aumento de consulta por temas publicados, entre otros.
</t>
  </si>
  <si>
    <t>https://supersalud.sharepoint.com/:x:/t/OFICINAASESORADECOMUNICACIONESESTRATEGICASEIMAGENINSTITUCIONAL/ERKxzRtGj9xNhAOfsi1_OMQB7hQ24sX4ntUH1gLkFqn1Pg?e=TDS50w</t>
  </si>
  <si>
    <t xml:space="preserve">​Reporte del seguimiento a través de la herramienta metodológica del comportamiento de los canales digitales de la entidad.
</t>
  </si>
  <si>
    <t>https://supersalud.sharepoint.com/:x:/t/OFICINAASESORADECOMUNICACIONESESTRATEGICASEIMAGENINSTITUCIONAL/Ebec3yhrrs1EnaMRJds5pEEBkiUcsmFYkS4KLXU4y0XVgg?e=5b59aM</t>
  </si>
  <si>
    <t>La campaña Supersalud en las regiones se consolido durante el mes de agosto como una de las estrategias institucionales para acercar la gestión de la Supersalud a los territorios. A través de 30 publicaciones en la red social Twitter (x) se logró un alcance superior a las 45 mil impresiones.</t>
  </si>
  <si>
    <t xml:space="preserve">El informe presenta un resultado positivo al señalar que el indicador alcanza un cumplimiento del 100%, lo cual refleja la ejecución total de la meta propuesta. La referencia al archivo INF-GESTION-DIGITAL-SEP2025.xlsx aporta soporte documental y evidencia cuantitativa del logro alcanzado, permitiendo la trazabilidad del cumplimiento.
Asimismo, se destaca el aumento de seguidores e interacción en las redes sociales institucionales, lo que puede interpretarse como un crecimiento en el alcance, la visibilidad y el posicionamiento digital de la entidad. Este comportamiento sugiere una efectiva implementación de las estrategias de comunicación digital, coherente con los objetivos misionales de transparencia, participación y cercanía con la ciudadanía.
</t>
  </si>
  <si>
    <t>Audiencia Pública de Rendición de Cuentas</t>
  </si>
  <si>
    <t xml:space="preserve">En cumplimiento de las disposiciones establecidas en la Ley 489 de 1998, el Decreto 1081 de 2015 y la Directiva Presidencial 02 de 2022 sobre rendición de cuentas a la ciudadanía, la Superintendencia Nacional de Salud, a través de la Oficina Asesora de Comunicaciones Estratégicas e Imagen Institucional, adelanta el proceso de planeación, producción y difusión de la Audiencia Pública de Rendición de Cuentas correspondiente a la vigencia julio 2024 – junio 2025.
El presente informe consolida los avances en la fase de preparación y divulgación del proceso institucional, destacando las acciones ejecutadas, los productos elaborados y las estrategias implementadas para garantizar la participación ciudadana y la transparencia en la gestión de la Entidad.
</t>
  </si>
  <si>
    <t xml:space="preserve">​En el periodo reportado correspondiente al segundo trimestre de 2025,  se ejecutó el (98%), dando cumplimiento del (100%) frente a la meta programada, se reportaron 134 indicadores del PAG y 34 del PEI, este resultado se debe a las acciones realizadas durante el periodo teniendo en cuenta las necesidades y observaciones  de cada dependecia, se recomienda seguir fortaleciendo los canales de comunicación y el acompañamiento personalizado.
</t>
  </si>
  <si>
    <t>Liderar el cumplimiento de los requisitos del Índice Transparencia y Acceso a la información pública - ITA</t>
  </si>
  <si>
    <t>Indice de Transparencia - ITA.</t>
  </si>
  <si>
    <t>Resultado ITA medido por la Procuraduria General de la Nación</t>
  </si>
  <si>
    <t xml:space="preserve">En el marco de la actividad "Liderar el cumplimiento de los requisitos del Índice de Transparencia y Acceso a la Información Pública – ITA", se logró el cumplimiento total de la meta, obteniendo un resultado de 100 puntos sobre 100 tanto en el reporte de autodiagnóstico como en la auditoría realizada por la Procuraduría General de la Nación. Este resultado evidencia el cumplimiento integral de los criterios evaluados por el índice.
De acuerdo con lo anterior, el indicador se ubica en el rango de "Bueno", con una tendencia ascendente respecto a la línea base de 97 puntos obtenida en la medición de la vigencia anterior. Esto evidencia una mejora sostenida en las acciones implementadas para garantizar el cumplimiento del ITA.
Acciones desarrolladas durante la vigencia:Cierre de brechas identificadas en el Anexo 2, con la participación de la Dirección de Innovación y Desarrollo, la Subdirección de Tecnologías de la Información, la Delegada para la Protección al Usuario y la Oficina de Comunicaciones.Coordinación del proceso de autodiagnóstico.Seguimiento a los requisitos del ITA.Articulación con las áreas responsables de la publicación de información.Revisión y fortalecimiento de los canales institucionales.Atención directa para resolver observaciones y asegurar el cumplimiento.
</t>
  </si>
  <si>
    <t xml:space="preserve">Porcentaje de cumplimiento de los recursos de inversión.
</t>
  </si>
  <si>
    <t>https://supersalud.sharepoint.com/sites/SIG/Lists/Formalizacion%20documental/AllItems.aspx</t>
  </si>
  <si>
    <t>Durante el mes de Julio, se gestionaron  211 cuentas que fueron radicadas en los tiempos estipulados de acuerdo con la Circular Interna 2022920020000026-4 de 2022,asi mismo, los documentos radicados despues del dia 25 calendario se tramitaron en el siguiente mes. Por lo cual, se cumplió con la meta del indicador del 100%, (211/211) habiendo gestionado la totalidad de las cuentas radicadas con un tiempo de gestión de 2,5 dias hábiles. Se adjunta base con relación de cuentas radicadas y gestionadas, asi como el reporte del indicador con la correspondiente gráfica.</t>
  </si>
  <si>
    <t xml:space="preserve">​Durante el mes de Agosto, se gestionaron  203 cuentas que fueron radicadas en los tiempos estipulados de acuerdo con la Circular Interna 2022920020000026-4 de 2022,asi mismo, los documentos radicados despues del dia 25 calendario se tramitaron en el siguiente mes. Por lo cual, se cumplió con la meta del indicador del 100%, (203/203) habiendo gestionado la totalidad de las cuentas radicadas con un tiempo de gestión de 1,2 dias hábiles. Se adjunta base con relación de cuentas radicadas y gestionadas, asi como el reporte del indicador con la correspondiente gráfica.
</t>
  </si>
  <si>
    <t xml:space="preserve">Desde el grupo de cobro persuasivo y jurisdiccion coactiva, durante el segundo cuatrimestre del año 2025, se recibieron 10 facilidades de pago y 15 excepciones a mandamiento de pago, todas estas solicitudes cumplían con las condiciones necesarias para iniciar el trámite correspondiente, por lo cual,  el total de las 25 solicitudes fueron atendidas dentro del plazo legal, alcanzando así un cumplimiento del 100% del indicador. Se adjunta anexo soporte.
</t>
  </si>
  <si>
    <t>​Durante el segundo cuatrimestre de la vigencia 2025, se logró la conciliación de cartera con 15 entidades sin proceso concursal, enlistadas a continuación: E.S.E. Centro de Salud Samuel Villanueva Valest - El Banco; Riosucio – Chocó; La Unión – Antioquia; E.S.E. Centro de Salud Con Camas – Córdoba; Nunchía; Villanueva – Santander; E.S.E. Hospital de Hatillo de Loba – Bolívar; E.S.E. Centro 1 - Piendamó; Pinchote; E.S.E. Hospital Felipe Arbeláez – Alejandría; E.S.E. Centro de Salud Señor del Mar; E.S.E. Hospital Local de Malambo; E.S.E. Hospital San Pedro del Piñón; SAN PABLO ANGEL S.A.S; DENTALIST S.A.S. Logrando cumplir la meta del indicador del 100%. Se anexan soportes.</t>
  </si>
  <si>
    <t xml:space="preserve">Durante el segundo cuatrimestre (Mayo-Agosto) de 2025 la Oficina de Control Disciplinario realizo tres (3) capacitaciones o charlas en materia disciplinaria, con las siguientes temáticas y participantes: 1) 28 y 29 de mayo de 2025 (Derechos y Deberes Servidores Públicos; División Roles – Funciones OCDI) - Dirección Regional Andina – 20 participantes (Presencial); 2) 29/07/2005 (Charla informativa entrega puesto de trabajo – responsabilidades y consecuencias) – 335 participantes (Virtual).
Así mismo, la OCDI participo en seis (6) jornadas de inducción dirigida a los nuevos funcionarios vinculados, por concurso de méritos a la Superintendencia, cuya temática abarca (Generalidades del Proceso Disciplinario; División de Roles (Instrucción y Juzgamiento); Etapas del proceso; Derechos; Deberes; Prohibiciones; Modalidades de conducta y formas de culpabilidad; etc.) – Realizadas: Presencial: 11,16 y 24 de Julio y 11 de agosto de 2025 (277 participantes); Virtual:  30 de julio y 20 de agosto de 2025 (243 participantes) - Total participantes = 855 funcionarios.                         MayoJulioAgosto
Total, participantes: 20 (Presencial)
1) Realizada: 28 y 29 de mayo de 2025 – Dirección Regional Andina (Derechos y Deberes Servidores Públicos; División Roles – Funciones OCDI)
Total, participantes:533
Jornadas de Inducción Realizadas:
1) 11/07/2025 (Presencial) 66
2) 16/07/2025: (Presencial) 74
3) 24/07/2025: (Presencial) 57
4) 30/07/2025 (Virtual) 41
5) Charla Informativa Entrega Puesto de Trabajo - (Virtual) Realizada el 29/07/2025: 335
Total, participantes: 282
Jornadas de Inducción:
1) 11/08/2025: (Presencial) 80
2) 20/08/2025: (Virtual) 202
Adicionalmente, la oficina ha tenido publicación de una nota en la edición No. 141 del Superboletín - julio de 2025
</t>
  </si>
  <si>
    <t>https://supersalud.sharepoint.com/:f:/r/sites/luisalberto/Documentos%20compartidos/Gesti%C3%B3n_OCDI_2025/Indicadores_PAG_2025/AC04_Funci%C3%B3n_Preventiva/II_Cuatrimestre_2025?csf=1&amp;web=1&amp;e=geiI2F</t>
  </si>
  <si>
    <t xml:space="preserve">De las (63) noticias disciplinarias (Quejas, informe de servidor público o de oficio) recibidas en el cuarto bimestre de 2025 (Julio - Agosto), se adelantaron las siguientes actuaciones: 32 (50,7%) Aperturas de Indagación Previa; 16 (25,4%) Autos Inhibitorios; 14 (22,2%) Aperturas de Investigación Disciplinaria y 1 (1,5%) Traslados por competencia, profiriendo igual número de autos por el Coordinador del Grupo de Instrucción Disciplinaria en el periodo:Tipo Noticia/ AutoInforme de Servidor PúblicoQuejaTotal, Noticias IV Bimestre 2025Auto de Indagación Previa211132Auto Inhibitorio 1616Auto Apertura de Investigación14 14Auto Traslado por Competencia1 1IV Bimestre 2025, Total362763
</t>
  </si>
  <si>
    <t>https://supersalud.sharepoint.com/:f:/r/sites/luisalberto/Documentos%20compartidos/Gesti%C3%B3n_OCDI_2025/Indicadores_PAG_2025/AC05_Noticias_Disciplinarias/IV%20Bimestre_2025?csf=1&amp;web=1&amp;e=rYwmGi</t>
  </si>
  <si>
    <t xml:space="preserve">​Durante el tercer trimestre de 2025, la Superintendencia Nacional de Salud realizó seguimiento a la ejecución del Plan Anual de Adquisiciones, alcanzando un avance del 61,53% en inversión y 52,10% en funcionamiento. Se publicaron 20 versiones del PAA en SECOP II, con múltiples actualizaciones derivadas de solicitudes de las dependencias. Al corte de 30 septiembre, se habían programado 389 líneas y quedaban 06 procesos contractuales pendientes por radicar.
</t>
  </si>
  <si>
    <t xml:space="preserve">La Dirección de Talento Humano informa que, durante el tercer trimestre del año, se tenía programada una actividad en el Plan Institucional de Capacitación, la cual fue ejecutada. Esto representa un avance del 100% respecto a la meta establecida para el periodo.
</t>
  </si>
  <si>
    <t xml:space="preserve">​La Dirección de Talento Humano informa que, durante el tercer trimestre del año, se tenían programadas once actividades en el Plan Institucional de Capacitación, las cuales fueron ejecutadas. Esto representa un avance del 100% respecto a la meta establecida para el periodo.
</t>
  </si>
  <si>
    <t xml:space="preserve">​La Dirección de Talento Humano informa que, durante el tercer trimestre del año, se tenían programadas once actividades en el Plan Estrataegico de Talento Humano, las cuales fueron ejecutadas. Esto representa un avance del 100% respecto a la meta establecida para el periodo.
</t>
  </si>
  <si>
    <t xml:space="preserve">​En el trimestre se mantuvieron los siguientes valores en cantidades base (Denominador) Julio 56.222, Agosto 44.397 y Septiembre 53.070, para un total de153.689 con los correspondientes hallazgos: julio: 1471, Agosto: 71, Septiembre 703, estos representan un 1.47% del total procesado, sin embargo se generó un plan de calidad basado en el análisis de los hallazgos, el cual se aplicará en el tercer trimestre con el objetivo de mitigar la cantidad de hallazgos. Se aclara que los valores son calculados sobre validación de una muestra y cuyos resultados son proyectados al total del universo. Cumplimiento final 98.54%
</t>
  </si>
  <si>
    <t xml:space="preserve">En el trimestre se mantuvieron los siguientes valores en cantidades base (Denominador) Julio 56.222, Agosto 44.397 y Septiembre 53.070, para un total de 153.689 con los correspondientes hallazgos: julio: 17, Agosto: 6, Septiembre 16, estos representan un 0.03% del total procesado, sin embargo se realizó el análisis de los hallazgos, y se elaborará un plan de calidad específico, el cual se aplicará en el tercer trimestre con el objetivo de mitigar la cantidad de hallazgos. Se evidencia cumplimiento final de 99.97%
</t>
  </si>
  <si>
    <t xml:space="preserve">​Para el trimestre reportado (Julio a Septiembre de 2025) se publicaron a través de los canales oficiales de Supersalud 3 piezas de comunicación con temáticas propias de los procesos del Grupo Interno de Trabajo de Correspondencia, los cuales mostraron un impacto positivo. Cumplimiento final 100%
</t>
  </si>
  <si>
    <t xml:space="preserve">​Observamos que, para el tercer trimestre de 2025, el Indicador DI28 Nivel de madurez de acuerdo con la matriz de cumplimiento del MGDA, alcanzó un cumplimiento satisfactorio del 100% con la ejecución de 13 actividades, llegando a un avance consolidado del 77%, con un total acumulado de 40 actividades cumplidas. Las actividades desarrolladas han contribuido al fortalecimiento en el desarrollo de la política de gestión documental y en el incremento de la aplicación de los componentes del Modelo de Gestión Documental y Administración de Archivos, alineándolos con el Ciclo Vital del Documento.
</t>
  </si>
  <si>
    <t>https://n9.cl/zpzbh</t>
  </si>
  <si>
    <t xml:space="preserve">​Durante el mes de Septiembre, se gestionaron  436 cuentas que fueron radicadas en los tiempos estipulados de acuerdo con la Circular Interna 2022920020000026-4 de 2022,asi mismo, los documentos radicados despues del dia 25 calendario se tramitaron en el siguiente mes. Por lo cual, se cumplió con la meta del indicador del 100%, (436/436) habiendo gestionado la totalidad de las cuentas radicadas con un tiempo de gestión de 1,9 dias hábiles. Se adjunta base con relación de cuentas radicadas y gestionadas, asi como el reporte del indicador con la correspondiente gráfica.
</t>
  </si>
  <si>
    <t xml:space="preserve">Al corte del 30 de Septiembre de 2025 en la entidad se expidieron 9640 resoluciones las cuales ingresaron en su totalidad al Grupo de Gestión de Notificaciones y Comunicaciones, de las cuales 1325 fueron Expedidas por el Grupo de Contribución y Apoyo Técnico a finales de mes y estas deben ser corregidas por la dependencia que las expidió por lo cual no se han gestionado, de los demás Actos administrativos se gestionaron 8246, dejando en trámite 69 actos administrativos en su gran mayoría expedidos en los últimos días del mes y los cuales por distintos tramites se encuentra en gestión al corte del mes de este reporte.
</t>
  </si>
  <si>
    <t>Valor de recaudo de cartera en el  periodo de seguimiento</t>
  </si>
  <si>
    <t>Valor total de la cartera clasificada como cobrable
  con corte al cierre de la vigencia anterior * 0,2)) *100</t>
  </si>
  <si>
    <t>100%(12)</t>
  </si>
  <si>
    <t xml:space="preserve">​Se realizaron 21 asistencias al desarrollo de mesas de saneamiento de cartera de Circular Conjunta 030 de 2013, con un sobrecumplimiento d ela meta establecidapara el periodo, debido a requerimientos del ente territorial, en los siguientes Entes Territoriales: Amazonas, Atlántico, Barranquilla, Bogotá, Bolívar, Boyacá, Cali, Cartagena, Caquetá, Cauca, Choco, Guainía, Magdalena, Nariño, Norte de Santander, Santander, Putumayo, Quindío, San Andrés, Sucre y Valle del Cauca. Estas asistencias se soportan a través de informes de resultados del ejercicio de acompañamiento. se realiza 1 mas por necesidad de realizar la actividad en otro territorio
</t>
  </si>
  <si>
    <t>https://supersalud.sharepoint.com/:f:/r/GEGATI/Documentos%20compartidos/2025/2025/GOBIERNO%20DIGITAL/Informes_PAG/Trimestre_3_2025/DI07?csf=1&amp;web=1&amp;e=RikM5j</t>
  </si>
  <si>
    <t>https://supersalud.sharepoint.com/:f:/g/GEGATI/Es3o0xjw9IZCo98y9K_dh3EBDWComJfScNd5hJ3Ls4_sBQ?e=mjfXSf</t>
  </si>
  <si>
    <t>https://supersalud.sharepoint.com/:f:/g/GEGATI/EijnG5J1nPFDiZUMFvtaHSQBZ5yCPl6A2JK5tVRJETVDSw?e=Wg6swU</t>
  </si>
  <si>
    <t xml:space="preserve">​En el marco de la estrategia de caracterización de grupos de interés y de valor, se presentan los avances correspondientes al periodo establecido. Dichos avances reflejan el cumplimiento de la meta parcial programada para esta fase del proceso.
</t>
  </si>
  <si>
    <t xml:space="preserve">​Se han realizado una publicación de boletin jurídicos en el normograma de la entidad que corresponde a primer  trimestre del presente año.  Con la publicación de los boletines se busca que los usuarios del SGSSS externos e internos cuenten con una herramienta de fácil consulta sobre los diferentes temas de competencia de la Superintendencia Nacional de Salud.
</t>
  </si>
  <si>
    <t>El plan de cierre de brechas contempla un total de 92 acciones, si bien se tenía previsto un 30% de avance para septiembre, se realizó un reajuste en el plan de trabajo que se remite a las áreas desde agosto el cual obtuvo respuesta hasta el mes de septiembre, con el subsecuente ajuste de fechas, por lo que no se pudo actualizar dentro de los términos el valor porcentual en el mes de agosto; El porcentaje real de compromisos para el cierre de brechas para el periodo de septiembre fue de 4.2% (4 actividades) que se cumplieron dentro del término, además se cerraron 9 brechas cuya fecha de cumplimiento es posterior al periodo de seguimiento, para un total de 13 cierres con un avance del 14,13% del total del plan. Cumpliendo con lo programado.</t>
  </si>
  <si>
    <t xml:space="preserve">​Una vez realizada la consolidación de las actividades de IV desarrolladas por los grupos internos de trabajo se indica que se cumplio con el indicador para el tercer trimestre correspondiente al 82 %.
Se aclara que cada grupo tienen diferentes tipos de vigilados por lo que el total de vigilados no son objeto de acciones de IV por todos los grupos internos de trabajo.
</t>
  </si>
  <si>
    <t xml:space="preserve">​Para el primer semestre del 2025 la Delegada había presentado un rezago frente a al cumplimiento de las metas establecidas de manera mensual; por tal motivo, se estan realizando seguimientos para cumplir con la meta del periodo y subsanar aquellos donde no hubo reporte. 
Para el mes de julio se realizaron 7 seguimientos a los Planes de Mejoramiento, los cuales se listan a continuación:
Dpto de La Guajira.
Distito de Riohacha.
Municipio de Maicao.
Municipio de Uribia.
Municipio de Manaure.
COLJUEGOS
Distrito de Buenaventura
</t>
  </si>
  <si>
    <t>​Durante el periodo de reporte, se realizó una mesa tecnica de fortalecimiento de competencias en inspeccion vigilancia y control de las Entiades territoriales de caracter Departamental, Distrital y Municipal de los departamentos de Cundinamarca, Bogotá, Amazonas y San Andrés.
Para el ultimo trimestre se realizarán las Mesas de fortalecimiento necesarias para cumplir con el 100% de lo planeado para la vigencia.</t>
  </si>
  <si>
    <t xml:space="preserve">​Debido a que en el primer semestre se pudieron cometer errores en el reporte de los avances y en el cargue de las evidencias, desde la Delegada se tomo la decisión de desarrollar actividades adicionales a las establecidas para cumplir a cabalidad con lo definido en el PAG.
Para el periodo de reporte se desarrollaron 41 mesas de Inspección y Vigilancia, entre las que se encuentra:
Mesa IV  Distrito de Bogotá
Mesa IV  Municipio de Madrid
Mesa IV  Dpto del Meta
Mesa IV  Dpto de Córdoba
Mesa IV  Municipio de Girardot
Mesa IV Dpto de La  Guajira
Mesa IV vacunación canina y felina Dpto, del Vaupés
Mesa de IV vacunación canina y felina Dpto de Vichada
Para consultar los soportes de las 41 mesas, puede dirigirse al enlace establecido
</t>
  </si>
  <si>
    <t xml:space="preserve">​Se realizó una acción integral en el municipio de Pacho en el que se contó con la participación de la Delegada de Prestadores y de Operadores Logisticos, las EPS, las alcaldias y secretarias municipales,la Gobernación de Cundinamarca y el Instituto Nacional de Salud, entre otros.  De igual forma, se realizaron AIT en Caquetá-San Vicente del Caguán, Magdalena-Santa Ana, Norte de Santander -Cúcuta y Nariño-Olaya Herrera
En el enlace se presentan los insumos y soportes de esta acción.
</t>
  </si>
  <si>
    <t xml:space="preserve">Para el tercer trimestre de 2025, la DIVGRA presentó dos nuevas alertas que derivaron en la realización de auditorías específicas a las siguientes entidades: 1. Lotería de Medellín y 2. Concesionario de apuestas permanentes Red de Servicios del Cesar.
Adicionalmente, se realizó seguimiento a los siguientes planes de mejoramiento:
-Gobernación del Chocó, tercer avance.
-Empresa Industrial y Comercial del Estado Administradora del Monopolio Rentístico de los Juegos de Suerte y Azar – COLJUEGOS, segundo avance.
-Unidad de Licores del Meta, primer avance.
-Gobernación del Meta, primer avance.
-ADRES,Tercer avance y cierre del plan de mejoramiento, en el marco de las acciones desarrolladas por las alertas presentadas.
Se adjuntan las comunicaciones que evidencian lo mencionado, así como las actas correspondientes a las auditorías realizadas en atención a las dos alertas.
DRN: Se realiza oficio de evaluación evidencias del plan de mejoramiento de Auditoria en Morales (Bolívar)
</t>
  </si>
  <si>
    <t xml:space="preserve">Durante el tercer trimestre del año, se realizaron cinco activaciones de la Red de Controladores en los departamentos de Magdalena, Atlántico, Vaupés, Valle del Cauca y San Andrés, sobrepasando la meta programada de 3 activaciones ya que se identificaron otros 2 departamentos que requerían la realización de la acción.
Es importante señalar que, a la fecha de este reporte, para la Red de Controladores del departamento de Vaupés únicamente se cuenta con la lista de asistencia, ya que el acta se encuentra en proceso de revisión y aprobación por parte de los asistentes. Una vez sea aprobada, será cargada en la carpeta de evidencias correspondiente, 
</t>
  </si>
  <si>
    <t xml:space="preserve">Durante este trimestre se tenían programados 5 y se realizaron 5 seguimientos a auditorías en diferentes regiones del pais,con lo cual se presenta cumplimiento de la meta para el periodo de seguimiento, es importante tener en cuenta que en el mes pasado se superó la meta establecida. A continuación, se señalan los seguimientos realizados: 
- Regional Sur: Tercer seguimiento Plan de Mejoramiento Puerto Asís realizado 23/9/2025 y segundo seguimiento al Plan de Mejoramiento de Pitalito realizado el 18/9/2025.
- Regional Norte: Se realizó segundo seguimiento auditoría Morales
- Regional Occidental: Se realizaron dos seguimientos a auditoría, El Dovio (Valle del Cauca) tercer seguimiento y Timbiquí (Cauca) tercer seguimiento.
</t>
  </si>
  <si>
    <t xml:space="preserve">​Durante el trimestre se desarrollaron 5 acciones  para el desarrollo de los programas de Gobernanza, inteligencia de negocios y Gestión de Datos y de Información de la SNS consistente en lo siguiente conforme al cronograma:
Base Unica de Vigilados actualizada (1)
Publicación de dos conjuntos de datos abiertos (2)
Informe UIAF (1) se adjuntan soportes de documentación
Tableros (1) se adjunta evidencia de la actualización de un tablero de control, específicamente el de reclamos, lo cual se hace los 25 de cada mes, se aclara que el corte tiene 31 de julio de 2025 pero su actualización se realizó en el presente trimestre debido a unos ajustes en el régimen de Nueva EPS
</t>
  </si>
  <si>
    <t xml:space="preserve">​Esta actividad fue   ejecutada durante el mes de agosto 
se realizaron dos socializaciones en la ciudades de Pasto y Cali, en la cuales se aboradron los temas de Marco Integral de Supervisión y SIARC respectivamente
</t>
  </si>
  <si>
    <t xml:space="preserve">​Para el periodo de tiempo evaluado, se adelantaron las siguientes actividades: 
1. Se gestionó alianza con SENATIC, como iniciativa para formación de los funcionarios de la Supersalud en temas de tecnologías, analítica de datos, inteligencia artificial y habilidades blandas. Esta colaboración se gestionó con el MINTIC, OIT y el SENA. 
2. Se celebró la tercera sesión del Equipo Técnico de Apoyo a la Gestión de Innovación y del Conocimiento, en la cual se presentaron proyectos para continuar con la ejecución de los mismos (SENATIC, Presentación resultados workshop en territorio, Estrategia de Gestión de Proyectos, Adquisición del Sello de Buenas Prácticas), los cuales fueron aprobados y avalados para contiuar con su ejecución. 
3. Se diseñó el Programa de Gestión del Conocimiento.
4. Se generó documento final en compañía con la Oficina Asesora de Planeación relacionado con las brechas del FURAG.
</t>
  </si>
  <si>
    <t xml:space="preserve">Durante el periodo comprendido entre junio y septiembre de 2025 se atendieron 67 solicitudes de oficialización de documentos en los procesos institucionales de la Superintendencia Nacional de Salud. De éstas, 44 correspondieron a actualización de documentos, 17 solicitudes fueron de creación y 6 solicitudes de anulación.
Estas solicitudes fueron tramitadas en los siguientes procesos: Gestión estratégica de personas: 19 documentos, Gobierno y gestión de datos e información: 12 documentos, Relacionamiento con la ciudadanía y grupos de valor: 9 documentos, Gestión de bienes y servicios: 7 documentos, Gestión de mejora: 6 documentos, Seguimiento y evaluación al vigilado: 4 documentos, Direccionamiento estratégico: 4 documentos, Actuaciones disciplinarias: 2 documentos, Gestión de trámites: 2 documentos, y Gestión Financiera: 2 documentos.
Finalmente, y de acuerdo con el tipo documental, durante el periodo se tramitaron oficializaciones asociadas a los tipos documentales: 47 Formatos, 7 Manuales, 5 Procesos, 2 Caracterizaciones de proceso, 2 Metodologías, 2 Políticas institucionales, 1 Procedimiento, y 1 Guía.
A partir de lo anterior, se da cumplimiento al 100% de lo establecido para el periodo.
</t>
  </si>
  <si>
    <t xml:space="preserve">De conformidad con la programación establecida en el Plan Anual de Seguimiento a la Gestión Institucional (PAAS) para la vigencia 2025, y en atención a la actividad "Ejecutar Programa Anual de Seguimiento a la Gestión Institucional", correspondiente al indicador "Seguimientos y evaluaciones efectuadas al control institucional", la Oficina de Control Interno reporta el cumplimiento del tercer trimestre de la presente anualidad.
Durante este periodo se ejecutaron un total de once (11) actividades, de las cuales cuatro (4) correspondían a acciones rezagadas del segundo trimestre, producto de situaciones administrativas relacionadas con el concurso de mérito. Por lo anteriormente señalado, el porcentaje de cumplimiento para el período reportado corresponde al 85% de ejecución. En la primera semana de octubre se radicaron dos (2) actividades, correspondientes al tercer trimestre, las cuales se verán reflejados en el siguiente trimestre evaluado.
Con este avance, al cierre de septiembre se han realizado treinta y siete (37) actividades de las cuarenta y una (41) programadas, lo que representa un cumplimiento del 90% en la ejecución del PAAS.
Adicionalmente, en el transcurso del trimestre se llevaron a cabo actividades complementarias no previstas en el plan, derivadas de requerimientos formulados por entes de control, atención de derechos de petición, actividades de gestores, entre otros.
</t>
  </si>
  <si>
    <t xml:space="preserve">​La Dirección de Talento Humano informa que, durante el tercer trimestre del año, se tenía programada la ejecución de 2 actividades en el PAG, relacionadas con el tema de integridad. Sin embargo, en el Cronograma del Programa de Transparencia y Ética Publica se observan 3 actividades. Por ende; se ejecutaron 2 actividades totalmente y 1 parcialmente, lo que representa una sobre ejecución del 125% frente a la meta establecida.
La actividad que se ejecutó parcialmente se cumplirá al 100% en el cuatro trimestre, en motivo a que el día 18 de septiembre de 2025, se realizó el envío de una comunicación oficial bajo el radicado número 20259100002132961 al Departamento Administrativo de la Función Pública, con el fin de solicitar el acceso a las declaraciones de bienes y rentas de los servidores públicos vinculados a la Superintendencia Nacional de Salud. Sin embargo, y a la fecha la DTH no ha recibido respuesta por parte del DAFP para realizar el informe compilatorio de la información contenida en las declaraciones de bienes y rentas de los funcionarios de la entidad.
</t>
  </si>
  <si>
    <t xml:space="preserve">Se programaron 18  Nuevos Territorios nuevos para la vigencia a los cuales se llegó con acciones por parte de las Direcciones Regionales., cumpliendo con el 100% del indicador. En las evidencias que se anexan puede verse cuales son esos 18 territorios nuevos y algunas de las acciones en los mismos.  Para Chocó y Caribe, los nuevos territorios están programados para siguientes trimestres.​
Se adjunta en carpeta compartida:  Excel con la relación de los 18 nuevos  territorios y subcarpetas con una muestra de acciones en cada uno de ellos.
</t>
  </si>
  <si>
    <t>0.5</t>
  </si>
  <si>
    <t xml:space="preserve">Porcentaje de actividades ejecutadas en cumplimiento del Plan de Seguridad y Privacidad de la Información y Seguridad Digital
Para el primer trimestre se tenía programada 1 actividad la cual se cumplió. 
Socialización de lineamientos y Herramienta - Gestión de Riesgos de Seguridad y privacidad de la Información y Seguridad Digital
Evidencia: Se adjunta formato DEFT04 con la gestión realizada y los link con los informes realizados para cada actividad
</t>
  </si>
  <si>
    <t xml:space="preserve">Porcentaje de actividades ejecutadas en cumplimiento del Plan de Tratamiento de Riesgos de Seguridad y Privacidad de la Información
Para el primer trimestre se tenía programada 1 actividad la cual se cumplió. 
Avanzar en la identificación de activos de información
Evidencia: Se adjunta formato DEFT04 con la gestión realizada y los link con los informes realizados para cada actividad. 
</t>
  </si>
  <si>
    <t xml:space="preserve">Los funcionarios encargados del componente Ambiental del  Grupo de Recursos Físicos, realizaron el seguimiento y cumplimiento oportuno de las actividades generadas en el cronograma de Hitos ambientales del Sistema de Gestión Ambiental con corte a marzo de 2025, realizando todas las actividades programadas, con el fin de mejorar el rendimiento del Sistema de Gestión Ambiental basado en la ISO 14001:2015. Lo anteior, con el fin de posesionar el sistema de Gestión Ambiental en busca de adherir conocimiento y madures del mismo. 
Se generaron las evidencias correspondientes de las actividades ejecutadas del cronograma.
Se ejecutaron las 16 actividades  programadas generando un avance del 25%  conforme planeación establecida en el cronograma.
</t>
  </si>
  <si>
    <t xml:space="preserve">ElPlan Anual de Adquisiciones (PAA) vigencia 2025, a corte marzo, cuenta con 258 líneas programadas y presenta un porcentaje de ejecución del 17,57%, con un avance en recursos de inversión del 16,65% y en recursos de funcionamiento del 24,24%. Se encuentran pendientes por radicar 4 líneas PAA por parte de diferentes dependencias. El PAA ha sido publicado en SECOP II y en la página web de la Superintendencia Nacional de Salud, con una publicación inicial y 7 actualizaciones realizadas en el primer trimestre del año.
Se ha realizado seguimiento continuo al PAA mediante acciones como revisiones por parte de la Dirección de Contratación, socialización con el ordenador del gasto, reuniones de trabajo con las dependencias y reporte del avance a la Secretaría General, garantizando así el cumplimiento de los lineamientos establecidos.
</t>
  </si>
  <si>
    <t xml:space="preserve">​Se llevó a cabo el cumplimiento de las 4 actividades programadas para el primer trimestre de la siguiente manera:                                                                                                                                                Enero:
Actividad 1:
*Se envió el 4 de febrero de 2025 a través de correo electrónico institucional el Informe de la Ejecución Presupuestal a cada una de las Dependencias junto con los saldos de RP al corte de enero de 2025.
*Se realizó Mesa de trabajo el 6 de febrero de 2025 con los enlaces de las dependencias que tienen asignado recursos de funcionamiento e inversión en la vigencia 2025 abordar los siguientes temas:
1.Informar la Ejecución Presupuestal de la entidad y de las dependencias al 31 de Enero 2025
2.Informar la Ejecución de Tiquetes aéreos al 31 de Enero 2025
3.Reservas Presupuestales al 31 de Diciembre de 2024 (Ejecutar en 2025)
4.Lineamientos frente a trámites presupuestales
Febrero:
Actividad 2:
*Se envió el 3 de marzo de 2025 a través de correo electrónico institucional el Informe de la Ejecución Presupuestal a cada una de las Dependencias junto con los saldos de RP al corte de febrero de 2025.
*Se realizó Mesa de trabajo el 7 de marzo de 2025 con los enlaces de las dependencias que tienen asignado recursos de funcionamiento e inversión en la vigencia 2025 abordar los siguientes temas:
*Informar la Ejecución Presupuestal de la entidad y de las dependencias al 28 de Febrero 2025 
*Informar la Ejecución de Tiquetes aéreos al 28 de Febrero 2025 
*Reservas Presupuestales al 31 de Diciembre de 2024 (Ejecutadas en 2025) 
*Lineamientos frente a trámites presupuestales 
Marzo:
Actividad 3:
*Se envió el 2 de abril de 2025 a través de correo electrónico institucional el Informe de la Ejecución Presupuestal a cada una de las Dependencias junto con los saldos de RP al corte de marzo de 2025.
*Se realizó Mesa de trabajo el 7 de abril de 2025 con los enlaces de las dependencias que tienen asignado recursos de funcionamiento e inversión en la vigencia 2025 abordar los siguientes temas:
•Informar la Ejecución Presupuestal de la entidad y de las dependencias al 31 de marzo 2025
•Informar la Ejecución de Tiquetes aéreos al 31 de marzo 2025
•Reservas Presupuestales al 31 de diciembre de 2024 (Ejecutadas en 2025)
•Lineamientos frente a trámites presupuestales
Actividad 4:
Se realizó la primera capacitación a las dependencias que ejecutan el presupuesto sobre los procedimientos y trámites de gestión presupuestal en la cual se abordo temas como:
-Programación Presupuestal
-Ejecución Presupuestal (CDP, Registro Presupuestal, Reserva Presupuestal, (ezago Presupuestal)
-Traslados Presupuestales y Vigencias Futuras
-Seguimiento a la Ejecución Presupuestal
Se adjuntan carpetas con evidencias de las actividades realizadas.
</t>
  </si>
  <si>
    <t xml:space="preserve">​Se realizaron 4 auditorías en el cuatrimestre.
 Dos de estas auditorías fueron compartidas con la Delegada de Aseguramiento quien ordenó las mismas, sin embargo, como puede evidenciarse en los autos, funcionarios de la Delegada para Entidades Territoriales trabajaron como auditores en tales auditorías junto con funcionarios de la Delegada de Aseguramiento.
Las auditorías fueron en: * Departamento delQuindío, Secretaría Departamental de Salud
* CAJA DECOMPENSACIÓN FAMILIAR DEL ORIENTE COLOMBIANO “COMFAORIENTE EPSS” (Compartida)
* Municipio de Neiva, Secretaría de Salud.
* Mutual Ser (Compartida)
La meta no se cumplió puesto que desde la delegada para entidades territoriales surgieron otras actividades de Inspección y vigilancia que requirieron atención inmediata.  Además, se tiene planeado realizar en los próximos meses, las auditorías que no se lograron en este cuatrimestre, con lo que la Delegada se pondrá al día en este indicador en próximos períodos.
</t>
  </si>
  <si>
    <t xml:space="preserve">​
Se realizan los 4 seguimientos programados para el período.  Estos se realizaron a:
* Dosquebradas
* Villavicencio
* Puerto Asís
* Amazonas.  
Se adjuntan los Oficios que se radicaron a los respectivos secretarios de salud.
Frente al Oficio de Amazonas, debe tenerse en cuenta que si bien el asunto es "
"Convocatoria Mesa de Inspección y Vigilancia al Departamento de Amazonas– Secretaría Departamental de Salud.", esta mesa se hace con el propósito de "
hacer seguimiento a los incumplimientos identificados en el marco de auditoría específica y mesa de trabajo realizada frente a los componentes de salud pública, financiamiento, acceso y garantía de la calidad, y análisis y evaluación. "  
Es decir, es una mesa de inspección y vigilancioa cuyo objeto es hacer seguimiento a una auditoría.
Igualmente en los otros oficios también puede evidenciarse que se hacen los respectivos seguimeintos a las auditorías.  
Los oficios muestran que se realizaron los seguimientos.  Si se desea revisar todos los adjuntos de los mismos, esto puede hacerse en super argo con los numeros de radicado.      
</t>
  </si>
  <si>
    <t xml:space="preserve">​Se realizaron las 4 mesas de apropiación del SIG programadas.
En el marco de las autoevaluaciones generalmente se refuerza la aprehensión del SIG y se diseñan presentaciones especialmente para esto.
Así las cosas, en Febrero, Marzo y Abril, en el marco de las mencionadas reunones, se realizó también apropiación del SIG como consta en las actas y en las presentaciones adjuntas.  Se hizo eénfasis en los procesos , en especial Seguimiento y evaluación al vigilado, y se dieron TIPS sobre gestión de calidad como puede verse en las 3 presentaciones de los menses mencionados.
En el mes de enero también se realizó una mesa de aprehensión del SIG, esta vez dirigida por la Regional Andina, la cual pertenece a nuestra Delegada de acuerdo al decreto 1080 de 2021.  Esta mesa se enfocó en el sistema de gestión ambiental, el cual es un componente muy importante del SIG.
</t>
  </si>
  <si>
    <t xml:space="preserve">​Se realizaron las 6 mesas de fortalecimiento de competencias de la siguiente manera:
* 3 Mesas de Fortalecimiento de competencias en el aplicativo / Guía de Auditoría GAUDI a todas las Entidades territoriales Se hacen 3 mesas ya que se dividen las entidades territoriales en 3 grupos como se ve en la evidencia adjunta.
* 1 mesa de fortalecimiento de competencias en circular 030 en el chocó
* 1 mesa de fortalecimiento de competencias en Rentas cedidas en el departamento del quindío.  Se aclara que dentro de la mesa de inspección y vigilancia, también se realizó fortalecimiento de competencias a los vigilados en este tema.
* 1 mesa de fortalecimiento de competencias en Fiscalización de rentas cedidas para el departamento del Vichada.  Se aclara que dentro de la mesa de inspección y vigilancia, también se realizó fortalecimiento de competencias a los vigilados en este tema.
</t>
  </si>
  <si>
    <t xml:space="preserve">​En indicador es a demanda de acuerdo a las necesidades de articulación con las delegadas para apoyar el IV con los respectivos actores del sistema.
En este período se realizaron a demanda 514 acciones de apoyo a las Delegadas en territorio, tal como se muestran en la base de datos en excel que se adjunta.
También se adjunta un enlace donde están las evidencias que se listan en el mencionado excel.
Se anexan las evidencias correspondientes dentro del URL adjunto,  ya que hay evidencias de todas las regionales y estas son muy pesadas para ser cargadas aquí.  Se han concedido algunos permisos para este URL. ( Mónica Liliana Salazar, Gloria Rocío PEreira, Peter William VArgas, Johana Patricia Orjuela).  Si Alguien mas de la OAP o de la OCI requiere ingresar al URL, solicitarlo a Rafael Enrique García Cadavid.
</t>
  </si>
  <si>
    <t xml:space="preserve">​Se realizaron las 14 Mesas de Inspección y Vigilancia Programadas.
Estas se desarrollaron en:
* Cáceres
* Marmato
* Neira
* González - Cesar
* Bagadó
* El Tarra Norte de Santander
* Sabanagrande
* Villanueva
* Vichada
* Tolima
* Eje Cafetero
* Huila
* Putumayo
* Dolores
</t>
  </si>
  <si>
    <t xml:space="preserve">​Se realizan las 4 acciones integrales en territorio programadas.
Estas se ejecutaron en:
* Amazonas
* Cáceres
* Huila
* Territorios de la Regional Andina
Tener en cuenta que la Acción integral en territorio de Amazonas (AIT) Comienza con un acta de inspección y vigilancia para la acción integral en territorio como se puede constatar en el cuerpo de la misma.
</t>
  </si>
  <si>
    <t xml:space="preserve">​Se realizan actividades derivadas de mesas de Gobernanza en las siguientes Entidades Territoriales:
* Chiquinquirá
* Villa de Leyva
* Garagoa
* Tunja
* Soatá
* Sogamoso
En los exceles adjuntos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
</t>
  </si>
  <si>
    <t xml:space="preserve">​En  el periodo de enero a   abril del 2025, el  90,10% (828)  de los tramites presentados por los grupos   de valor o de interés a la Delegada para Operadores Logísticos de Tecnologías   en Salud y Gestores Farmacéuticos    fueron tramitados  y  finalizados y  el    9,9 % (91)  se encuentran en   desarrollo.
     Es importante indicar que aunque no se cumplio con el objetivo, la   DOLTS_GF, para el primer cuatrimestres del 2025 presento un incremento de 439   reclamos en comparación con el año anterior    y  asi mismo el número de   funcioarios se encuentra disminuido con respecto al año anterior
</t>
  </si>
  <si>
    <t xml:space="preserve">En el marco de las acciones orientadas al fortalecimiento de la caracterización de los grupos de interés y de valor, y en concordancia con las funciones asignadas a la Dirección de Innovación y Desarrollo, se adjudicó un contrato al señor Jaiver Estupiñán. Esta contratación es resultado de la hackatón realizada en 2024, y tiene como objeto la actualización y automatización de las fichas de caracterización de tres grupos de vigilados.
El contrato inició su ejecución en la vigencia actual, y se anexa a este reporte el acta de inicio, el plan de trabajo y el acta del evento de kick-off, como evidencia del avance en la implementación.
</t>
  </si>
  <si>
    <t xml:space="preserve">Se realizaon distintas campañas institucionales en el marco de posicionar la imagen de la Superintendencia Nacional de Salud y mejorar la gestión de la reputación institucional.
</t>
  </si>
  <si>
    <t xml:space="preserve">​Ante la emergencia sanitaria generada por el brote de fiebre amarilla en Colombia, la Superintendencia Nacional de Salud, en articulación con el Ministerio de Salud y Protección Social, desarrolló una campaña comunicacional orientada a informar y orientar a la ciudadanía, y a reforzar las acciones del sector salud para contener la propagación del virus en las zonas afectadas.
</t>
  </si>
  <si>
    <t xml:space="preserve">​
A 30 de abril la ejecución (obligaciones) de los recursos de inversión de la entidad fue del 11,38%:
Obligaciones:       $9.919.710.465
Total inversión:  $87.198.844.691
Evidencia: Reporte SIIF nación a 30 de abril de 2025;
A 30 de abril, del total de los recursos de inversión asignados para la presente vigencia, se han comprometido $34.211.236.392 equivalente al 39,23%, de los cuales se han generado obligaciones por un total de $9.919.710.465 lo que equivale al 11,38% del total de los recursos asignados. De las 18 dependencias ejecutoras de los proyectos de inversión,  8  lograron o superaron la meta planteada del 10% de ejecución sobre las obligaciones: Delegada para la Protección al Usuario, Delegada para Operadores Logísticos, Delegada para la Función Jurisdiccional  y de Conciliación, Delegada para Prestadores de Servicios de Salud, Delegada para Entidades Territoriales, Delegada para Entidades de Aseguramiento en Salud,  Dirección Jurídica, y la Dirección Administrativa-Grupo de Gestión Documental.
Desde la Oficina Asesora de Planeación y la Secretaria General, se han planteado acciones conjuntas que permitan realizar un seguimiento estricto a la ejecución de los gastos de la entidad, que permita generar alertas y la toma de decisiones oportunas para mejorar el nivel de ejecución de las apropiaciones de la presente vigencia fiscal.  Dentro de las acciones encontramos:Seguimiento periodo a la ejecución del Plan Anual de Adquisiciones y generación de alertas por parte de la Dirección de ContrataciónSeguimiento periódico a la ejecución presupuestal de la entidad a través de Comité Institucional de Gestión y DesempeñoSeguimiento a la ejecución presupuestal a través del Comité Directivo.
De igual manera se coloca a disposición de los ejecutores de los proyectos de inversión, y de los funcionarios de la entidad, la ejecución presupuestal desagregada a nivel de proyecto, dependencia, y actividad (formato powerBI.  A la fecha del presente reporte, se encuentra actualizada la información a 31 de marzo, la cual puede ser consultada a trabes de:
Página web, en la siguiente ruta: Nuestra entidad, Planeación, Proyectos de inversión, Seguimiento
Intranet, en la siguiente ruta: Tramites y Servicios – Reportes (Ejecución de recursos de inversión)
</t>
  </si>
  <si>
    <t xml:space="preserve">En el primer cuatrimestre (Enero-Abril) de 2025 la Oficina de Control Disciplinario realizo cuatro (4) capacitaciones, charlas en materia disciplinaria, con las siguientes temáticas y participantes: 1) 18/02/2025 (Supervisión y su responsabilidad disciplinaria) 176 participantes  (Virtuales 168 y 8 presencial); 2) 28/02/2025 (Corrupción Publica; Deberes etc CGD  - 45 participantes (presencial); 3) 31/03/2025 (charla sobre derecho de petición y sus consecuencias disciplinarias) -   114 participantes (Virtual); 4) 25/04/2025 (Incompatibilidades y conflicto de intereses código general disciplinario – participantes 75  (Virtual)  -  Total participantes = 430 funcionarios.                         FebreroMarzoAbril
Total participantes: 176  (Virtuales 168 y 8 presencial)   - Primera 18/02/2025 (Supervisión)
Total participantes: 45  (presencial)  - Segunda 28/02/2025 (Corrupción Publica; Deberes etc CGD)
Total participantes: 114  (Virtual) 
Realizada: 31/03/2025 (charla sobre derecho de petición y sus consecuencias disciplinarias)
Total participantes: 75  (Virtual) 
Realizada: 25/04/2025 (Incompatibilidades y conflicto de intereses código general disciplinario
</t>
  </si>
  <si>
    <t>​Durante el mes de mayo, la Superintendencia Delegada para Entidades Territoriales y Generadores, Recaudadores y Administradores de Recursos del SGSSS realizó desde sus diferentes direcciones y grupos de trabajo cinco (5) seguimientos a auditorías ejecutadas, siendo estos: 
1. Departamento de Tolima (Auto Nro. 2024590010000924-7 del 14-08-2024): primer seguimiento.
2. Instituto Departamental de Salud de Nariño (Auto Nro. 2024500010000937-7 del 16 de agosto del 2024): primer seguimiento.
3. Municipio deEl Líbano - Tolima (Auto No. 2024580000000840-7 de 16-07-2024): segundo seguimiento.
4. Departamento del Amazonas (Auto2024500010000814-7 de 8 de julio de 2024) : segundo seguimiento.
5. Empresa Industrial y Comercial del Estado Administradora del Monopolio Rentístico de los Juegos de Suerte y Azar, denominada-COLJUEGOS (2024590000000580-7): primer seguimiento.</t>
  </si>
  <si>
    <t xml:space="preserve">​Durante el mes de mayo, la Superintendencia Delegada para Entidades Territoriales y Generadores, Recaudadores y Administradores de Recursos del SGSSS realizó cuatro (4) Mesas de Gobernanza así:
1. Huila (responsabilidades frente a la atención de emergencia por brote de Fiebre Amarilla en el territorio.)
2. Casanare.
3. Meta.
4. Tolima.
Es importante mencionar, que esta Delegada ha concentrado sus esfuerzos en el proceso de organización y cierre de las acciones de inspección y vigilancia que se encontraban en curso, con el fin de garantizar la adecuada entrega de productos y actividades a cargo antes de la transición de personal derivada del concurso de méritos.
Esta situación administrativa prioritaria limitó la disponibilidad de personal de las Direcciones Regionales para la realización de las mesas de gobernanza, razón por la cual no fue posible ejecutar la totalidad de las acciones programadas para este indicador. No obstante, se tiene previsto retomar esta actividad en el mes de junio.
</t>
  </si>
  <si>
    <t xml:space="preserve">​
Se realizó mesa de trabajo con el Gestor Farmacéutico Colsubsidio y la EPS Sura en la ciudad de Medellín ,la cual tuvo como objetivos fundamentales:Presentación de la información por parte del Gestor Farmacéutico.Presentación de la información por parte de la EAPB.Acuerdo y suscripción de los compromisos en el acta acta.
Lo cual es fundamental para el cumplimiento de las acciones de IV de la DOLTS-GF, de esta manera se da cumplimiento al 100% de lo propuesto en el PAG para Mayo 2025.
</t>
  </si>
  <si>
    <t xml:space="preserve">Al 30 de abril de 2025, se registraron un total de 77 solicitudes documentales en el Sistema Integrado de Gestión, correspondientes a los 15 procesos institucionales. De estas solicitudes, el 32.5% (25) correspondieron a la creación de nuevos documentos, el 54.5% (42) a la actualización de documentos existentes y el 9.1% (7) a la eliminación de documentos. Estos datos evidencian que la mayoría de las gestiones se centraron en la actualización documental, seguida por la creación de nuevos documentos y, en menor proporción, la eliminación de documentos.
La información fue obtenida del SharePoint de Formalización Documental, donde los líderes de cada proceso registran sus solicitudes. El acceso a este registro está disponible en el siguiente enlace:https://supersalud.sharepoint.com/sites/SIG/Lists/Formalizacion%20documental/AllItems.aspx
</t>
  </si>
  <si>
    <t xml:space="preserve">
Durante el mes de Mayo, se gestionaron 140 cuentas que fueron radicadas en los tiempos estipulados
de acuerdo con la Circular Interna 2022920020000026- 4 de 2022,asi mismo, los documentos radicados después del día 25 calendario se tramitaron en el siguiente mes. Por lo cual, se cumplió con la meta
del indicador del 100%, (140/140) habiendo gestionado la totalidad de las cuentas radicadas con un
tiempo de gestión de 1,8 días hábiles. Se adjunta base con relación de cuentas radicadas y gestionadas, así como el reporte del indicador con la correspondiente gráfica.
</t>
  </si>
  <si>
    <t xml:space="preserve">INDICADOR A DEMANDA 
Solicitudes aceptadas por ANS: 189 en el semestre 
Solicitudes recibidas​ en el semestre  376
Ante el alto porcentaje de devoluciones a las areas proveedores, durante el segundo trimestre de 2025 se adelantaron mesas de actualización de ANS con todos los proveedores del proceso administrativo sancionatorio, en donde se recordaron los acuerdos a las areas y se resolvieron dudas, con el fin de reducir estas devolciones a la luz de los acuerdos de nivel de servicio
</t>
  </si>
  <si>
    <t xml:space="preserve">​INDICADOR A DEMANDA
Durante el TRIMESTRE se expidieron con apertura/improcedencia /investigación preliminar 87 procesos de los cuales 8 fueron por  criterio de priorización 
</t>
  </si>
  <si>
    <t xml:space="preserve">​INDICADOR A DEMANDA
Total de actos administrativos expedidos en el semestre a demanda 
* por Direcciones 
1) Dirección de aseguramiento: De abril a junio de 2025 : 167 y en total en el semestre 513 
2) Dirección de prestadores : De abril a junio de 2025: 90 y en total en el semestre 169
3) Dirección de OLFERGART: De abril a junio de 2025 : 55 y en total en el semestre 103
Total de actos expedidos en el trimestre: 167+90+55: 312
Total de actos expedidos en el semestre : 785
Numero de solicitudes aceptadas en el semestre: 
1) Dirección de aseguramiento : 54
2) Dirección de Prestadores: 61
3) Dirección OLFERGART: 74
total 189
aplicación de formula 189/1785*100
</t>
  </si>
  <si>
    <t xml:space="preserve">​INDICADOR A DEMANDA
INFORMACION POR TRIMESTRE
Para 2025 se identificaron 441 procesos administrativos con riesgo de caducidad 2025 , en el primer trimestre se reportaron como expedidas 166 decisiones equivalentes al 37.6%
Para el segundo trimestre de 2025 se profirieron 136 decisiones con riesgo 2025 equivalente al 30,83%
Por lo anterior se entiende que para el 30 de junio de 2025 se ha realizado un avance del 68.43 % , dando cumplimiento al indicador 
</t>
  </si>
  <si>
    <t>​  Total por rubro de funcionamoento $ 731.506.000
Total, ejecución acumulada:   = $599.023.035
Saldo pendiente por ejecutar:
Saldo restante: $731.506.000 – $599.023.035 = $132.482.965
 Resultado del avance 81 % 
se avanzo en mas del 50% en el semestre dando cumplimiento al presupuesto presentado a la Delegatura , se adjunta panatallazo de ejecución por areas entregado por en equipo de seguimiento presupuestal de la entidad y cdp expedidos en el trimestre </t>
  </si>
  <si>
    <t xml:space="preserve">​Durante el segundo trimestre de 2025 la Delegada para Entidades de Aseguramiento en Salud, ejjecutó 51 mesas técnicas, respondiendo a las necesidades identificadas durante el periodo. Dentro de las cuales se logro una mediana de 49%
</t>
  </si>
  <si>
    <t>​SE REALIZARON CON EXITO LAS SIGUIENTES PREJORNADAS :
1. PRE-JORNADA BOLÍVAR – CÓRDOBA Y SUCRE
2. PRE-JORNADA GUAJIRA Y CESAR
3. PRE-JORNADA ATLÁNTICO – MAGDALENA Y SAN ANDRÉS 
4. PRE-JORNADA META – AMAZONAS – GUAVIARE – VAUPÉS – VICHADA Y GUAINÍA. 
5. PRE-JORNADA CAUCA 
 6. PRE-JORNADA BOYACÁ 
 7. PRE-JORNADA ANTIOQUIA Y CHOCÓ. </t>
  </si>
  <si>
    <t>SE PROGRAMAN 7 JORNADAS FORMALMENTE CON LOS ACTORES DEL SGSSS EN EL PRIMER SEMESTRE; SE REALIZAN POR TIEMPOS DE AGENDA SEGUN LAS SEMANAS QUE TIENEN DIAS FESTIVOS DENTRO DE LOS MESES DE ENERO A JUNIO Y  LA ULTIMA JORNADA POR LO ANTERIOR SE MATERIALIZA LA PRIMERA SEMANA DEL MES DE JULIO; ESTA JORNADA SE REALIZA EN ANTIOQUIA (MEDELLIN ) 
1.​JORNADA BOLÍVAR – CÓRDOBA Y SUCRE 
2. JORNADA GUAJIRA Y CESAR 
3. JORNADA ATLÁNTICO – MAGDALENA Y SAN ANDRÉS
4. JORNADA META – AMAZONAS – GUAVIARE – VAUPÉS – VICHADA  Y GUAINÍA. 
5. JORNADA CAUCA 
 6. JORNADA BOYACÁ  </t>
  </si>
  <si>
    <t xml:space="preserve">EL NUMERO DE AUDIENCIAS REALIZADAS EN EL PERIODO  FUE DE 2125 Y EL TOTAL DE SOLICITUDES DE CONCILIACIÓN A PETICIÓN DE PARTE  ADMITIDAS FUERON DE 2125  EN EL SEGUNDO TRIMESTRE DEL 2025
</t>
  </si>
  <si>
    <t xml:space="preserve">​En razón a la necesidad de avcanzar con el cierre de procesos de auditoría en curso, se efectuaron 16 seguimientos asi:
En abril: Belalcázar, Dosquebradas, Morales (Bolívar).
     En mayo: Dabeiba, Tunja, Puerto Boyacá
     En junio: Frontino, Pitalito
     Desde la Dirección Regional Occidental, se realizaron tres (3) seguimientos   a auditorías: El Dovio - Valle del Cauca, Timbiquí - Cauca y Florida - Valle   del Cauca. 
     Desde la Dirección de Generadores, Recaudadroes y Administradores de   Recursos del SGSSS, se relaizaron los siguientes seguimientos:
     * A las entidades territoriales de Santander, Meta y Chocó.
     * A los generadores de recursos de las loterías de Santander, Medellín y   Bogotá y a la Unidad de Licores del Meta.
     * Al recaudador y administrador de recursos Coljuegos.
</t>
  </si>
  <si>
    <t xml:space="preserve">Para   este primer trimestre se avanzó en la implementación de acciones con   prestadores de servicios de salud en las Direcciones Regionales.
     Sumando los 4 actores iniciales más el 100% del nuevo   actor (prestadores) y comparándolos con los 9 para el cuatrienio, se tiene un   alcance de 5 actores de 9 previstos, alcanzando el 55% programado para junio   de 2025, lo que además, representa un avance importante rumbo a la meta de   66% propuesta para 2025.
     El indicador representa un buen avance para el segundo trimestre, dado que   se vienen generando más acciones que dan cuenta de esta de este   abordaje.
     A continuación se relacionan las acciones adelantadas durante el trimestre,   asl cuales corresponden al monitoreo de referencia y contrareferencia en   coordinación con la Superintendencia Delegada para Prestadores de Servicios   de Salud:
     Dirección Regional Caribe:
     2/04/2025 - La Guajira - Maicao: Hospital San José de Maicao
     7/04/2025 - La Guajira - San Juan del Cesar: Hospital San Rafael de San   Juan Cesar
     28/05/2025 - Magdalena - Santa Marta: ESE   Alejandro Próspero Reverend
     25/06/2025 - Cesar - Valledupar: Hospital Eduardo Arrendondo Daza
     Dirección Regional Norte:
     1/04/2025 - Bolívar - Cartagena: 
     28/04/2025 - Sucre - Sincelejo: ESE Hospital Universitario de Sincelejo   Sucre
     26/05/2025 - Córdoba - Montería: ESE Hospital San Jeronimo de   Montería
     Dirección Regional Occidental: 
     21/05/2025 - Cauca - Popayán: 
     Dirección Regional Sur:
     19/06/2025 - Ibague - Tolima: Hospital Federico   LLeras
     26/06/2025 - Ibague - Tolima: Hospital Federico Lleras
     Se precisa que fue emitida el el 13 de mayo de 2025 fue emitida la Circular   interna 2025500000000007-4 de 2025, bajo la cual se imparten instrucciones   para mejorar la capacidad resolutiva de las Direcciones Regionales de la   Superintendencia Nacional de Salud. En esta circular, se definen acciones   dirigidas a los sujetos vigilados de la SNS y que podrán ser adelantadas por   las Direcciones Regionales, en articulación y coordinación con el nivel   central. Esto favorece ampliar el campo de acción en territorio.
</t>
  </si>
  <si>
    <t>Se   realiza informe de seguimiento a las alertas generadas en las acciones de   Inspección y Vigilancia a Generadores, Recaudadores y Administradores de   recursos del SGSSS.
     En el informe, frente a cada alerta que se encuentra abierta, se relacionan   las acciones que se han realizado para su seguimiento o supervisión.
     Puede evidenciarse que para cada una de las 23 alertas   encontradas hay acciones de supervisión o   seguimiento generadas, es decir, se tiene el 100% de cumplimiento.
     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
     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t>
  </si>
  <si>
    <t>En el   marco de la estrategia de Plan Padrino / madrina, se realizaron 7   seguimientos a las siguientes sedes regionales:
     1. Dirección Regional Andina
     2. Dirección Regional Caribe
     3. Dirección Regional Chocó
     4. Dirección Regional Norte
     5. Dirección Regional Occidental
     6. Dirección Regional Orinoquía
     7. Sede Agualongo
     8. Sede Insular</t>
  </si>
  <si>
    <t>Durante   el segundo trimestre se abordaron un total de 23 nuevos territorios por parte   de las Direcciones Regionales, así:
     Dirección Regional Andina (5 nuevos territorios):   Se impactaron los territorios con mesas IV en Marmato y Neira en Caldas y   Guarne en Antioquia.
     Con Jornadas de Atención al usuario a Villa María y Filadelfia en   Caldas.
     Dirección Regional Norte (2 nuevos territorios): Se efectuó jornada de atención al usuario en los   corregimientos de Bayunca y La Boquilla en Cartagena.
     Dirección Regional Sur (4 nuevos territorios): Teniendo en cuenta la declaratoria de emergencia por fiebre   amarilla se realizaron mesas de IV en los municipios de Ataco, Coyaima,   Icononzo y Melgar (Tolima) con el fin, de garantizar que los municipios de   alto riesgo dieran cumplimiento a la reglamentación vigente en pro de   disminuir el indicadore del evento.
     Dirección Regional Nororiental (4 nuevos   territorios): 
     - JAU en el municipio de Chitagá, Norte de Santander el 08 de abril de   2025.
     - Mesa IV Sotaquirá, Boyacá el 05 y 06 de mayo de 2025.
     - Mesa IV Chitagá, Norte de Santander el 12 y 13 de mayo de 2025.
     - Mesa IV Chitaraque, Boyacá el 26 y 27 de junio de 2025.
     Dirección Regional Caribe (3 nuevos   territorios):
     - 1 mesa de IV en el Municipio de Gonzalez   -Cesar.
     - 2 Auditorias específicas en los municipios de Gamarra – Cesar y El Piñon   -Magdalena.
     Dirección Regional Occidental (5 nuevos   territorios):
     - Mesa de IV: Timbiquí Cauca, Piendamó Cauca,  López de Micay Cauca
     - Jornada de atención al usuario: Chachagüi Nariño
     - Acción Integral en el Territorio: Olaya Herrera Nariño</t>
  </si>
  <si>
    <t xml:space="preserve">Se   realizaron 22 asistencias al desarrollo de mesas de saneamiento de cartera de   Circular Conjunta 030 de 2013, de las siguientes ET: Antioquia, Arauca,   Barranquilla, Bogotá, Boyacá, Caldas, Cali, Casanare, Cauca, Cesar, Chocó,   Córdoba, Huila, Meta, Nariño, Norte de Santander, Risaralda, San Andrés,   Santa Marta, Santander, Sucre y Tolima.
     Estas asistencias se soportan a través de informes de resultados del   ejercicio de acompañamiento.
</t>
  </si>
  <si>
    <t>Durante   el mes de junio se efectuaron dos (2) mesas de gobernanza así:
     1. En Chinácota - Norte de Santander del 25 al 27 de junio de 2025
     2. En Duitama - Boyacá del 18 al 21 de junio de 2025
Es de anotar que, no se logró efectuar el total de mesas de gobernanza   programadas, en razón a que fue necesario atender otras actividades   relacionadas con el proceso de transición de planta de personal, como es el   cierre de informes y procesos de inspección y vigilancia pendientes, por   parte de los funcionarios vinculados en provisionalidad.</t>
  </si>
  <si>
    <t xml:space="preserve">​Se realizaron 30 auditorías a los vigilados relacionadas con el Sistema de Información y Atención al Usuario - SIAU, mecanismos de Participación Ciudadana y comportamiento de reclamos en salud, en cumplimiento al PAG aprobado para la vigencia.
Y Se realizaron 3 auditorías a los vigilados relacionadas con el Sistema de PQRD propio de las EPS, en cumplimiento al PAG aprobado para la vigencia
</t>
  </si>
  <si>
    <t>0.55</t>
  </si>
  <si>
    <t xml:space="preserve">​Se entregan 11 actividades que desde la política de Servicio al Ciudadano se desarrollaron en el segundo trimestre de la presente anualidad,                                                                          
* Desarrollar de los escenarios de relacionamiento (ferias, festivales, jornadas itinerantes, etc.) 5 actividades                     
* Gestionar los espacios de encuentros sectoriales del Ministerio de Salud y Protección Social para el seguimiento e implementación del MISC. 2 actividades                                          
* Implementar acciones para articular con las dependencias  para el mejoramiento del relacionamiento. 2 actividades           
* Realizar talleres y charlas sobre el Lenguaje Claro dirigidas a las servidoras y servidores públicos de la entidad. 2 actividades
</t>
  </si>
  <si>
    <t xml:space="preserve">​
Se realizó actividad de IV con el Gestor Farmacéutico COHAN y  representantes de FOMAG en la ciudad de Quibdo  la cual tuvo como objetivos fundamental:Presentación de la información por parte del Gestor Farmacéutico.Presentación de la información por parte de la EAPB.Lo cual es fundamental para el cumplimiento de las acciones de IV de la DOLTS-GF, de esta manera se da cumplimiento al 100% de lo propuesto en el PAG para mayo 2025.
</t>
  </si>
  <si>
    <t xml:space="preserve">Para el segundo trimestre de 2025, la Dirección de Inspección y Vigilancia para Prestadores de Servicios de Salud, programó 17 auditorias, de la siguiente manera:
En el mes de abril, se programaron 10 auditorias de las cuales se ejecutaron 10.
En el mes de mayo se programaron 2 auditorias de las cuales se ejecutaron 2.
En el mes de junio, aunque, se programaron 5 auditorias, se ejecutaron 6. Esta auditoria adicional, tuvo alcance específico, debido a situaciones presentadas en el sistema, que requirieron atención inmediata del Equipo IV de Salud.
Por lo anterior, para el II trimestre de 2025, se presenta una ejecución del 105%, correspondiente a la ejecución de 18 auditorías, de 17 programadas para dicho periodo.
</t>
  </si>
  <si>
    <t xml:space="preserve">En el primer semestre de 2025 se realizaron en total 30 seguimientos a Programas de Mejoramiento Institucional suscritos por 15 Empresas Sociales del Estado, correspondientes a la ejecución de los compromisos para el III y IV trimestre de la vigencia 2024.
Por lo anterior, para el I semestre de 2025, se da cumplimiento a meta establecida del 100%.
</t>
  </si>
  <si>
    <t xml:space="preserve">Dando continuidad a las acciones de IV relacionadas con la asignación y ejecución de recursos a la ESE por equipos básicos en salud, se efectuó el envío de un comunicado masivo a 935 ESE registradas como activas en REPS, con el fin de obtener información al corte a 31 de mayo de 2025.
Dado que a la fecha se están realizando acciones de articulación con el Ministerio de Salud y Protección Social para identificar la totalidad de ESE con asignación efectiva de recursos, el masivo se remitió a 935 ESE, no obstante los beneficiarios de giro pudiesen ser menos; información que se encuentra en depuración en la actualidad de conformidad con los insumos que entregue el citado Ministerio.
</t>
  </si>
  <si>
    <t xml:space="preserve">Para el I semestre de la vigencia 2025, se realizó una (1) acción de IV relacionada con monitoreo de riesgos- (Requerimiento de información al vigilado CENTRO DERMATOLOGICO FEDERICO LLERAS ACOSTA E.S.E, teniendo en cuenta los siguientes antecedentes:
*El 7 de febrero de 2025, se recibió traslado por parte de la Contraloría General de la República a través del radicado nro. 20259300400720912, mediante el cual informaron dos (2) hallazgos identificados en el marco de la auditoría de Cumplimiento al CENTRO DERMATOLOGICO FEDERICO LLERAS ACOSTA E.S.E de las vigencias 2022 y 2023, los cuales quedaron registrados en el informe CGR-CDSS 033 de diciembre 6 de 2024 y se citan a continuación:
"Hallazgo 10. Consulta previa de Sistema de Administración de Riesgos de Lavado de Activos y Financiación del Terrorismo (SARLAFT) y de listas restrictivas y de control internacionales y nacionales. (A-D-OI)."
"Hallazgo 16. Mayores valores pagados a Proveedores por Medicamentos, Insumos o Productos vigencias 2022 y 2023. (A-D-OI-IP)."
A tal efecto, en el desarrollo de dichas acciones, se verificaron las evidencias allegadas por la Contraloría en lo relacionado al Subsistema de Administración del Riesgo de Lavado de Activos, Financiación del Terrorismo y Financiación de la Proliferación de Armas de Destrucción Masiva.
*El 25/02/2025 se realizó el primer requerimiento a través del radicado nro. 20254100000392221, el vigilado da respuesta 28/02/2025 mediante el radicado nro.20259300404316142.
*El 20/04/2025 se realizó el primer requerimiento a través del radicado nro. 20254100000856901, el 19/05/2025 se realizó reiteración a través del radicado nro. 20254100001084001, el vigilado da respuesta 21/05/2025 mediante el radicado nro.20259300411249152.
*El 6/06/2025 se realizó el primer requerimiento a través del radicado nro.20254100001232821, el vigilado da respuesta 11/06/2025 mediante el radicado nro. 20259300413165572.
En virtud de lo anterior, se elaboró informe con los incumplimientos evidenciados.
Por lo anterior, se da cumplimiento a la meta establecida para el I semestre de la vigencia 2025 de realizar una acción de monitoreo de riesgos a un vigilado priorizado para tal fin.
</t>
  </si>
  <si>
    <t xml:space="preserve">​Para el periodo de tiempo reportado, con relación a la implementación de la Política GESCO+I y con relación al cronograma definido, se adelantaron las siguientes acciones: 
Actividades: 
1. Formular estrategias para programa de habilidades blandas para fortalecer la cultura de la innovación
2. Identificar, analizar y evaluar planes, proyectos e ideas que se generen del SGI
3. Fomentar la generación de foros y espacios de innovación abierta con otras entidades y grupos de interés.
Evidencias:
A) Actividades: 1,2 y 3. Durante los meses de mayo y junio, se realizaron WORKSHOPS TERRITORIALES en las Direcciones regionales Andina y Occidente, con el fin de identificar técnicamente necesidades y proyectos que aporten a la innovación, así como capacitar y fortalecer habilidades sobre innovación y gestión del conocimiento. Se adjunta presentación con los resultados y análisis.
B) Actividad 3: Durante el mes de junio se adelantó acercamiento con el HUBiEX de la Universidad el Bosque, en el marco del MOU que se tiene con esta organización. Lo anterior, para dar inicio a un proyecto que le permita a la entidad automatizar el proceso de PQRS mediante Inteligencia Artificial. Se adjunta video SUPERMAGZINE en el cual se refleja esta actividad. 
C) Adicionalmente, se implementó estrategia de Gestión del Conocimiento con el fin de mitigar la fuga del conocimiento. Se crearon repositorios de información (link adjunto) yse creó el primer mapa del conocimiento de la entidad. Teniendo en cuenta que la información contenida en este espacio tiene una clasificación y reserva no se puede adjuntar, para verificar la información se puede administrar acceso posterior a la solicitud. 
</t>
  </si>
  <si>
    <t xml:space="preserve">​Teniendo en cuenta que este indicador es a demanda, durante el segundo trimestre, se gestionaron las seiguientes actividades y documentos: 
1. Circular externa de liquidaciones con la actualización de los formatos FT015 Y FT012  
2. Circular 030 de 2013 
3. Formulario de reclamos realizado con la DID -DPU - DGFOLTS 
4. Metodología de reclamos en Salud I1 
5. Metodología para el calculo de los IOSC. 
6. Circular externa para actualizar archivos de la 006 de 2018 con ADRES
7. Sentencia T760 
8. Circular 011 
9. Capacidad técnica, para agente interventor , liquidador o contralor . 
10. Circular externa 001 de 2020 
11. ABC- Reclamos en Salud. 
12. Metodología SOAT 
13. Circular SIARC
14. Metodología Siniestralidad
</t>
  </si>
  <si>
    <t xml:space="preserve">​
En cumplimiento del objetivo de diseñar el Marco Integral de Supervisión y promover su apropiación institucional, durante el periodo reportado se llevaron a cabo mesas de trabajo con las diferentes áreas de la Superintendencia Nacional de Salud. Estos espacios de articulación permitieron avanzar en la validación técnica y conceptual del marco, realizar los ajustes necesarios y dar respuesta a los comentarios y observaciones emitidos por las dependencias involucradas.
Las mesas de trabajo no solo facilitaron la retroalimentación oportuna, sino que también contribuyeron a generar sentido de pertenencia y compromiso institucional con el instrumento, sentando las bases para la implementación gradual de estrategias de uso y apropiación en los distintos niveles de la entidad. Esta fase participativa garantiza que el Marco responda a las necesidades reales del ejercicio de la supervisión, fortaleciendo su aplicabilidad y sostenibilidad en el tiempo.
Se adjunta documento del MIS ajustado. 
</t>
  </si>
  <si>
    <t xml:space="preserve">Se realizaron dos (2) socializaciones: 
1. Bogota-Circular SIARC.
2. Cali- Reporte de información, Sistema integrado de gestión de riesgos , SIARC.
</t>
  </si>
  <si>
    <t xml:space="preserve">​
Durante el segundo trimestre de 2025, la Subdirección de Tecnologías de la Información, en articulación con otras dependencias de la Superintendencia Nacional de Salud, avanzó en múltiples frentes estratégicos para el fortalecimiento institucional y tecnológico:
1.Fortalecimiento del talento humano y equipos técnicos: Se avanzó en la contratación de perfiles clave para el Grupo de Sistemas de Información, incluyendo arquitecto de software y desarrolladores, en apoyo al desarrollo de soluciones tecnológicas.
2.Proyectos:
oHoja de Vida del Vigilado: Se avanzó en el levantamiento de información, análisis de requerimientos y definición de arquitectura inicial.
oPaz y salvo: Se inicio con la fase de requerimientos del proceso de digitalización y automatización del Paz y Salvo.
oGobernanza de Datos: Se formalizó la contratación con la Universidad de Antioquia para su implementación por fases.
oArquitectura Empresarial: El inicio del proyecto se pospuso para el segundo semestre debido a limitaciones operativas.
3.Gestión estratégica y operativa:
oSe diseñaron metodologías, plantillas e instrumentos estandarizados alineados con el Modelo de Gestión de Proyectos de TI (MGPTI), junto con estrategias de sensibilización y medición del nivel de madurez institucional.
oSe elaboró el documento base del Plan de Capacidad de TI y se fortaleció la infraestructura tecnológica mediante mantenimiento preventivo, soporte y mejoras de conectividad.
oSe avanzó en la articulación del equipo para alinear el Plan Institucional de Capacitación con las necesidades formativas TIC de las direcciones regionales, identificadas mediante un diagnóstico aplicado.
4.Seguridad digital y protección de datos:
oSe presentó el monitoreo de riesgos de seguridad digital del primer trimestre como parte del control interno institucional.
oSe fortaleció la implementación de controles de protección de datos personales, revisando políticas de privacidad y promoviendo un entorno de confianza.
oSe formalizó y actualizó la documentación de activos de información y se realizaron capacitaciones a gestores y personal TI.
5.Política de Gobierno Digital:
oSe adelantaron acciones para fortalecer su implementación como eje articulador de la transformación tecnológica institucional.
6.Marco Integral de Supervisión:
oSe continúa con su diseño y definición de modelos de supervisión diferenciados, que servirán como base metodológica para la Inspección, Vigilancia y Control con enfoque preventivo.
Se aclara que la meta no se cumplió por los siguientes motivos: 
No fue posible dar inicio durante el primer semestre con el proyecto relacionado con la consolidación de las PQRS entorno a la prestación de los servicios de salud, debido a que no se logró la vinculación de un profesional para apoyar las actividades relacionadas con la definición de un mecanismo o herramienta para la consolidación, integración y consulta de las PQRS, tomando como punto de partida el análisis del estado actual de acuerdo con la normatividad vigente, los procesos, los datos, sistemas de información y tecnologías dispuestas actualmente para la gestión de PQRS en la entidad.
El proyecto propuesto con la articulación del modelo de Gobernanza de Datos y su gestión de manera transversal en la entidad, no inicia ya que apenas se esta avanzando en la definición e implementación del modelo de Gobernanza de Datos y hasta que este proyecto no avance no será posible adelantar la articulación del modelo.
El Plan de Continuidad del Negocio (BCP) se esta empezando a diseñar en conjunto con la oficina asesora de planeación y otras áreas de la entidad con la participación de los grupos de Seguridad Digital e Infraestructura y Servicios tecnológicos de la Subdirección de Tecnologías de la información, sin embargo, el proyecto relacionado con el acompañamiento en la implementación del Plan de Continuidad del Negocio (BCP), no puede iniciar hasta tanto no se haya definido el BCP.
Por último, se espera que el proyecto del fortalecimiento de la Arquitectura Empresarial en la entidad se pueda iniciar en el segundo semestre de la presente vigencia ya que se tuvo que dar prioridad a otros temas debido a la alta ocupación de la capacidad operativa de la Subdirección de Tecnologías de la Información.
</t>
  </si>
  <si>
    <t>El Modelo de Seguridad y Privacidad de la Información (MSPI) en Colombia es un conjunto de lineamientos y buenas prácticas que deben implementar las entidades públicas para gestionar adecuadamente la seguridad y privacidad de sus activos de información.    
Se basa en estándares internacionales como la ISO/IEC 27001 y está regido principalmente por el Ministerio de Tecnologías de la Información y las Comunicaciones (MinTIC) a través de la Resolución 00500 de 2021 (y sus actualizaciones, como la Resolución 02277 de 2025 que actualiza el MSPI) y el Decreto 338 de 2022.
La implementación del MSPI en una entidad pública colombiana se desarrolla generalmente a través de un ciclo de operación que contempla cuatro fases principales: Planificación, Implantación (o Ejecución), Evaluación de Desempeño (o Monitoreo y Revisión) y Mejora Continua.
Respecto al tema se realiza:
• Identificación y Clasificación de Activos de Información:
o Se actualiza procedimiento de activos de información en la entidad y se socializa el nuevo procedimiento, manual y herramienta de levantamiento de activos.  
o Se inicia con la actualización de activos de información de la entidad.
• Gestión de Riesgos de Seguridad de la Información - Controles:
o Se realiza seguimiento a los planes de tratamiento de riesgos, para verificar el cumplimiento por parte de los procesos de la entidad de las medidas de mitigación y controles definidos.
o Se genera informe de riesgos de seguridad y privacidad de la información, el primero desde la reestructuración de la entidad, en el cual además del seguimiento se dan recomendaciones para mejorar la gestión estos a todos los procesos de la entidad.
o Se cambian las fechas de reporte de riesgos debido al cambio de personal por el concurso de méritos.
o Se socializa el tema de activos de información y riesgos de seguridad y privacidad de la información a los gestores de la entidad para indicarles de que manera se debe abordar la actualización de activos y la actualización de los riesgos y sus planes de tratamiento asociado de cara al segundo semestre de 2025.
• Desarrollo de Políticas y Procedimientos:
o Se inicia actualización de políticas de seguridad de la información.
o Se inicia actualización de políticas de protección de datos.</t>
  </si>
  <si>
    <t>​Durante el segundo trimestre de 2025, se avanzó en la formulación y actualización del Plan de Tratamiento de Riesgos de Seguridad y Privacidad de la Información, como parte de las acciones estratégicas orientadas a fortalecer el Sistema de Gestión de Seguridad de la Información (SGSI) de la entidad. 
Este plan contempla un conjunto de medidas preventivas, correctivas y de mitigación para gestionar los riesgos identificados, asegurando la confidencialidad, integridad y disponibilidad de la información institucional. 
Asimismo, se priorizaron acciones según el nivel de criticidad de los activos y la probabilidad de ocurrencia de las amenazas, definiendo responsables, plazos y recursos necesarios para su implementación. 
La ejecución de este plan busca garantizar el cumplimiento de la normativa vigente en materia de seguridad digital y protección de datos personales, reducir la exposición a incidentes y fortalecer la confianza de los ciudadanos en el manejo de su información.
Se realizaron las dos actividades programadas para el periodo, dando un acumulado de 3 de 8 previstas para la vigencia.</t>
  </si>
  <si>
    <t xml:space="preserve">​Durante el segundo trimestre, en el marco de la definición del Modelo de Gobernanza y Gestión de Datos e Información, se adelantaron las siguientes actividades:
Socialización Flujograma Gestionar Analítica de datos e información (1)Base Única de Vigilados actualizada (1)Documentos Reglas de Negocio e Integración de Datos actualizado (1)Catálogo de Datos Abiertos actualizado (2)Informes Validación de mallas - Archivos Tipo (2)Reporting Services gestionados y actualizados (3) actividad mensualInformes Cartera y otros financieros de vigilados (1)Informe UIAF (1)Tableros de Mando gestionados y actualizados (2)Script (1)
 Se resalta que de acuerdo con la Oficina Asesora de Planeación, este indicador es acumulado, motivo por el cual y de acuerdo con los cronogramas definidos se tiene un avance del 27,7%.
Se adjunta enlace de carpeta para complementar evidencias de REPORTING SERVICES: Reporting Service 
</t>
  </si>
  <si>
    <t xml:space="preserve">En el periodo de tiempo evaluado, se adelantaron las siguientes acciones para la implementación de la Política de Gestión de Información Estadística, con un avance de 6 actividades de las programadas: 
Soportes inicio etapa precontractual para la Política de Gestión de Información Estadística, se adjunta modificación PAA y por lo tanto esta etapa no ha iniciado por cambio de objeto contractual para transferencia de conocimiento aun sin definir por decisiones gerenciales asociadas al concurso y cambio de personal (1)
Línea base de demandas insatisfechas (1)
Implementación de Buenas Prácticas DANE SEN en el flujo de actividades clave de éxito (1)
Línea Base Registros Administrativos (1)
Línea base de operaciones estadísticas (1)
Documento Estrategia de Difusión (1)
Se hace la aclaración que de acuerdo con indicaciones de la Oficina Asesora de Planeación, el avance acumulado de este indicador es del 80%. 
</t>
  </si>
  <si>
    <t xml:space="preserve">En los meses de abril, mayo y junio de 2025  el Grupo de Almacen realizó campañas de sensibilizacion y asesoria a los funcionarios y contratistas de la Entidad acerca del cuidado y control de los bienes.
                                                                                                                                                                        Esto con el fin de mantener el uso correcto de los mismos y evitar acciones disciplinarias. Como resultado se ha obtenido que los funcionarios tengan el mayor cuidado de los bienes a cargo de cada uno y asi darle el mejor uso para el desarrollo de las funciones.
</t>
  </si>
  <si>
    <t xml:space="preserve">Los funcionarios encargados del componente Ambiental del  Grupo de Recursos Físicos, realizaron el seguimiento y cumplimiento oportuno de las actividades generadas en el cronograma de Hitos ambientales del Sistema de Gestión Ambiental con corte a junio de 2025, realizando todas las actividades programadas, con el fin de mejorar el rendimiento del Sistema de Gestión Ambiental basado en la ISO 14001:2015. Lo anteior, con el fin de posesionar el sistema de Gestión Ambiental en busca de adherir conocimiento y madures del mismo.    
Se generaron las evidencias correspondientes de las actividades ejecutadas del cronograma, las mismas se cargan en el aplicativo destinado.
Se ejecutaron las 19 actividades  programadas generando un avance total del 55%  conforme planeación establecida en el cronograma.
</t>
  </si>
  <si>
    <t xml:space="preserve">ENERO
En el periodo indicado se suscribieron catorce (14) contratos en la modalidad directa, trece (13) por prestación de servicios y un (1) contrato interadministrativo,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14 contratos.
FEBRERO
En el periodo indicado se suscribieron treinta y ocho (38) contratos, de los cuales treinta y siete (37) fueron bajo la modalidad de Contratación Directa y uno (1) por Mínima Cuantía,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38 contratos.
MARZO
En el periodo indicado se suscribieron veinte (20) contratos, de los catorce (14) fueron bajo la modalidad de Contratación Directa y cinco (5) por Mínima Cuantía y un (1) por selección abreviada acuerdo marco de precios,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20 contratos.
ABRIL
En el periodo indicado se suscribieron diecisiete (17) contratos, de los cuales dieciséis (16) fueron bajo la modalidad de Contratación Directa y uno (1) por Selección Abreviada – Subasta Inversa.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MAYO
En el periodo indicado se suscribieron veinticinco (25) contratos, de los cuales dieciocho (18) fueron bajo la modalidad de Contratación Directa, cuatro (4) por Mínima Cuantía, uno (1) por Selección Abreviada por Acuerdo Marco de Precios, uno (1) por Selección Abreviada mediante Subasta Inversa y uno (1) por Licitación Pública.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JUNIO
En el periodo indicado se suscribieron diecisiete (17) contratos, de los cuales quince (15) fueron bajo la modalidad de Contratación Directa y dos (2) por Mínima Cuantía.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t>
  </si>
  <si>
    <t xml:space="preserve">​
ENERO
En el periodo indicado solo se suscribieron contratos en modalidad directa, por lo que no se reportan resultados para dicho indicador.
FEBRERO
En el periodo indicado se suscribió un (1) contrato por Mínima Cuantía al cual se le aplico Abastecimiento estratégico dirigidas a la promoción de la micro, pequeña y mediana empresa. 
 MARZO
En el periodo indicado se suscribieron cinco (5) contratos por Mínima Cuantía a los cuales se le aplico Abastecimiento estratégico dirigidas a la promoción de la micro, pequeña y mediana empresa. 
ABRIL
En el periodo indicado se suscribieron (17) contratos, distribuidos en diferentes modalidades de contratación, entre ellas Selección Abreviada de Subasta Inversa y Contratación Directa, a los cuales se les aplicó el esquema de Abastecimiento Estratégico, dirigido a la promoción de la micro, pequeña y mediana empresa. 
MAYO
En el periodo indicado se suscribieron siete (7) contratos, distribuidos en diversas modalidades de contratación, entre ellas Mínima Cuantía (4), Selección Abreviada Acuerdo Marco de Precios (1), Selección Abreviada de Subasta Inversa (1) y Licitación Pública (1). A estos contratos se les aplicó el esquema de Abastecimiento Estratégico, orientado a la promoción de la micro, pequeña y mediana empresa
JUNIO
En el periodo indicado se suscribieron un (1) contrato por medio de la modalidad de Mínima Cuantía al cual se le aplicó el esquema de Abastecimiento Estratégico, dirigido a la promoción de la micro, pequeña y mediana empresa. 
</t>
  </si>
  <si>
    <t xml:space="preserve">​ENERO
En el periodo indicado solo se suscribieron contratos en modalidad directa, por lo que no se reportan resultados para este indicador. 
FEBRERO
En el periodo indicado no se suscribieron contratos a través de la tienda virtual del estado colombiano - TVEC, por lo tanto, no se reportan resultados para este indicador. 
MARZO
SELECCION ABREVIADA ACUERDO MARCO DE PRECIOS 
Contrato No. 71 de 2025, cuyo objeto es: ADQUIRIR LOS SERVICIOS DE NUBE PÚBLICA MICROSOFT AZURE PARA LA SUPERINTENDENCIA NACIONAL DE SALUD. No. S Orden de compra 143254 
ABRIL
En el periodo indicado no se suscribieron contratos a través de la tienda virtual del estado colombiano - TVEC, por lo tanto, no se reportan resultados para este indicador. 
MAYO
SELECCION ABREVIADA ACUERDO MARCO DE PRECIOS 
Contrato No. 96 de 2025, cuyo objeto es: Adquirir los certificados de firma digital con token virtual para la Superintendencia Nacional de Salud  
JUNIO
E n el periodo indicado no se suscribieron contratos a través de la tienda virtual del estado colombiano - TVEC, por lo tanto, no se reportan resultados para este indicador. 
</t>
  </si>
  <si>
    <t xml:space="preserve">​
 De 140.427 documentos radicados entre abril, mayo y junio de2025, se tomó una muestra del 5% lo cual arrojó un resultado de 7.020 documentosradicados que fueron revisados en los cuales se encontraron un total de 6.975documentos asignados correctamente y que proyectados al total de radicados son139.528 que cumplen con la asignación correcta a las dependencias; lo querepresenta un porcentaje de cumplimiento del  99.36% en dicho periodo, teniendo encuenta que la meta es del 98%. ABRILTOTAL RADICADOS 44.623 ASIGNADOS CORRECTAMENTE 44.320, MAYOTOTAL 49.969 ASIGNADOS CORRECTAMENTE 49.669, JUNIO 45.835ASIGNADOS CORRECTAMENTE 45.537.​ 
​ 
</t>
  </si>
  <si>
    <t xml:space="preserve">     Observamos que, para el segundo trimestre de 2025, el Indicador DI28 Nivel de madurez de acuerdo con la matriz de cumplimiento del MGDA, alcanzó un cumplimiento satisfactorio del 100% con la ejecución de 18 actividades , llegando a un avance consolidado del 45%, con 26 actividades cumplidas.
</t>
  </si>
  <si>
    <t xml:space="preserve">​En mayo y junio de 2025  se publicaron 2 campañas de comunicaciones.
Se proyectará la campaña faltante del segundo trimestre de 2025 en  julio de 2025 y con ello cumplir con la meta de 12 campañas al 31 de diciembre de 2025
</t>
  </si>
  <si>
    <t xml:space="preserve">​Se realizaron las 3 actividades programadas durante el 2do trimestre de la vigencia, las cuales corresponden a la elaboración de informes de seguimiento a la ejecución presupuestal (mensual): 
Cierre Abril:
*Se realizó mesa de trabajo el 8 de mayo de 2025 con todas las dependencias, en el marco del seguimiento a la ejecución presupuestal y la socialización por parte de la Dirección Financiera y la Secretaría General. El objetivo de esta sesión fue abordar los siguientes temas:
1.Informar la Ejecución Presupuestal de la entidad y de las dependencias al 30 de Abril 2025
2.Informar la Ejecución de Tiquetes aéreos al 30 de Abril 2025
3.Reservas Presupuestales al 31 de Diciembre de 2024 (Ejecutadas en 2025)
4.Lineamientos frente a trámites presupuestales
Cierre Mayo:
*Se envió el 5 de junio de 2025 a través de correo electrónico institucional el Informe de la Ejecución Presupuestal a cada una de las Dependencias junto con los saldos de RP al corte de mayo de 2025.
*Se realizó Mesa de trabajo el 11 de junio de 2025 con los enlaces de las dependencias que tienen asignado recursos de funcionamiento e inversión en la vigencia 2025 abordar los siguientes temas:
1.Informar la Ejecución Presupuestal de la entidad y de las dependencias al 31 de Mayo 2025
2.Informar la Ejecución de Tiquetes aéreos al 31 de Mayo 2025
3.Reservas Presupuestales al 31 de Diciembre de 2024 (Ejecutadas en 2025)
4.Lineamientos frente a trámites presupuestales
Reunión que quedó soportada con acta GE-11584 yse envió correo al Director Financiero y a la Asesora de la Secretaría General del compromiso adquirido en dicha reunión.
Cierre Junio:
*Se envió el 4 y el 7 de julio de 2025 a través de correo electrónico institucional el Informe de la Ejecución Presupuestal a cada una de las Dependencias junto con los saldos de RP al corte de junio de 2025.
*Se realizó Mesa de trabajo el 8 de julio de 2025 con los enlaces de las dependencias que tienen asignado recursos de funcionamiento e inversión en la vigencia 2025 abordar los siguientes temas:
1. Informar la Ejecución Presupuestal de la entidad y de las dependencias al 30 de junio 2025
2. Informar la Ejecución de Tiquetes aéreos al 30 de junio 2025
3. Reservas Presupuestales al 31 de diciembre de 2024 (Ejecutadas en 2025)
4. Lineamientos frente a trámites presupuestales
De la mesa de trabajo se generó el acta GE-11667 del 8 de julio de 2025 por ITS Gestión, aplicativo de la entidad.
Es importante informar a las áreas sobre la ejecución presupuestal para que la corroboren contra el control que maneja cada uno de los enlaces y aclarar todas las dudas que puedan presentar sobre los trámites presupuestales.
</t>
  </si>
  <si>
    <t xml:space="preserve">​La apropiación asignada a la Superintendencia Nacional de Salud (SNS) para la vigencia 2025 ascendió a $326.211.744.691. De este total, se ejecutaron compromisos por la suma de $149.357.146.852,02, lo que representa el 45,8% de la apropiación. Este resultado es mayor al 40% al programado en los indicadores de gestión, significa que se cumple a satisfacción el indicador.
En cuanto a la ejecución presupuestal de los recursos de funcionamiento e inversión, se presenta lo siguiente:
• Recursos de funcionamiento: $104.612.787.030,32, lo que representa el 43,8% de la apropiación vigente de $239.012.900.000.
• Recursos de inversión: $44.744.359.821,7, equivalente al 51,3% de la apropiación vigente de $87.198.844.691
Es importante resaltar que la ejecución por obligaciones alcanzó los $98.787.131.396,37 lo que representa el 30,3%, y la ejecución por pagos fue de $98.773.344.767,1 equivalente al 30,3%.
</t>
  </si>
  <si>
    <t xml:space="preserve">​De 63 actividades programadas se realizaron 15 en el trimestre, lo que da un cumplimiento acumulado del 79% frente a la meta programada de 50 en total.
</t>
  </si>
  <si>
    <t xml:space="preserve">​La meta estuvo muy cerca de alcanzarse, hizo falta una regional más con un nuevo actor del sistema apoyado, sin embargo ete indicador subirá en el siguiente reporte.
Todas Las regionales vienen realizado actividades con los 4 actores acumulados que se llevan (Etidades territoriales, Usuarios, Gestores Farmacéuticos y Aseguradores)  y han comenzado su apoyo a Prestadores también.  Esto en apoyo a las respectivas Delegadas.
De acuerdo a las Regionales que han activado apoyo con prestadores, este se calcula en un 62,5% (5 de 8 regionales) de acuerdo a la evidencia adjunta
Sumando los 4 actores iniciales más el 62,5%  del nuevo actor (prestadores)  y comparándolos con los 9 para el cuatrienio, se tiene un 51,39%,  (4,625/9) lo cual es un avance importante rumbo a la meta de 66% propuesta para 2025.  Es decir, que a final de 2025 debe consolidarse el apoyo a prestadores e incluir además un sexto grupo de valor, y así lograr ese 66%.
La razón por la cual se tiene una meta de 66% (6 de 9) para este año, es que para cada año del cuatrienio se tiene la misma meta (con excepción del último, donde son 3 de 9, es decir, el 33,3%, de tal forma que al sumar los 4 porcentajes de los 4 años deberá darel 100%, es decir, 9 actores de 9 posibles en 4 años.
Se anexan las evidencias correspondientes dentro del URL adjunto.  ya que hay evidencias de todas las regionales y estas son muy pesadas para ser cargadas aquí.  Se han concedido algunos permisos para este URL. (Andrea del Pilar López, Mónica Liliana Salazar, Gloria Rocío PEreira, Peter William VArgas, Johana Patricia Orjuela).  Si Alguien mas de la OAP o de la OCI requiere ingresar al URL, solicitarlo a Rafael Enrique García Cadavid.
</t>
  </si>
  <si>
    <t xml:space="preserve">Para   este primer trimestre se avanzó en la implementación de acciones con   prestadores de servicios de salud en las Direcciones Regionales.
Sumando los 4 actores iniciales más el 100% del nuevo   actor (prestadores) y comparándolos con los 9 para el cuatrienio, se tiene un   alcance de 5 actores de 9 previstos, alcanzando el 55% programado para junio   de 2025, lo que además, representa un avance importante rumbo a la meta de   66% propuesta para 2025.
 El indicador representa un buen avance para el segundo trimestre, dado que   se vienen generando más acciones que dan cuenta de esta de este   abordaje.
 A continuación se relacionan las acciones adelantadas durante el trimestre,   asl cuales corresponden al monitoreo de referencia y contrareferencia en   coordinación con la Superintendencia Delegada para Prestadores de Servicios   de Salud:
 Dirección Regional Caribe:
     2/04/2025 - La Guajira - Maicao: Hospital San José de Maicao
     7/04/2025 - La Guajira - San Juan del Cesar: Hospital San Rafael de San   Juan Cesar
     28/05/2025 - Magdalena - Santa Marta: ESE   Alejandro Próspero Reverend
     25/06/2025 - Cesar - Valledupar: Hospital Eduardo Arrendondo Daza
 Dirección Regional Norte:
     1/04/2025 - Bolívar - Cartagena: 
     28/04/2025 - Sucre - Sincelejo: ESE Hospital Universitario de Sincelejo   Sucre
     26/05/2025 - Córdoba - Montería: ESE Hospital San Jeronimo de   Montería
 Dirección Regional Occidental: 
     21/05/2025 - Cauca - Popayán: 
     Dirección Regional Sur:
     19/06/2025 - Ibague - Tolima: Hospital Federico   LLeras
     26/06/2025 - Ibague - Tolima: Hospital Federico Lleras
Se precisa que fue emitida el el 13 de mayo de 2025 fue emitida la Circular   interna 2025500000000007-4 de 2025, bajo la cual se imparten instrucciones   para mejorar la capacidad resolutiva de las Direcciones Regionales de la   Superintendencia Nacional de Salud. En esta circular, se definen acciones   dirigidas a los sujetos vigilados de la SNS y que podrán ser adelantadas por   las Direcciones Regionales, en articulación y coordinación con el nivel   central. Esto favorece ampliar el campo de acción en territorio.
</t>
  </si>
  <si>
    <t xml:space="preserve">​ Se anexa informe aportado por la Dirección de Inspección y Vigilancia a Generadores, recaudadores y Administradores de Recursos del SGSSS.  Este informe contiene las alertas detectadas en las acciones de IV de esa Dirección, y frente a cada una, se detalla qué acciones de seguimiento o supervisión se han realizado.
Se realiza informe de seguimiento a las alertas generadas en las acciones de Inspección y Vigilancia a Generadores, Recaudadores y Administradores de recursos del SGSSS.
En el informe, Frente a cada alerta que se encuentra abierta, se relacionan las acciones que se han realizado para su seguimiento o supervisión.
Puede evidenciarse que para cada una de las 30 alertas encontradas hay acciones de supervisión o seguimiento generadas, es decir, se tiene el 100% de cumplimiento.
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
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  
</t>
  </si>
  <si>
    <t>Se   realiza informe de seguimiento a las alertas generadas en las acciones de   Inspección y Vigilancia a Generadores, Recaudadores y Administradores de   recursos del SGSSS.
En el informe, frente a cada alerta que se encuentra abierta, se relacionan   las acciones que se han realizado para su seguimiento o supervisión.
Puede evidenciarse que para cada una de las 23 alertas   encontradas hay acciones de supervisión o   seguimiento generadas, es decir, se tiene el 100% de cumplimiento.
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
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t>
  </si>
  <si>
    <t xml:space="preserve">​Se realizaron 4 auditorías en el cuatrimestre.
 Dos de estas auditorías fueron compartidas con la Delegada de Aseguramiento quien ordenó las mismas, sin embargo, como puede evidenciarse en los autos, funcionarios de la Delegada para Entidades Territoriales trabajaron como auditores en tales auditorías junto con funcionarios de la Delegada de Aseguramiento.
Las auditorías fueron en: * Departamento delQuindío, Secretaría Departamental de Salud
* CAJA DECOMPENSACIÓN FAMILIAR DEL ORIENTE COLOMBIANO “COMFAORIENTE EPSS” (Compartida)
* Municipio de Neiva, Secretaría de Salud.
* Mutual Ser (Compartida)
La meta no se cumplió puesto que desde la delegada para entidades territoriales surgieron otras actividades de Inspección y vigilancia que requirieron atención inmediata.  Además, se tiene planeado realizar en los próximos meses, las auditorías que no se lograron en este cuatrimestre, con lo que la Delegada se pondrá al día en este indicador en próximos períodos.
</t>
  </si>
  <si>
    <t xml:space="preserve">​Se realizaron las 6 mesas de fortalecimiento de competencias de la siguiente manera:
* 3 Mesas de Fortalecimiento de competencias en el aplicativo / Guía de Auditoría GAUDI a todas las Entidades territoriales Se hacen 3 mesas ya que se dividen las entidades territoriales en 3 grupos como se ve en la evidencia adjunta.
* 1 mesa de fortalecimiento de competencias en circular 030 en el chocó
* 1 mesa de fortalecimiento de competencias en Rentas cedidas en el departamento del quindío.  Se aclara que dentro de la mesa de inspección y vigilancia, también se realizó fortalecimiento de competencias a los vigilados en este tema.
* 1 mesa de fortalecimiento de competencias en Fiscalización de rentas cedidas para el departamento del Vichada.  Se aclara que dentro de la mesa de inspección y vigilancia, también se realizó fortalecimiento de competencias a los vigilados en este tema.
</t>
  </si>
  <si>
    <t xml:space="preserve">​Se realizaron las 4 mesas de apropiación del SIG programadas.
En el marco de las autoevaluaciones generalmente se refuerza la aprehensión del SIG y se diseñan presentaciones especialmente para esto.
Así las cosas, en Febrero, Marzo y Abril, en el marco de las mencionadas reunones, se realizó también apropiación del SIG como consta en las actas y en las presentaciones adjuntas.  Se hizo eénfasis en los procesos , en especial Seguimiento y evaluación al vigilado, y se dieron TIPS sobre gestión de calidad como puede verse en las 3 presentaciones de los menses mencionados.
En el mes de enero también se realizó una mesa de aprehensión del SIG, esta vez dirigida por la Regional Andina, la cual pertenece a nuestra Delegada de acuerdo al decreto 1080 de 2021.  Esta mesa se enfocó en el sistema de gestión ambiental, el cual es un componente muy importante del SIG.
</t>
  </si>
  <si>
    <t xml:space="preserve">​Se realizan los 8 seguimientos a regionales programados. 
Se adjunta evidencia de lo anterior.
</t>
  </si>
  <si>
    <t xml:space="preserve">​Se realizaron las 14 Mesas de Inspección y Vigilancia Programadas.
Estas se desarrollaron en:
* Cáceres
* Marmato
* Neira
* González - Cesar
* Bagadó
* El Tarra Norte de Santander
* Sabanagrande
* Villanueva
* Vichada
* Tolima
* Eje Cafetero
* Huila
* Putumayo
* Dolores
</t>
  </si>
  <si>
    <t xml:space="preserve">​Se realizan las 4 acciones integrales en territorio programadas.
Estas se ejecutaron en:
* Amazonas
* Cáceres
* Huila
* Territorios de la Regional Andina
Tener en cuenta que la Acción integral en territorio de Amazonas (AIT) Comienza con un acta de inspección y vigilancia para la acción integral en territorio como se puede constatar en el cuerpo de la misma.
</t>
  </si>
  <si>
    <t xml:space="preserve">Se realizan actividades derivadas de mesas de Gobernanza en las siguientes Entidades Territoriales:
* Chiquinquirá
* Soatá
* Sogamoso
En el excel adjunto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
</t>
  </si>
  <si>
    <t xml:space="preserve">​Se realizan actividades derivadas de mesas de Gobernanza en las siguientes Entidades Territoriales:
* Chiquinquirá
* Villa de Leyva
* Garagoa
* Tunja
* Soatá
* Sogamoso
En los exceles adjuntos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
</t>
  </si>
  <si>
    <t xml:space="preserve">​Durante el mes de mayo, la Superintendencia Delegada para Entidades Territoriales y Generadores, Recaudadores y Administradores de Recursos del SGSSS realizó cuatro (4) Mesas de Gobernanza así:
1. Huila (responsabilidades frente a la atención de emergencia por brote de Fiebre Amarilla en el territorio.)
2. Casanare.
3. Meta.
4. Tolima.
Es importante mencionar, que esta Delegada ha concentrado sus esfuerzos en el proceso de organización y cierre de las acciones de inspección y vigilancia que se encontraban en curso, con el fin de garantizar la adecuada entrega de productos y actividades a cargo antes de la transición de personal derivada del concurso de méritos.
Esta situación administrativa prioritaria limitó la disponibilidad de personal de las Direcciones Regionales para la realización de las mesas de gobernanza, razón por la cual no fue posible ejecutar la totalidad de las acciones programadas para este indicador. No obstante, se tiene previsto retomar esta actividad en el mes de junio.
</t>
  </si>
  <si>
    <t>Durante   el mes de junio se efectuaron dos (2) mesas de gobernanza así:
     1. En Chinácota - Norte de Santander del 25 al 27 de junio de 2025
     2. En Duitama - Boyacá del 18 al 21 de junio de 2025
Es de anotar que, no se logró efectuar el total de mesas de gobernanza   programadas, en razón a que fue necesario atender otras actividades   relacionadas con el proceso de transición de planta de personal, como es el   cierre de informes y procesos de inspección y vigilancia pendientes, por   parte de los funcionarios vinculados en provisionalidad.</t>
  </si>
  <si>
    <t xml:space="preserve">​En indicador es a demanda de acuerdo a las necesidades de articulación con las delegadas para apoyar el IV con los respectivos actores del sistema.
En este período se realizaron a demanda 514 acciones de apoyo a las Delegadas en territorio, tal como se muestran en la base de datos en excel que se adjunta.
También se adjunta un enlace donde están las evidencias que se listan en el mencionado excel.
Se anexan las evidencias correspondientes dentro del URL adjunto,  ya que hay evidencias de todas las regionales y estas son muy pesadas para ser cargadas aquí.  Se han concedido algunos permisos para este URL. ( Mónica Liliana Salazar, Gloria Rocío PEreira, Peter William VArgas, Johana Patricia Orjuela).  Si Alguien mas de la OAP o de la OCI requiere ingresar al URL, solicitarlo a Rafael Enrique García Cadavid.
</t>
  </si>
  <si>
    <t>​Se presentaron demoras en el proceso de gestión debido a la falta de contratación oportuna de los actuarios necesarios la vigencia. La ausencia de personal especializado afectó la eficiencia en el trámite. Sin embargo, en este trimestre se dio celeridad a estos trámites vencidos </t>
  </si>
  <si>
    <t>​Durante el segundo trimestre de 2025 la Delegada para Entidades de Aseguramiento en Salud, ejjecutó 51 mesas técnicas, respondiendo a las necesidades identificadas durante el periodo. Dentro de las cuales se logro una mediana de 49%</t>
  </si>
  <si>
    <t>​Durante el segundo trimestre de 21025 se realizaron 16 auditorias del 11 programdas, con el fn de subsanar las 5 auditorias que no se realizaron en el primer trimestre de 2025.  Es así que ala fecha se han ejecutado el 100% de las acutorías programadas para el segundo semestre de 2025.</t>
  </si>
  <si>
    <t>​Teniendo en cuena la contingencia de requerimientos realizada en el segundo trimestre de 2025 a la Dirección de Medidas Especiales de EPS E.A., se evidenció la actualización de 8 fichas de seguimiento de 11 entidades en medida.</t>
  </si>
  <si>
    <t>​Se ejecutaron los dos seguimiento programados para el segundo trimestre de 2025.</t>
  </si>
  <si>
    <t xml:space="preserve">En el segundo trimestre de 2025 se evaluaron 24 planes de mejoramiento en su primera revisión y 8 en su segunda revisión para aprobación. Asimismo, se llevó a cabo el análisis y la evaluación de los soportes y evidencias de ejecución de 43 planes de mejoramiento, para un total de 75 planes de mejoramiento evaluados de 77 gestionados en el periodo, lo cual corresponde al 97% de ejecución.
Cabe señalar que dos (2) planes radicados para primera revisión fueron evaluados posterior al plazo establecido.
</t>
  </si>
  <si>
    <t xml:space="preserve">Dando continuidad a las acciones de IV relacionadas con la asignación y ejecución de recursos a la ESE por equipos básicos en salud, se efectuó el envío de un comunicado masivo a 935 ESE registradas como activas en REPS, con el fin de obtener información al corte a 31 de mayo de 2025.
Dado que a la fecha se están realizando acciones de articulación con el Ministerio de Salud y Protección Social para identificar la totalidad de ESE con asignación efectiva de recursos, el masivo se remitió a 935 ESE, no obstante los beneficiarios de giro pudiesen ser menos; información que se encuentra en depuración en la actualidad de conformidad con los insumos que entregue el citado Ministerio.
</t>
  </si>
  <si>
    <t xml:space="preserve">En el primer semestre de 2025 se realizaron en total 30 seguimientos a Programas de Mejoramiento Institucional suscritos por 15 Empresas Sociales del Estado, correspondientes a la ejecución de los compromisos para el III y IV trimestre de la vigencia 2024.
Por lo anterior, para el I semestre de 2025, se da cumplimiento a meta establecida del 100%.
</t>
  </si>
  <si>
    <t xml:space="preserve">Para el I semestre de 2025, se gestionaron 10 solicitudes de reformas estatutarias de 10 recibidas para trámite en la Dirección IV para Prestadores de Servicios de Salud, de las cuales, 2 finalizaron con resolución, 1 finalizó con oficio y 7 gestionadas con análisis de SARLAFT, análisis financiero y requerimiento al vigilado.
Por lo anterior, se da cumplimiento a la meta establecida del 100% para el periodo evaluado.
</t>
  </si>
  <si>
    <t xml:space="preserve">Desde las acciones realizadas por la Delegada para Prestadores de Servicios de Salud, se monitorea el resultado de cuatro (4) indicadores calculados a partir de la información financiera reportada por las ESE al cierre de la vigencia anterior (2024), los cuales contemplan variables relacionadas con cartera, pasivos especialmente al talento humano en salud, pérdidas operacionales y generación de recaudo frente a ingresos causados. 
Como meta se estableció el seguimiento y realización de acciones de inspección y vigilancia sobre 25 Empresas Sociales del Estado distribuidas así: 
• Diez (10) durante el primer semestre 
• Quince (15) durante el segundo semestre 
Lo anterior con el fin de verificar en campo el comportamiento y fallas que se pudieran identificar frente a los resultados obtenidos en los indicadores. Producto de estas acciones, se generan los respectivos informes de auditoría y traslados a entidades a las autoridades competentes. 
En este sentido, para efectos de obtener el resultado del indicador, se multiplica el número de Empresas Sociales del Estado priorizadas por el número cuatro (4) que equivale a la cantidad de indicadores verificados desde el componente financiero a partir de la información financiera, como se indicó anteriormente.
Es decir, que para el I semestre de la vigencia 2025, se realizaron acciones de IV a diez (10) ESE multiplicado por 4 indicadores financieros, para un total de 40 alertas identificadas y gestionadas en el monitoreo y vigilancia de los recursos financieros.
</t>
  </si>
  <si>
    <t xml:space="preserve">Para el I semestre de la vigencia 2025, la Dirección de Inspección y Vigilancia para Prestadores de Servicios de Salud, si bien realizó la programación de 5 orientaciones técnicas, se ejecutaron 7, lo que corresponde a un cumplimiento del 140% vs la meta establecida.
En ese orden de ideas, las dos (2) orientaciones técnicas que se realizaron adicional a las programadas para este periodo, se enfocaron en:
La situación de alerta y emergencia en todo el territorio nacional por fiebre amarilla específicamente en el Departamento del Tolima, por lo que en el marco de la Circular Externa 0018 de 2024, mediante la cual el Ministerio de Salud y Protección Social emite directrices para la preparación, organización y respuesta ante este evento de interés en salud pública. Este despacho consideró relevante generar un espacio para la realización de orientación técnica con los Prestadores de Servicios de Salud del Tolima, con el fin de afianzar el deber del prestador como Unidad Primaria Generadora de Datos - UPGD, así como de reiterar la responsabilidad que les asiste en el cumplimiento de las características del Sistema General de Seguridad Social en Salud, como accesibilidad, oportunidad, seguridad, pertinencia y continuidad.
Teniendo en cuenta que el Chocó se encuentra entre los Departamentos con mayor número de casos de desnutrición aguda en menores de 5 años (evento 113), morbilidad materna extrema (evento 549) y mortalidad materna (550), se realizó jornada de seguimiento a los planes de mejora de los prestadores priorizados ante los eventos de Interés en Salud Pública desnutrición y morbimortalidad materna y perinatal, con el objetivo de verificar el cumplimiento efectivo del plan de mejora generado por parte de los ocho (8) prestadores de servicios de salud priorizados, frente a la atención de los menores de edad de 0 a 59 meses, las gestante y neonatos en los territorios de influencia de cada uno de ellos con el propósito disminuir la desnutrición y la morbimortalidad materno perinatal.
</t>
  </si>
  <si>
    <t xml:space="preserve">Para el I semestre de la vigencia 2025, se realizó una (1) acción de IV relacionada con monitoreo de riesgos- (Requerimiento de información al vigilado CENTRO DERMATOLOGICO FEDERICO LLERAS ACOSTA E.S.E, teniendo en cuenta los siguientes antecedentes:
*El 7 de febrero de 2025, se recibió traslado por parte de la Contraloría General de la República a través del radicado nro. 20259300400720912, mediante el cual informaron dos (2) hallazgos identificados en el marco de la auditoría de Cumplimiento al CENTRO DERMATOLOGICO FEDERICO LLERAS ACOSTA E.S.E de las vigencias 2022 y 2023, los cuales quedaron registrados en el informe CGR-CDSS 033 de diciembre 6 de 2024 y se citan a continuación:
"Hallazgo 10. Consulta previa de Sistema de Administración de Riesgos de Lavado de Activos y Financiación del Terrorismo (SARLAFT) y de listas restrictivas y de control internacionales y nacionales. (A-D-OI)."
"Hallazgo 16. Mayores valores pagados a Proveedores por Medicamentos, Insumos o Productos vigencias 2022 y 2023. (A-D-OI-IP)."
A tal efecto, en el desarrollo de dichas acciones, se verificaron las evidencias allegadas por la Contraloría en lo relacionado al Subsistema de Administración del Riesgo de Lavado de Activos, Financiación del Terrorismo y Financiación de la Proliferación de Armas de Destrucción Masiva.
*El 25/02/2025 se realizó el primer requerimiento a través del radicado nro. 20254100000392221, el vigilado da respuesta 28/02/2025 mediante el radicado nro.20259300404316142.
*El 20/04/2025 se realizó el primer requerimiento a través del radicado nro. 20254100000856901, el 19/05/2025 se realizó reiteración a través del radicado nro. 20254100001084001, el vigilado da respuesta 21/05/2025 mediante el radicado nro.20259300411249152.
*El 6/06/2025 se realizó el primer requerimiento a través del radicado nro.20254100001232821, el vigilado da respuesta 11/06/2025 mediante el radicado nro. 20259300413165572.
En virtud de lo anterior, se elaboró informe con los incumplimientos evidenciados.
Por lo anterior, se da cumplimiento a la meta establecida para el I semestre de la vigencia 2025 de realizar una acción de monitoreo de riesgos a un vigilado priorizado para tal fin.
</t>
  </si>
  <si>
    <t xml:space="preserve">​Se ejecutaron diversas actividades en cumplimiento a  la implementación de la política de Servicio al Ciudadano, como:                                                      
   * Implementar acciones para articular con las dependencias y áreas para el Relacionamiento con la Ciudadanía y Grupos Valor.
   *Desarrollar los escenarios de relacionamiento             
  *Realizar ejercicios de Benchmarking.                                                
   *Revisar y ajustar los Manuales, Protocolos, Documentos.                                                                                
  *Socializar, sensibilizar y capacitar en temática relevante de servicio al ciudadano.  
 *Realizar campañas de ortografía en el marco de los lineamientos nacionales del Lenguaje Claro.
*Transformar, actualizar o ajustar las respuestas de los Derechos de Petición y Solicitudes de Información.
</t>
  </si>
  <si>
    <t xml:space="preserve">​Se realizaron 30 auditorías a los vigilados relacionadas con el Sistema de Información y Atención al Usuario - SIAU, mecanismos de Participación Ciudadana y comportamiento de reclamos en salud, en cumplimiento al PAG aprobado para la vigencia.
Y Se realizaron 3 auditorías a los vigilados relacionadas con el Sistema de PQRD propio de las EPS, en cumplimiento al PAG aprobado para la vigencia
</t>
  </si>
  <si>
    <t xml:space="preserve">​Se presenta información con corte a febrero 2025, en virtud de que el periodo de reporte de insumos es 5 días hábiles mes vencido. 
Aclarado lo anterior se presenta el resultado de la aplicación de la encuesta de satisfacción realizada en el canal telefónico y presencial (Regionales, Puntos de Atención y CAC). 
Entre enero y febrero 2025 se recibieron 134.953 respuestas con calificación buena y excelente, de un total de 156.221 respuestas, las cuales corresponden a un 86.36% de satisfacción.
La meta se ajusto para el mes de abril. 
</t>
  </si>
  <si>
    <t>​Durante el semestre se realizaron 7 capacitaciones en derechos y deberes y mecanismos de participacion ciudadana en municipios PDET con un total de 962 asistentes </t>
  </si>
  <si>
    <t>​ Para dar cumplimiento a la Actividades de IVC a Gestores Farmacéuticos objeto de supervisión en el marco del proceso de operación inicial de la Supervisión Basada en Riesgos se programó para los días 28 y 29 de mayo en la ciudad de Bucaramanga, en el contexto de la Mesa Técnica para los departamentos de Santander y Norte de Santander. Teniendo en cuenta la convocatoria de Paro Nacional anunciada por las Centrales Obreras para los días 28 y 29 de mayo, esta actividad será reprogramada.</t>
  </si>
  <si>
    <t xml:space="preserve">En  el periodo de enero a   abril del 2025, el  90,10% (828)  de los tramites presentados por los grupos   de valor o de interés a la Delegada para Operadores Logísticos de Tecnologías   en Salud y Gestores Farmacéuticos    fueron tramitados  y  finalizados y  el    9,9 % (91)  se encuentran en   desarrollo.
Es importante indicar que aunque no se cumplio con el objetivo, la   DOLTS_GF, para el primer cuatrimestres del 2025 presento un incremento de 439   reclamos en comparación con el año anterior    y  asi mismo el número de   funcioarios se encuentra disminuido con respecto al año anterior
</t>
  </si>
  <si>
    <t>​Se realizaron 2 actividades de acompañamiento a las Direcciones Regionales en actividades de IVC a los Gestores Farmacéuticos ,  COHAN Y CAFAM, en la regional Andina de la ciudad de Medellín  estas acciones son fundamentales en el cumplimiento de las funciones de IVC de nuestra Delegada, se da cumplimiento al 100% de lo planteado en el PAG para mayo de 2025.</t>
  </si>
  <si>
    <t>​Se realizó auditoria integral  en al Gestor Farmacéutico  GENHOSPI SAS en el departamento de Nariño , del 28 al 30 de mayo  ordenada a través de Auto 2025600030000695-7, las auditorias son fundamentales en el desarrollo de las acciones de IVC a nuestros vigilados y el cumplimiento al Programa de Auditorias. Se da cumplimiento al 100% de lo propuesto para el mes de mayo.</t>
  </si>
  <si>
    <t xml:space="preserve">​INDICADOR A DEMANDA
Total de actos administrativos expedidos en el semestre a demanda 
* por Direcciones 
1) Dirección de aseguramiento: De abril a junio de 2025 : 167 y en total en el semestre 513 
2) Dirección de prestadores : De abril a junio de 2025: 90 y en total en el semestre 169
3) Dirección de OLFERGART: De abril a junio de 2025 : 55 y en total en el semestre 103
Total de actos expedidos en el trimestre: 167+90+55: 312
Total de actos expedidos en el semestre : 785
Numero de solicitudes aceptadas en el semestre: 
1) Dirección de aseguramiento : 54
2) Dirección de Prestadores: 61
3) Dirección OLFERGART: 74
total 189
aplicación de formula 189/1785*100
</t>
  </si>
  <si>
    <t xml:space="preserve">​INDICADOR A DEMANDA
INFORMACION POR TRIMESTRE
Para 2025 se identificaron 441 procesos administrativos con riesgo de caducidad 2025 , en el primer trimestre se reportaron como expedidas 166 decisiones equivalentes al 37.6%
Para el segundo trimestre de 2025 se profirieron 136 decisiones con riesgo 2025 equivalente al 30,83%
Por lo anterior se entiende que para el 30 de junio de 2025 se ha realizado un avance del 68.43 % , dando cumplimiento al indicador 
</t>
  </si>
  <si>
    <t>Total por rubro de funcionamoento $ 731.506.000
Total, ejecución acumulada:   = $599.023.035
Saldo pendiente por ejecutar:
Saldo restante: $731.506.000 – $599.023.035 = $132.482.965
 Resultado del avance 81 % 
se avanzo en mas del 50% en el semestre dando cumplimiento al presupuesto presentado a la Delegatura , se adjunta panatallazo de ejecución por areas entregado por en equipo de seguimiento presupuestal de la entidad y cdp expedidos en el trimestre </t>
  </si>
  <si>
    <t xml:space="preserve">INDICADOR A DEMANDA 
Solicitudes aceptadas por ANS: 189 en el semestre 
Solicitudes recibidas​ en el semestre  376
Ante el alto porcentaje de devoluciones a las areas proveedores, durante el segundo trimestre de 2025 se adelantaron mesas de actualización de ANS con todos los proveedores del proceso administrativo sancionatorio, en donde se recordaron los acuerdos a las areas y se resolvieron dudas, con el fin de reducir estas devolciones a la luz de los acuerdos de nivel de servicio
</t>
  </si>
  <si>
    <t xml:space="preserve">​INDICADOR A DEMANDA
Durante el TRIMESTRE se expidieron con apertura/improcedencia /investigación preliminar 87 procesos de los cuales 8 fueron por  criterio de priorización 
</t>
  </si>
  <si>
    <t xml:space="preserve">​se informa que el número de acuerdos conciliatorios con seguimientos  realizados fueron 87; a su vez , el  número de acuerdos conciliatorios suscritos que sean exigibles fueron tambien 87 , cunpliendose la regla establecida en el indicador 
</t>
  </si>
  <si>
    <t>Durante el primer trimestre se elaboró el informe de seguimiento de los planes institucionales (PND, PES, PEI y PAG), evidenciando que el 97% de las metas establecidas por las dependencias fueron cumplidas. Estos resultados reflejan un avance significativo hacia el logro de los objetivos propuestos por la entidad."</t>
  </si>
  <si>
    <t xml:space="preserve">​A 30 de abril la ejecución (obligaciones) de los recursos de inversión de la entidad fue del 11,38%:
Obligaciones:       $9.919.710.465
Total inversión:  $87.198.844.691
Evidencia: Reporte SIIF nación a 30 de abril de 2025;
A 30 de abril, del total de los recursos de inversión asignados para la presente vigencia, se han comprometido $34.211.236.392 equivalente al 39,23%, de los cuales se han generado obligaciones por un total de $9.919.710.465 lo que equivale al 11,38% del total de los recursos asignados. De las 18 dependencias ejecutoras de los proyectos de inversión,  8  lograron o superaron la meta planteada del 10% de ejecución sobre las obligaciones: Delegada para la Protección al Usuario, Delegada para Operadores Logísticos, Delegada para la Función Jurisdiccional  y de Conciliación, Delegada para Prestadores de Servicios de Salud, Delegada para Entidades Territoriales, Delegada para Entidades de Aseguramiento en Salud,  Dirección Jurídica, y la Dirección Administrativa-Grupo de Gestión Documental.
Desde la Oficina Asesora de Planeación y la Secretaria General, se han planteado acciones conjuntas que permitan realizar un seguimiento estricto a la ejecución de los gastos de la entidad, que permita generar alertas y la toma de decisiones oportunas para mejorar el nivel de ejecución de las apropiaciones de la presente vigencia fiscal.  Dentro de las acciones encontramos:Seguimiento periodo a la ejecución del Plan Anual de Adquisiciones y generación de alertas por parte de la Dirección de ContrataciónSeguimiento periódico a la ejecución presupuestal de la entidad a través de Comité Institucional de Gestión y DesempeñoSeguimiento a la ejecución presupuestal a través del Comité Directivo.
De igual manera se coloca a disposición de los ejecutores de los proyectos de inversión, y de los funcionarios de la entidad, la ejecución presupuestal desagregada a nivel de proyecto, dependencia, y actividad (formato powerBI.  A la fecha del presente reporte, se encuentra actualizada la información a 31 de marzo, la cual puede ser consultada a trabes de:
Página web, en la siguiente ruta: Nuestra entidad, Planeación, Proyectos de inversión, Seguimiento
Intranet, en la siguiente ruta: Tramites y Servicios – Reportes (Ejecución de recursos de inversión)
</t>
  </si>
  <si>
    <t>Al 30 de abril de 2025, se registraron un total de 77 solicitudes documentales en el Sistema Integrado de Gestión, correspondientes a los 15 procesos institucionales. De estas solicitudes, el 32.5% (25) correspondieron a la creación de nuevos documentos, el 54.5% (42) a la actualización de documentos existentes y el 9.1% (7) a la eliminación de documentos. Estos datos evidencian que la mayoría de las gestiones se centraron en la actualización documental, seguida por la creación de nuevos documentos y, en menor proporción, la eliminación de documentos.
La información fue obtenida del SharePoint de Formalización Documental, donde los líderes de cada proceso registran sus solicitudes. El acceso a este registro está disponible en el siguiente enlace:https://supersalud.sharepoint.com/sites/SIG/Lists/Formalizacion%20documental/AllItems.aspx</t>
  </si>
  <si>
    <t xml:space="preserve">De conformidad a la programación establecida en el PAAS para la vigencia 2025 y en atención a la actividad "Ejecutar Programa Anual Seguimiento a la Gestión Institucional", alusiva al indicador "Seguimientos y evaluaciones efectuadas al control institucional", la Oficina de Control Interno definió reportar en el mes de julio el cumplimiento correspondiente al segundo trimestre de la presente anualidad; de ello, se puede precisar, que fueron ejecutadas nueve (9) de las trece (13) actividades programadas, concluyéndose que las cuatro (4) restantes serán reportadas en el segundo semestre de la presente anualidad.
Por lo anteriormente señalado, el porcentaje de cumplimiento para el período ahora reportado obedece al 69% de ejecución de acuerdo con lo definido en el Plan Anual de Seguimientos de Ley a la Gestión Institucional.
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
</t>
  </si>
  <si>
    <t xml:space="preserve">Porcentaje de avance en el cumplimiento del Plan Estratégico de Tecnologías de la Información y las Comunicaciones PETI.
Para el primer trimestre se tenían programadas 8 actividades de las cuales se cumplieron las 8 actividades. 
Fortalecimiento de los sistemas de información misionales, con un enfoque en la integración e interoperabilidad de datos e informaciónImpulsar la Seguridad digital a través de la adopción del modelo de seguridad y privacidad de la información y de la implementación de un SGSI para la entidad.Fortalecer la seguridad de la información a través de la implementación de controles de seguridad informática y ciberseguridad.Fortalecer la implementación de los controles de protección de datos personales a través de un programa de protección y la adopción de las políticas PDP y privacidad.Fortalecer las funciones de IVC de la SNS a través de la implementación de procedimientos y controles de auditoría a sistemas de información, cadena de custodia y Laboratorio ForenseOptimización de la gestión de la infraestructura tecnológicaFortalecer las capacidades para consolidar iniciativas y alianzas en la Política de Gobierno DigitalImplementación del Plan de formación y capacitación de Tecnologías de la Información y Comunicación (TIC).
</t>
  </si>
  <si>
    <t xml:space="preserve">​Durante el segundo trimestre de 2025, la Subdirección de Tecnologías de la Información, en articulación con otras dependencias de la Superintendencia Nacional de Salud, avanzó en múltiples frentes estratégicos para el fortalecimiento institucional y tecnológico:
1.Fortalecimiento del talento humano y equipos técnicos: Se avanzó en la contratación de perfiles clave para el Grupo de Sistemas de Información, incluyendo arquitecto de software y desarrolladores, en apoyo al desarrollo de soluciones tecnológicas.
2.Proyectos:
oHoja de Vida del Vigilado: Se avanzó en el levantamiento de información, análisis de requerimientos y definición de arquitectura inicial.
oPaz y salvo: Se inicio con la fase de requerimientos del proceso de digitalización y automatización del Paz y Salvo.
oGobernanza de Datos: Se formalizó la contratación con la Universidad de Antioquia para su implementación por fases.
oArquitectura Empresarial: El inicio del proyecto se pospuso para el segundo semestre debido a limitaciones operativas.
3.Gestión estratégica y operativa:
oSe diseñaron metodologías, plantillas e instrumentos estandarizados alineados con el Modelo de Gestión de Proyectos de TI (MGPTI), junto con estrategias de sensibilización y medición del nivel de madurez institucional.
oSe elaboró el documento base del Plan de Capacidad de TI y se fortaleció la infraestructura tecnológica mediante mantenimiento preventivo, soporte y mejoras de conectividad.
oSe avanzó en la articulación del equipo para alinear el Plan Institucional de Capacitación con las necesidades formativas TIC de las direcciones regionales, identificadas mediante un diagnóstico aplicado.
4.Seguridad digital y protección de datos:
oSe presentó el monitoreo de riesgos de seguridad digital del primer trimestre como parte del control interno institucional.
oSe fortaleció la implementación de controles de protección de datos personales, revisando políticas de privacidad y promoviendo un entorno de confianza.
oSe formalizó y actualizó la documentación de activos de información y se realizaron capacitaciones a gestores y personal TI.
5.Política de Gobierno Digital:
oSe adelantaron acciones para fortalecer su implementación como eje articulador de la transformación tecnológica institucional.
6.Marco Integral de Supervisión:
oSe continúa con su diseño y definición de modelos de supervisión diferenciados, que servirán como base metodológica para la Inspección, Vigilancia y Control con enfoque preventivo.
Se aclara que la meta no se cumplió por los siguientes motivos: 
No fue posible dar inicio durante el primer semestre con el proyecto relacionado con la consolidación de las PQRS entorno a la prestación de los servicios de salud, debido a que no se logró la vinculación de un profesional para apoyar las actividades relacionadas con la definición de un mecanismo o herramienta para la consolidación, integración y consulta de las PQRS, tomando como punto de partida el análisis del estado actual de acuerdo con la normatividad vigente, los procesos, los datos, sistemas de información y tecnologías dispuestas actualmente para la gestión de PQRS en la entidad.
El proyecto propuesto con la articulación del modelo de Gobernanza de Datos y su gestión de manera transversal en la entidad, no inicia ya que apenas se esta avanzando en la definición e implementación del modelo de Gobernanza de Datos y hasta que este proyecto no avance no será posible adelantar la articulación del modelo.
El Plan de Continuidad del Negocio (BCP) se esta empezando a diseñar en conjunto con la oficina asesora de planeación y otras áreas de la entidad con la participación de los grupos de Seguridad Digital e Infraestructura y Servicios tecnológicos de la Subdirección de Tecnologías de la información, sin embargo, el proyecto relacionado con el acompañamiento en la implementación del Plan de Continuidad del Negocio (BCP), no puede iniciar hasta tanto no se haya definido el BCP.
Por último, se espera que el proyecto del fortalecimiento de la Arquitectura Empresarial en la entidad se pueda iniciar en el segundo semestre de la presente vigencia ya que se tuvo que dar prioridad a otros temas debido a la alta ocupación de la capacidad operativa de la Subdirección de Tecnologías de la Información.
</t>
  </si>
  <si>
    <t>El Modelo de Seguridad y Privacidad de la Información (MSPI) en Colombia es un conjunto de lineamientos y buenas prácticas que deben implementar las entidades públicas para gestionar adecuadamente la seguridad y privacidad de sus activos de información.    
Se basa en estándares internacionales como la ISO/IEC 27001 y está regido principalmente por el Ministerio de Tecnologías de la Información y las Comunicaciones (MinTIC) a través de la Resolución 00500 de 2021 (y sus actualizaciones, como la Resolución 02277 de 2025 que actualiza el MSPI) y el Decreto 338 de 2022.
La implementación del MSPI en una entidad pública colombiana se desarrolla generalmente a través de un ciclo de operación que contempla cuatro fases principales: Planificación, Implantación (o Ejecución), Evaluación de Desempeño (o Monitoreo y Revisión) y Mejora Continua.
Respecto al tema se realiza:
• Identificación y Clasificación de Activos de Información:
o Se actualiza procedimiento de activos de información en la entidad y se socializa el nuevo procedimiento, manual y herramienta de levantamiento de activos.  
o Se inicia con la actualización de activos de información de la entidad.
• Gestión de Riesgos de Seguridad de la Información - Controles:
o Se realiza seguimiento a los planes de tratamiento de riesgos, para verificar el cumplimiento por parte de los procesos de la entidad de las medidas de mitigación y controles definidos.
o Se genera informe de riesgos de seguridad y privacidad de la información, el primero desde la reestructuración de la entidad, en el cual además del seguimiento se dan recomendaciones para mejorar la gestión estos a todos los procesos de la entidad.
o Se cambian las fechas de reporte de riesgos debido al cambio de personal por el concurso de méritos.
o Se socializa el tema de activos de información y riesgos de seguridad y privacidad de la información a los gestores de la entidad para indicarles de que manera se debe abordar la actualización de activos y la actualización de los riesgos y sus planes de tratamiento asociado de cara al segundo semestre de 2025.
• Desarrollo de Políticas y Procedimientos:
o Se inicia actualización de políticas de seguridad de la información.
o Se inicia actualización de políticas de protección de datos.</t>
  </si>
  <si>
    <t>​Durante el segundo trimestre de 2025, se avanzó en la formulación y actualización del Plan de Tratamiento de Riesgos de Seguridad y Privacidad de la Información, como parte de las acciones estratégicas orientadas a fortalecer el Sistema de Gestión de Seguridad de la Información (SGSI) de la entidad. 
Este plan contempla un conjunto de medidas preventivas, correctivas y de mitigación para gestionar los riesgos identificados, asegurando la confidencialidad, integridad y disponibilidad de la información institucional. 
Asimismo, se priorizaron acciones según el nivel de criticidad de los activos y la probabilidad de ocurrencia de las amenazas, definiendo responsables, plazos y recursos necesarios para su implementación. 
La ejecución de este plan busca garantizar el cumplimiento de la normativa vigente en materia de seguridad digital y protección de datos personales, reducir la exposición a incidentes y fortalecer la confianza de los ciudadanos en el manejo de su información.
Se realizaron las dos actividades programadas para el periodo, dando un acumulado de 3 de 8 previstas para la vigencia.</t>
  </si>
  <si>
    <t xml:space="preserve">​Como resultado de la gestión adelantada durante el primer trimestre de la vigencia en curso, y tenieno en cuenta los compromisos adquiridos por la Subdirección de Analítica, se avanzó en: 
1. Diseño, exposición y aprobación por parte del Comité Directivo de la estrategia de transferencia del conocimiento, la cual tiene como objetivo mitigar la fuga del conocimiento con la transición del personal de la entidad; para ser implementada durante este periodo de tiempo de evaluación. 
2. Primera sesión del Equipo Técnico de Apoyo a la Gestión de Inovación y del Conocimiento. 
3. Implementación del formato PEFT52 Transferencia del Conocimiento, para ser diligenciado por parte de todos los colaboradores de la entidad: https://docs.supersalud.gov.co/PortalWeb/planeacion/AdministracionSIG/PEFT52.docx 
4. Elaboración de tablero de control para el análisis de los resultados obtenidos a partir del ejercicio de diligenciamiento del formulario de Transferencia de Conocimiento. 
5. Estructuración de los repositorios de información para cada una de las dependencias y grupos de trabajo, con el fin de consignar los productos finales en éstos. 
</t>
  </si>
  <si>
    <t xml:space="preserve">​Para el periodo de tiempo reportado, con relación a la implementación de la Política GESCO+I y con relación al cronograma definido, se adelantaron las siguientes acciones: 
Actividades: 
1. Formular estrategias para programa de habilidades blandas para fortalecer la cultura de la innovación
2. Identificar, analizar y evaluar planes, proyectos e ideas que se generen del SGI
3. Fomentar la generación de foros y espacios de innovación abierta con otras entidades y grupos de interés.
Evidencias:
A) Actividades: 1,2 y 3. Durante los meses de mayo y junio, se realizaron WORKSHOPS TERRITORIALES en las Direcciones regionales Andina y Occidente, con el fin de identificar técnicamente necesidades y proyectos que aporten a la innovación, así como capacitar y fortalecer habilidades sobre innovación y gestión del conocimiento. Se adjunta presentación con los resultados y análisis.
B) Actividad 3: Durante el mes de junio se adelantó acercamiento con el HUBiEX de la Universidad el Bosque, en el marco del MOU que se tiene con esta organización. Lo anterior, para dar inicio a un proyecto que le permita a la entidad automatizar el proceso de PQRS mediante Inteligencia Artificial. Se adjunta video SUPERMAGZINE en el cual se refleja esta actividad. 
C) Adicionalmente, se implementó estrategia de Gestión del Conocimiento con el fin de mitigar la fuga del conocimiento. Se crearon repositorios de información (link adjunto) yse creó el primer mapa del conocimiento de la entidad. Teniendo en cuenta que la información contenida en este espacio tiene una clasificación y reserva no se puede adjuntar, para verificar la información se puede administrar acceso posterior a la solicitud. 
</t>
  </si>
  <si>
    <t xml:space="preserve">​Durante el segundo trimestre, en el marco de la definición del Modelo de Gobernanza y Gestión de Datos e Información, se adelantaron las siguientes actividades:
Socialización Flujograma Gestionar Analítica de datos e información (1)Base Única de Vigilados actualizada (1)Documentos Reglas de Negocio e Integración de Datos actualizado (1)Catálogo de Datos Abiertos actualizado (2)Informes Validación de mallas - Archivos Tipo (2)Reporting Services gestionados y actualizados (3) actividad mensualInformes Cartera y otros financieros de vigilados (1)Informe UIAF (1)Tableros de Mando gestionados y actualizados (2)Script (1) Se resalta que de acuerdo con la Oficina Asesora de Planeación, este indicador es acumulado, motivo por el cual y de acuerdo con los cronogramas definidos se tiene un avance del 27,7%.
Se adjunta enlace de carpeta para complementar evidencias de REPORTING SERVICES: Reporting Service 
</t>
  </si>
  <si>
    <t xml:space="preserve">En el periodo de tiempo evaluado, se adelantaron las siguientes acciones para la implementación de la Política de Gestión de Información Estadística, con un avance de 6 actividades de las programadas: 
Soportes inicio etapa precontractual para la Política de Gestión de Información Estadística, se adjunta modificación PAA y por lo tanto esta etapa no ha iniciado por cambio de objeto contractual para transferencia de conocimiento aun sin definir por decisiones gerenciales asociadas al concurso y cambio de personal (1)
Línea base de demandas insatisfechas (1)
Implementación de Buenas Prácticas DANE SEN en el flujo de actividades clave de éxito (1)
Línea Base Registros Administrativos (1)
Línea base de operaciones estadísticas (1)
Documento Estrategia de Difusión (1)
Se hace la aclaración que de acuerdo con indicaciones de la Oficina Asesora de Planeación, el avance acumulado de este indicador es del 80%. 
</t>
  </si>
  <si>
    <t xml:space="preserve">​En cumplimiento del objetivo de diseñar el Marco Integral de Supervisión y promover su apropiación institucional, durante el periodo reportado se llevaron a cabo mesas de trabajo con las diferentes áreas de la Superintendencia Nacional de Salud. Estos espacios de articulación permitieron avanzar en la validación técnica y conceptual del marco, realizar los ajustes necesarios y dar respuesta a los comentarios y observaciones emitidos por las dependencias involucradas.
Las mesas de trabajo no solo facilitaron la retroalimentación oportuna, sino que también contribuyeron a generar sentido de pertenencia y compromiso institucional con el instrumento, sentando las bases para la implementación gradual de estrategias de uso y apropiación en los distintos niveles de la entidad. Esta fase participativa garantiza que el Marco responda a las necesidades reales del ejercicio de la supervisión, fortaleciendo su aplicabilidad y sostenibilidad en el tiempo.
Se adjunta documento del MIS ajustado. 
</t>
  </si>
  <si>
    <t xml:space="preserve">Durante el primer trimestre del año se adelantaron mesas de trabajo orientadas a la construcción y ajuste de metodologías, lineamientos y proyectos de circular. Estas acciones buscan fortalecer la gestión institucional y brindar herramientas claras a los vigilados para el cumplimiento de sus obligaciones. A continuación, se relacionan los documentos que se encuentran en desarrollo o en proceso de ajuste:Expedición Circular de Datos GeneralesExpedición Circular 001 Proyecto Circular FT015Proyecto Circular 011Proyecto Circular ADRESProyecto Circular de AutorizacionesProyecto Circular GAUDIProyecto Circular SIARCMetodologías de Reclamos en SaludPolítica de Vejez - acciones SNS
Cabe resaltar que estos documentos continúan en proceso de trabajo y ajustes.
</t>
  </si>
  <si>
    <t xml:space="preserve">​Teniendo en cuenta que este indicador es a demanda, durante el segundo trimestre, se gestionaron las seiguientes actividades y documentos: 
1. Circular externa de liquidaciones con la actualización de los formatos FT015 Y FT012  
2. Circular 030 de 2013 
3. Formulario de reclamos realizado con la DID -DPU - DGFOLTS 
4. Metodología de reclamos en Salud I1 
5. Metodología para el calculo de los IOSC. 
6. Circular externa para actualizar archivos de la 006 de 2018 con ADRES
7. Sentencia T760 
8. Circular 011 
9. Capacidad técnica, para agente interventor , liquidador o contralor . 
10. Circular externa 001 de 2020 
11. ABC- Reclamos en Salud. 
12. Metodología SOAT 
13. Circular SIARC
14. Metodología Siniestralidad
</t>
  </si>
  <si>
    <t xml:space="preserve">​Con respecto a la medición de la tasa de éxito procesal: Durante el primer semestre de 2025 fueron fallados 116 procesos, 7 con sentido del fallo desfavorable que corresponde al 6,03%  y 109 con sentencias favorables que corresponde al 93,97%, evidenciando una adecuada defensa técnica de los intereses de la Superintendencia Nacional de Salud por parte de los abogados del Grupo de Defensa Judicial.
Con respecto a la actualización de la Relatoría: Durante el primer semestre de 2025 los abogados del Grupo de Defensa Judicial, realizaron la actualización de la relatoria, se adjunta como soporte: el documento Relatoría 2025 y la matriz en excel.
Con respecto a fortalecer con capacitación a los abogados en la actuación en procesos orales y cambios normativos: Durante el primer semestre de 2025 los abogados del Grupo de Defensa Judicial, se capacitaron en la Comunidad Jurídica del Conocimiento, se adjuntan evidencias de cursos.
Con respecto al monitoreo de la ejecución del plan de acción de la política del daño antijurídico: En cumplimiento a la actividad,  se adjunta soportes de capacitación del 02 de abril de 2025 de la Subdirección de Recursos Jurídicos. Asímismo se remite correo electrónico del 04 de julio solicitando la evidencias de capacitación de la DIA.
Con respecto a adelantar actividades de seguimiento a la gestión en el marco de la política de prevención del daño antijurídico PPDA en la Superintendencia Nacional de Salud: Como evidencia de realización de la actividad se anexa el reporte de seguimiento a la PPDA del Ekogui.
</t>
  </si>
  <si>
    <t xml:space="preserve">​Para el primer trimestre de la vigencia se consiguió un porcentaje de cumplimiento de 100% de las actividades programadas para el período, para un porcentaje acumulado del 100% del total de las actividades programadas para la vigencia en la actividad
</t>
  </si>
  <si>
    <t>​Para el primer trimestre de la vigencia se consiguió un porcentaje de cumplimiento de 100% de las actividades programadas para el período, para un porcentaje acumulado del 100% del total de las actividades programadas para la vigencia en la actividad</t>
  </si>
  <si>
    <t xml:space="preserve">​Para el primer trimestre de la vigencia se consiguió un porcentaje de cumplimiento de 100% de las actividades programadas para el período, para un porcentaje acumulado del 100% del total de las actividades programadas para la vigencia en la actividad
</t>
  </si>
  <si>
    <t xml:space="preserve">En el primer cuatrimestre (Enero-Abril) de 2025 la Oficina de Control Disciplinario realizo cuatro (4) capacitaciones, charlas en materia disciplinaria, con las siguientes temáticas y participantes: 1) 18/02/2025 (Supervisión y su responsabilidad disciplinaria) 176 participantes  (Virtuales 168 y 8 presencial); 2) 28/02/2025 (Corrupción Publica; Deberes etc CGD  - 45 participantes (presencial); 3) 31/03/2025 (charla sobre derecho de petición y sus consecuencias disciplinarias) -   114 participantes (Virtual); 4) 25/04/2025 (Incompatibilidades y conflicto de intereses código general disciplinario – participantes 75  (Virtual)  -  Total participantes = 430 funcionarios.                         FebreroMarzoAbril
Total participantes: 176  (Virtuales 168 y 8 presencial)   - Primera 18/02/2025 (Supervisión)
Total participantes: 45  (presencial)  - Segunda 28/02/2025 (Corrupción Publica; Deberes etc CGD)
Total participantes: 114  (Virtual) 
Realizada: 31/03/2025 (charla sobre derecho de petición y sus consecuencias disciplinarias)
Total participantes: 75  (Virtual) 
Realizada: 25/04/2025 (Incompatibilidades y conflicto de intereses código general disciplinario
</t>
  </si>
  <si>
    <t xml:space="preserve">El inventario de expedientes existentes en el primer semestre 2025, a evaluar en etapa de juzgamiento, para adoptar la decisión de primera instancia, correspondía a cuatro (4) de los cuales se adoptó fallo sancionatorio de primera instancia en dos (2),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
 Lo previsto para el primer semestre se alcanzó según o previsto en el indicador, incluso superando la línea base del indicador.
</t>
  </si>
  <si>
    <t>​La falta de ejecución de la actividad relacionada con el Programa de Gestión Documental -PGD-, incluida entre las 9 actividades programadas en el PAG para el 1er. trimestre, se debió a que no se tenía la información de la formulación del proyecto de inversión 2026-2030 -trabajo iniciado desde noviembre 2024 con culminación junio 2025-, y que es imprescindible para el PGD. Por lo anterior, se solicitó a la OAP ajuste, aprobándose para cumplirse en abril.</t>
  </si>
  <si>
    <t xml:space="preserve">En los meses de enero, febrero y marzo de 2025  el Grupo de Almacen realizó campañas de sensibilizacion y asesoria a los funcionarios y contratistas de la Entidad acerca del cuidado y control de los bienes.   
Algunas de las evidencias donde despues de la explicacion del manejo en el Aplicativo de Control de Activos ApliCA; sobre como realizar los traslados y reintegros se les envio  correos electronicos de fechas 17/01/2025, 28/02/2025 y 19/03/2025. Esto con el fin de mantener el uso correcto de los mismos y evitar acciones disciplinarias. Como resultado se ha obtenido que los funcionarios tengan el mayor cuidado de los bienes a cargo de cada uno y asi darle el mejor uso para el desarrollo de las funciones.
</t>
  </si>
  <si>
    <t xml:space="preserve">En los meses de abril, mayo y junio de 2025  el Grupo de Almacen realizó campañas de sensibilizacion y asesoria a los funcionarios y contratistas de la Entidad acerca del cuidado y control de los bienes.  Esto con el fin de mantener el uso correcto de los mismos y evitar acciones disciplinarias. Como resultado se ha obtenido que los funcionarios tengan el mayor cuidado de los bienes a cargo de cada uno y asi darle el mejor uso para el desarrollo de las funciones.
</t>
  </si>
  <si>
    <t xml:space="preserve">Los funcionarios encargados del componente Ambiental del  Grupo de Recursos Físicos, realizaron el seguimiento y cumplimiento oportuno de las actividades generadas en el cronograma de Hitos ambientales del Sistema de Gestión Ambiental con corte a junio de 2025, realizando todas las actividades programadas, con el fin de mejorar el rendimiento del Sistema de Gestión Ambiental basado en la ISO 14001:2015. Lo anteior, con el fin de posesionar el sistema de Gestión Ambiental en busca de adherir conocimiento y madures del mismo.    Se generaron las evidencias correspondientes de las actividades ejecutadas del cronograma, las mismas se cargan en el aplicativo destinado.
Se ejecutaron las 19 actividades  programadas generando un avance total del 55%  conforme planeación establecida en el cronograma.
</t>
  </si>
  <si>
    <t xml:space="preserve">​ENERO: En el periodo indicado solo se suscribieron contratos en modalidad directa, por lo que no se reportan resultados para dicho indicador.
FEBRERO: En el periodo indicado se suscribió un (1) contrato por Mínima Cuantía al cual se le aplico Abastecimiento estratégico dirigidas a la promoción de la micro, pequeña y mediana empresa. 
MARZO: En el periodo indicado se suscribieron cinco (5) contratos por Mínima Cuantía a los cuales se le aplico Abastecimiento estratégico dirigidas a la promoción de la micro, pequeña y mediana empresa. 
ABRIL: En el periodo indicado se suscribieron (17) contratos, distribuidos en diferentes modalidades de contratación, entre ellas Selección Abreviada de Subasta Inversa y Contratación Directa, a los cuales se les aplicó el esquema de Abastecimiento Estratégico, dirigido a la promoción de la micro, pequeña y mediana empresa. 
MAYO: En el periodo indicado se suscribieron siete (7) contratos, distribuidos en diversas modalidades de contratación, entre ellas Mínima Cuantía (4), Selección Abreviada Acuerdo Marco de Precios (1), Selección Abreviada de Subasta Inversa (1) y Licitación Pública (1). A estos contratos se les aplicó el esquema de Abastecimiento Estratégico, orientado a la promoción de la micro, pequeña y mediana empresa
JUNIO: En el periodo indicado se suscribieron un (1) contrato por medio de la modalidad de Mínima Cuantía al cual se le aplicó el esquema de Abastecimiento Estratégico, dirigido a la promoción de la micro, pequeña y mediana empresa. 
</t>
  </si>
  <si>
    <t xml:space="preserve">​ENERO: En el periodo indicado solo se suscribieron contratos en modalidad directa, por lo que no se reportan resultados para este indicador. 
FEBRERO: En el periodo indicado no se suscribieron contratos a través de la tienda virtual del estado colombiano - TVEC, por lo tanto, no se reportan resultados para este indicador. 
MARZO: SELECCION ABREVIADA ACUERDO MARCO DE PRECIOS 
Contrato No. 71 de 2025, cuyo objeto es: ADQUIRIR LOS SERVICIOS DE NUBE PÚBLICA MICROSOFT AZURE PARA LA SUPERINTENDENCIA NACIONAL DE SALUD. No. S Orden de compra 143254 
ABRIL: En el periodo indicado no se suscribieron contratos a través de la tienda virtual del estado colombiano - TVEC, por lo tanto, no se reportan resultados para este indicador. 
MAYO: SELECCION ABREVIADA ACUERDO MARCO DE PRECIOS 
Contrato No. 96 de 2025, cuyo objeto es: Adquirir los certificados de firma digital con token virtual para la Superintendencia Nacional de Salud  
JUNIO: E n el periodo indicado no se suscribieron contratos a través de la tienda virtual del estado colombiano - TVEC, por lo tanto, no se reportan resultados para este indicador. 
</t>
  </si>
  <si>
    <t xml:space="preserve">ElPlan Anual de Adquisiciones (PAA) vigencia 2025, a corte marzo, cuenta con 258 líneas programadas y presenta un porcentaje de ejecución del 17,57%, con un avance en recursos de inversión del 16,65% y en recursos de funcionamiento del 24,24%. Se encuentran pendientes por radicar 4 líneas PAA por parte de diferentes dependencias. El PAA ha sido publicado en SECOP II y en la página web de la Superintendencia Nacional de Salud, con una publicación inicial y 7 actualizaciones realizadas en el primer trimestre del año.
Se ha realizado seguimiento continuo al PAA mediante acciones como revisiones por parte de la Dirección de Contratación, socialización con el ordenador del gasto, reuniones de trabajo con las dependencias y reporte del avance a la Secretaría General, garantizando así el cumplimiento de los lineamientos establecidos.
</t>
  </si>
  <si>
    <t xml:space="preserve">ENERO: En el periodo indicado se suscribieron catorce (14) contratos en la modalidad directa, trece (13) por prestación de servicios y un (1) contrato interadministrativo,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14 contratos.
FEBRERO: En el periodo indicado se suscribieron treinta y ocho (38) contratos, de los cuales treinta y siete (37) fueron bajo la modalidad de Contratación Directa y uno (1) por Mínima Cuantía,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38 contratos.
MARZO: En el periodo indicado se suscribieron veinte (20) contratos, de los catorce (14) fueron bajo la modalidad de Contratación Directa y cinco (5) por Mínima Cuantía y un (1) por selección abreviada acuerdo marco de precios,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20 contratos.
ABRIL: En el periodo indicado se suscribieron diecisiete (17) contratos, de los cuales dieciséis (16) fueron bajo la modalidad de Contratación Directa y uno (1) por Selección Abreviada – Subasta Inversa.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MAYO: En el periodo indicado se suscribieron veinticinco (25) contratos, de los cuales dieciocho (18) fueron bajo la modalidad de Contratación Directa, cuatro (4) por Mínima Cuantía, uno (1) por Selección Abreviada por Acuerdo Marco de Precios, uno (1) por Selección Abreviada mediante Subasta Inversa y uno (1) por Licitación Pública.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JUNIO: En el periodo indicado se suscribieron diecisiete (17) contratos, de los cuales quince (15) fueron bajo la modalidad de Contratación Directa y dos (2) por Mínima Cuantía.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t>
  </si>
  <si>
    <t xml:space="preserve">​ De 140.427 documentos radicados entre abril, mayo y junio de2025, se tomó una muestra del 5% lo cual arrojó un resultado de 7.020 documentosradicados que fueron revisados en los cuales se encontraron un total de 6.975documentos asignados correctamente y que proyectados al total de radicados son139.528 que cumplen con la asignación correcta a las dependencias; lo querepresenta un porcentaje de cumplimiento del  99.36% en dicho periodo, teniendo encuenta que la meta es del 98%. ABRILTOTAL RADICADOS 44.623 ASIGNADOS CORRECTAMENTE 44.320, MAYOTOTAL 49.969 ASIGNADOS CORRECTAMENTE 49.669, JUNIO 45.835ASIGNADOS CORRECTAMENTE 45.537.​ 
​ 
</t>
  </si>
  <si>
    <t>​En el primer trimestre de 2025 (enero, febrero y marzo) se realizaron tres campañas de comunicaciones. El indicador se cumplió. </t>
  </si>
  <si>
    <t xml:space="preserve">​Se llevó a cabo el cumplimiento de las 4 actividades programadas para el primer trimestre de la siguiente manera: 
Enero:
Actividad 1:
*Se envió el 4 de febrero de 2025 a través de correo electrónico institucional el Informe de la Ejecución Presupuestal a cada una de las Dependencias junto con los saldos de RP al corte de enero de 2025.
*Se realizó Mesa de trabajo el 6 de febrero de 2025 con los enlaces de las dependencias que tienen asignado recursos de funcionamiento e inversión en la vigencia 2025 abordar los siguientes temas:
1.Informar la Ejecución Presupuestal de la entidad y de las dependencias al 31 de Enero 2025
2.Informar la Ejecución de Tiquetes aéreos al 31 de Enero 2025
3.Reservas Presupuestales al 31 de Diciembre de 2024 (Ejecutar en 2025)
4.Lineamientos frente a trámites presupuestales
Febrero:
Actividad 2:
*Se envió el 3 de marzo de 2025 a través de correo electrónico institucional el Informe de la Ejecución Presupuestal a cada una de las Dependencias junto con los saldos de RP al corte de febrero de 2025.
*Se realizó Mesa de trabajo el 7 de marzo de 2025 con los enlaces de las dependencias que tienen asignado recursos de funcionamiento e inversión en la vigencia 2025 abordar los siguientes temas:
*Informar la Ejecución Presupuestal de la entidad y de las dependencias al 28 de Febrero 2025 
*Informar la Ejecución de Tiquetes aéreos al 28 de Febrero 2025 
*Reservas Presupuestales al 31 de Diciembre de 2024 (Ejecutadas en 2025) 
*Lineamientos frente a trámites presupuestales 
Marzo:
Actividad 3:
*Se envió el 2 de abril de 2025 a través de correo electrónico institucional el Informe de la Ejecución Presupuestal a cada una de las Dependencias junto con los saldos de RP al corte de marzo de 2025.
*Se realizó Mesa de trabajo el 7 de abril de 2025 con los enlaces de las dependencias que tienen asignado recursos de funcionamiento e inversión en la vigencia 2025 abordar los siguientes temas:
•Informar la Ejecución Presupuestal de la entidad y de las dependencias al 31 de marzo 2025
•Informar la Ejecución de Tiquetes aéreos al 31 de marzo 2025
•Reservas Presupuestales al 31 de diciembre de 2024 (Ejecutadas en 2025)
•Lineamientos frente a trámites presupuestales
Actividad 4:
Se realizó la primera capacitación a las dependencias que ejecutan el presupuesto sobre los procedimientos y trámites de gestión presupuestal en la cual se abordo temas como:
-Programación Presupuestal
-Ejecución Presupuestal (CDP, Registro Presupuestal, Reserva Presupuestal, (ezago Presupuestal)
-Traslados Presupuestales y Vigencias Futuras
-Seguimiento a la Ejecución Presupuestal
Se adjuntan carpetas con evidencias de las actividades realizadas.
</t>
  </si>
  <si>
    <t xml:space="preserve">​Se realizaron las 3 actividades programadas durante el 2do trimestre de la vigencia, las cuales corresponden a la elaboración de informes de seguimiento a la ejecución presupuestal (mensual): 
Cierre Abril:
*Se realizó mesa de trabajo el 8 de mayo de 2025 con todas las dependencias, en el marco del seguimiento a la ejecución presupuestal y la socialización por parte de la Dirección Financiera y la Secretaría General. El objetivo de esta sesión fue abordar los siguientes temas:
1.Informar la Ejecución Presupuestal de la entidad y de las dependencias al 30 de Abril 2025
2.Informar la Ejecución de Tiquetes aéreos al 30 de Abril 2025
3.Reservas Presupuestales al 31 de Diciembre de 2024 (Ejecutadas en 2025)
4.Lineamientos frente a trámites presupuestales
Cierre Mayo:
*Se envió el 5 de junio de 2025 a través de correo electrónico institucional el Informe de la Ejecución Presupuestal a cada una de las Dependencias junto con los saldos de RP al corte de mayo de 2025.
*Se realizó Mesa de trabajo el 11 de junio de 2025 con los enlaces de las dependencias que tienen asignado recursos de funcionamiento e inversión en la vigencia 2025 abordar los siguientes temas:
1.Informar la Ejecución Presupuestal de la entidad y de las dependencias al 31 de Mayo 2025
2.Informar la Ejecución de Tiquetes aéreos al 31 de Mayo 2025
3.Reservas Presupuestales al 31 de Diciembre de 2024 (Ejecutadas en 2025)
4.Lineamientos frente a trámites presupuestales
Reunión que quedó soportada con acta GE-11584 yse envió correo al Director Financiero y a la Asesora de la Secretaría General del compromiso adquirido en dicha reunión.
Cierre Junio:
*Se envió el 4 y el 7 de julio de 2025 a través de correo electrónico institucional el Informe de la Ejecución Presupuestal a cada una de las Dependencias junto con los saldos de RP al corte de junio de 2025.
*Se realizó Mesa de trabajo el 8 de julio de 2025 con los enlaces de las dependencias que tienen asignado recursos de funcionamiento e inversión en la vigencia 2025 abordar los siguientes temas:
1. Informar la Ejecución Presupuestal de la entidad y de las dependencias al 30 de junio 2025
2. Informar la Ejecución de Tiquetes aéreos al 30 de junio 2025
3. Reservas Presupuestales al 31 de diciembre de 2024 (Ejecutadas en 2025)
4. Lineamientos frente a trámites presupuestales
De la mesa de trabajo se generó el acta GE-11667 del 8 de julio de 2025 por ITS Gestión, aplicativo de la entidad.
Es importante informar a las áreas sobre la ejecución presupuestal para que la corroboren contra el control que maneja cada uno de los enlaces y aclarar todas las dudas que puedan presentar sobre los trámites presupuestales.
</t>
  </si>
  <si>
    <t xml:space="preserve"> La apropiación asignada a la Superintendencia Nacional de Salud (SNS) para la vigencia 2025 ascendió a $326.211.744.691. De este total, se ejecutaron compromisos por la suma de $96.859.043.620, lo que representa el 29,7% de la apropiación. Este resultado es mayor al 20% al programado en los indicadores de gestión, significa que se cumple a satisfacción el indicador.
En cuanto a la ejecución presupuestal de los recursos de funcionamiento e inversión, se presenta lo siguiente:
• Recursos de funcionamiento: $67.687.413.848,64, lo que representa el 28,3% de la apropiación vigente de $239.012.900.000.
• Recursos de inversión: $29.171.629.771,44, equivalente al 33,5% de la apropiación vigente de $87.198.844.691
 Es importante resaltar que la ejecución por obligaciones alcanzó los $49.670.956.864,92 lo que representa el 15,2%, y la ejecución por pagos fue de $49.626.084.256,92 equivalente al 15,2%.
</t>
  </si>
  <si>
    <t xml:space="preserve">​La apropiación asignada a la Superintendencia Nacional de Salud (SNS) para la vigencia 2025 ascendió a $326.211.744.691. De este total, se ejecutaron compromisos por la suma de $149.357.146.852,02, lo que representa el 45,8% de la apropiación. Este resultado es mayor al 40% al programado en los indicadores de gestión, significa que se cumple a satisfacción el indicador.
En cuanto a la ejecución presupuestal de los recursos de funcionamiento e inversión, se presenta lo siguiente:
• Recursos de funcionamiento: $104.612.787.030,32, lo que representa el 43,8% de la apropiación vigente de $239.012.900.000.
• Recursos de inversión: $44.744.359.821,7, equivalente al 51,3% de la apropiación vigente de $87.198.844.691
Es importante resaltar que la ejecución por obligaciones alcanzó los $98.787.131.396,37 lo que representa el 30,3%, y la ejecución por pagos fue de $98.773.344.767,1 equivalente al 30,3%.
</t>
  </si>
  <si>
    <t>Durante el mes de Mayo, se gestionaron 140 cuentas que fueron radicadas en los tiempos estipulados
de acuerdo con la Circular Interna 2022920020000026- 4 de 2022,asi mismo, los documentos radicados después del día 25 calendario se tramitaron en el siguiente mes. Por lo cual, se cumplió con la meta
del indicador del 100%, (140/140) habiendo gestionado la totalidad de las cuentas radicadas con un
tiempo de gestión de 1,8 días hábiles. Se adjunta base con relación de cuentas radicadas y gestionadas, así como el reporte del indicador con la correspondiente gráfica.</t>
  </si>
  <si>
    <t>​Durante el mes de enero de 2025 se da cumplimiento a la actividad: "Actualizar los riesgos contemplados en la defensa jurídica del estado y fortalecerlos con el apoyo de la Guía para la Administración del Riesgo." formulada en el cronograma de implementación y sostenibilidad de la política de Defensa Jurídica se realiza la revisión y monitoreo de los riesgos y la efectividad de los controles, se adjunta las evidencias de ejecución de la actividad.</t>
  </si>
  <si>
    <t>​Durante el mes de Enero, se gestionaron  42 cuentas que fueron radicadas en los tiempos estipulados de acuerdo con la Circular Interna 2022920020000026-4 de 2022,asi mismo, los documentos radicados despues del dia 25 calendario se tramitaron en el siguiente mes. Por lo cual, se cumplió con la meta del indicador del 100%, (42/42) habiendo gestionado la totalidad de las cuentas radicadas con un tiempo de gestión de 1,1 dias hábiles. Se adjunta base con relación de cuentas radicadas y gestionadas, asi como el reporte del indicador con la correspondiente gráfica.</t>
  </si>
  <si>
    <t>​Se realizó auditoria integral  en al Gestor Farmaceutico Pharmasan en el departamento de Santander, del 10 al 14 de febrero ordenada a través de Auto 202500000000134-7, las auditorias son fundamentales en el desarrollo de las acciones de IVC a nuestros vigilados y el cumplimiento al Programa de Auditorias. Se da cumplimiento al 100% de lo propuesto para el mes de febrero.</t>
  </si>
  <si>
    <t>​Para el primer trimestre de 2025 se llevao a cabo 1 reunion entre la Dirección Jurídica y la Dirección de Innovación y Desarrollo respecto de la implementación de la politica de mejora normativa al interior de la Superintendencia y en la que además se recopilaron datos al respecto para reporte FURAG. Adicionalmente, se realizarón 2 reuniones más del equipo de política de mejora normativa al interior de la Dirección Jurídica</t>
  </si>
  <si>
    <t xml:space="preserve">Observación: Una vez realizada la consolidación de las actividades de IV desarrolladas por los grupos internos de trabajo se indica que se cumplio con el indicador para el primer trimestre, cuya mediana correspondiente es 87.3 %.
Se aclara que cada grupo tienen diferentes tipos de vigilados por lo que el total de vigilados no son objeto de acciones de IV por todos los grupos internos de trabajo.
</t>
  </si>
  <si>
    <t xml:space="preserve">​Se realiza el seguimiento programado para el período.  En este caso al municipio de Dabeiba Antioquia.
Se adjuntan las evidencias de seguimiento.
</t>
  </si>
  <si>
    <t xml:space="preserve">Inicialmente se programó activiar la red en un solo territorio para el primer trimestre, sin embargo se reprogramaron acciones para agilizar el tema por la importancia que reviste la red de controladores.  
En este sentido se activó la redes en 5 departamentos adelantando lo que se tenía planeado para meses siguientes.  La meta anual es de 10 departamentos con red activada.​
Se adjunta: Carpeta compartida con  subcarpetas por departamento donde se activó la red de controladores.  En cada subcarpeta pueden verse actas, listas de asistencia entre otras evidencias que enmarcan la activación de la red en cada uno de estos territorios. 
La red de controladores se ha activado en 5 nuevos departamentos de acuerdo a lo planeado.  Como la meta es 10 para el año, haber avanzado con 5 este primer trimestre se considera un buen reporte.  Estos departamentos son:
* Caldas
* Risaralda
* Quindío
* Boyacá
* Guajira
Adicionalmente se adjunta evidencia de una reunión de articulación de la red a nivel nacional.
</t>
  </si>
  <si>
    <t xml:space="preserve">​Se realizan los 8 seguimientos a regionales programados. 
Se adjunta evidencia de lo anterior.
</t>
  </si>
  <si>
    <t>​Se ejecutaron diversas actividades en cumplimiento a  la implementación de la política de Servicio al Ciudadano, como:                                                                       
   * Implementar acciones para articular con las dependencias y áreas para el Relacionamiento con la Ciudadanía y Grupos Valor. 
   *Desarrollar los escenarios de relacionamiento             
  *Realizar ejercicios de Benchmarking.                                                
   *Revisar y ajustar los Manuales, Protocolos, Documentos.  
  *Socializar, sensibilizar y capacitar en temática relevante de servicio al ciudadano.  
 *Realizar campañas de ortografía en el marco de los lineamientos nacionales del Lenguaje Claro.                
 *Transformar, actualizar o ajustar las respuestas de los Derechos de Petición y Solicitudes de Información</t>
  </si>
  <si>
    <t>​Entre enero a marzo se radicaron y trasladaron al responsable del aseguramiento a través de una orden de inmediato y obligatorio cumplimiento 91.364 reclamos en salud recibidos por el canal presencial.</t>
  </si>
  <si>
    <t>​Se realizó auditoria integral  en al Gestor Farmaceutico CAFAM en Manizalez y Bogotá, ordenada a través de Auto2025600000000428- 7, las auditorias son fundamentales en el desarrollo de las acciones de IVC a nuestros vigilados y el cumplimiento al Programa de Auditorias. Se da cumplimiento al 100% de lo propuesto para el mes de Marzo.</t>
  </si>
  <si>
    <t>​Se ralizó asistencia tecnica con el Gestor Farmaceutico Pharmaasan, la cual  fue fundamenta para el cumplimiento del reporte financiero por parte de los vigilados. De esta manera se da cumplimiento al 100% de lo propuesto en el PAG para Marzo 2025.</t>
  </si>
  <si>
    <t>​Se realizaron 2 actividades de acompañamiento a las Direcciones Regionales en actividades de IVC a los Gestores Farmaceutocos ,  Santa Sofia de Asis en la ciudad y Ramedicas en Quido Choco estas acciones son fundamentales en el cumplimiento de las funiones de IVC de nuestra Delegada, se da cumplimiento al 100% de lo planteado en el PAG para marzo 2025.</t>
  </si>
  <si>
    <t xml:space="preserve">​Para el primer trimestre de 2025 se programó la realización de 19 auditorias. 
Durante el mes de enero, se realizaron 3 auditorias, en el mes de febrero 8 auditorias y en el mes de marzo 8 auditorias, para un total de 19 auditorias, dando cumplimiento en el numero de auditorias realizadas, versus las auditorias programadas para el I trimestre de la vigencia 2025.
</t>
  </si>
  <si>
    <t xml:space="preserve">​
Como resultado de la gestión adelantada durante el primer trimestre de la vigencia en curso, y tenieno en cuenta los compromisos adquiridos por la Subdirección de Analítica, se avanzó en: 
1. Diseño, exposición y aprobación por parte del Comité Directivo de la estrategia de transferencia del conocimiento, la cual tiene como objetivo mitigar la fuga del conocimiento con la transición del personal de la entidad; para ser implementada durante este periodo de tiempo de evaluación. 
2. Primera sesión del Equipo Técnico de Apoyo a la Gestión de Inovación y del Conocimiento. 
3. Implementación del formato PEFT52 Transferencia del Conocimiento, para ser diligenciado por parte de todos los colaboradores de la entidad: https://docs.supersalud.gov.co/PortalWeb/planeacion/AdministracionSIG/PEFT52.docx 
4. Elaboración de tablero de control para el análisis de los resultados obtenidos a partir del ejercicio de diligenciamiento del formulario de Transferencia de Conocimiento. 
5. Estructuración de los repositorios de información para cada una de las dependencias y grupos de trabajo, con el fin de consignar los productos finales en éstos. 
</t>
  </si>
  <si>
    <t>Porcentaje de avance en el cumplimiento del Plan Estratégico de Tecnologías de la Información y las Comunicaciones PETI.
Para el primer trimestre se tenían programadas 8 actividades de las cuales se cumplieron las 8 actividades. 
Fortalecimiento de los sistemas de información misionales, con un enfoque en la integración e interoperabilidad de datos e informaciónImpulsar la Seguridad digital a través de la adopción del modelo de seguridad y privacidad de la información y de la implementación de un SGSI para la entidad.Fortalecer la seguridad de la información a través de la implementación de controles de seguridad informática y ciberseguridad.Fortalecer la implementación de los controles de protección de datos personales a través de un programa de protección y la adopción de las políticas PDP y privacidad.Fortalecer las funciones de IVC de la SNS a través de la implementación de procedimientos y controles de auditoría a sistemas de información, cadena de custodia y Laboratorio ForenseOptimización de la gestión de la infraestructura tecnológicaFortalecer las capacidades para consolidar iniciativas y alianzas en la Política de Gobierno DigitalImplementación del Plan de formación y capacitación de Tecnologías de la Información y Comunicación (TIC).</t>
  </si>
  <si>
    <t>Porcentaje de actividades ejecutadas en cumplimiento del Plan de Seguridad y Privacidad de la Información y Seguridad Digital
Para el primer trimestre se tenía programada 1 actividad la cual se cumplió. 
Socialización de lineamientos y Herramienta - Gestión de Riesgos de Seguridad y privacidad de la Información y Seguridad Digital
Evidencia: Se adjunta formato DEFT04 con la gestión realizada y los link con los informes realizados para cada actividad</t>
  </si>
  <si>
    <t>Porcentaje de actividades ejecutadas en cumplimiento del Plan de Tratamiento de Riesgos de Seguridad y Privacidad de la Información
Para el primer trimestre se tenía programada 1 actividad la cual se cumplió. 
Avanzar en la identificación de activos de información
Evidencia: Se adjunta formato DEFT04 con la gestión realizada y los link con los informes realizados para cada actividad. </t>
  </si>
  <si>
    <t xml:space="preserve">Se hace el respectivo cargue que soporta los avances frente al Flujos de Información de la actividad clave de éxito, Gestionar Analítica de Datos e Información.
Igualmente se cargan evidencias frente a la Base única de vigilados, Catálogo de datos abiertos, Medición Indicadores de Calidad,
Mallas de validación,  Informe UIAF,
Scripts vigilados, Tablero de salud pública,
Tablero Fenix, Tableros de cartera actualizados.
</t>
  </si>
  <si>
    <t xml:space="preserve">En los meses de enero, febrero y marzo de 2025  el Grupo de Almacen realizó campañas de sensibilizacion y asesoria a los funcionarios y contratistas de la Entidad acerca del cuidado y control de los bienes.   
Algunas de las evidencias donde despues de la explicacion del manejo en el Aplicativo de Control de Activos ApliCA; sobre como realizar los traslados y reintegros se les envio  correos electronicos de fechas 17/01/2025, 28/02/2025 y 19/03/2025.                                                                                                                                                                                                                                         Esto con el fin de mantener el uso correcto de los mismos y evitar acciones disciplinarias. Como resultado se ha obtenido que los funcionarios tengan el mayor cuidado de los bienes a cargo de cada uno y asi darle el mejor uso para el desarrollo de las funciones.
</t>
  </si>
  <si>
    <t xml:space="preserve">​Se desarrollaron 107 acciones en el marco del ANS, entre las que se encuentran jornadas de atención al usuario orientadas a verificar la adecuada prestación de los servicios de salud y la gestión de trámites por parte de las EPS en municipios como Fonseca, Paratebueno, Maní, Sogamoso y San Vicente del Caguán, entre otros. De igual manera, se adelantaron ejercicios de verificación rápida en Barrancabermeja, Bucaramanga, Enciso y San Andrés. 
Por otra parte, las Direcciones Regionales apoyaron en mesas de PQR en departamentos como Boyacá; así como, en  ferias de servicios y procesos de capacitación en diferentes territorios los cuales pueden verificarse en el enlace de la DETGRARSGSSS
</t>
  </si>
  <si>
    <t xml:space="preserve">​Se realizaron dos socializaciones durante el mes de agosto adelantando la socializacion del mes de septiembre, cumpliendo el 100% de las actividades programadas.
Estas  socializaciones se realizaron  en la ciudades de Pasto y Cali, en la cuales se aboradron los temas de Marco Integral de Supervisión y SIARC respectivamente.
</t>
  </si>
  <si>
    <t xml:space="preserve">​A 31 de agosto la ejecución (obligaciones) de los recursos de inversión de la entidad fue del36,54%:
Total inversión año 2025:  $87.198.844.691
Total comprometido: $64.493.839.666
Obligaciones: $31.860.537.928
Evidencia: Reporte SIIF nación a 31 de agosto de 2025;
A 31 de agosto, del total de los recursos de inversión asignados para la presente vigencia, se han comprometido $64.493.839.666 equivalente al 73,96%, de los cuales se han generado obligaciones por un total de $31.860.537.928 lo que equivale al 49.4% de los recursos comprometidos y el 36,54% del total de los recursos asignados para la vigencia. De las 18 dependencias ejecutoras de los proyectos de inversión,  solo una (1) dependencia logro o supero la meta planteada del 50% de ejecución sobre las obligaciones, caso concreto del a Superintendencia Delegada para la Protección al Usuario quien registró un nivel de obligaciones del 55%;  sin embargo, el nivel de obligaciones se situó por encima en  4 puntos porcentuales comparado con el mismo periodo de la vigencia 2024.  Frente al porcentaje de compromisos, al mismo corte, se situó por encima en 15 puntos porcentuales.  De tal manera que el cumplimiento de las obligaciones,  acorde con las formas de pago definidas en los contratos suscritos, se llevaran a cabo, en su mayoría en el segundo semestre de la presente vigencia.
</t>
  </si>
  <si>
    <t xml:space="preserve">Total por rubro de INVERSIÓN $ 731.506.000
Total, ejecución acumulada:   = $711.860.467 A CORTE 30 DE SEPTIEMBRE 
Saldo pendiente por ejecutar: 
Saldo restante: $731.506.000 – $711.860.467 = $19.645.533
 Resultado del avance 97 % 
se avanzo en mas del 97%  dando cumplimiento al presupuesto presentado a la Delegatura , se adjunta panatallazo de ejecución por areas entregado por en equipo de seguimiento presupuestal de la entidad 
</t>
  </si>
  <si>
    <t>​En la Dirección de Conciliación, para el tercer trimestre de 2025 se presentaron los siguientes resultados frente a las actividades descritas a continuación:
Realizar acciones para la recuperación de recursos del sistema de seguridad social a través del mecanismo de la Conciliación como método alternativo de solución de conflictos.
CUMPLIMIENTO DEL INDICADOR: Se determina mediante el porcentaje de (Valor confirmado de pago de los acuerdos conciliatorios exigibles contestados en el periodo de reporte / Valor total conciliado de los acuerdos conciliatorios exigibles contestados en el periodo de reporte).
Realizar acciones para la recuperación de recursos del sistema de seguridad social a través del mecanismo de la Conciliación como método alternativo de solución de conflictos.
Se determina mediante el número total de acuerdos conciliatorios realizados en el periodo de reporte.
= 166 Acuerdos Conciliatorios por un valor de $47.223.856.344.</t>
  </si>
  <si>
    <t>Para el periodo de seguimiento se realizaron actividades con el actor Aseguradores, en 6 de las 8  regionales, lo que equivale a un acumulado de 5.75 actores de los 9 programados para el cuatrienio, faltando 0.25 para alcanzar la meta de la vigencia de 2025, el detalle de las actividades se rrelaciona acontinuación:
 - DR Andina:se realizaron Mesas de PQRD con 2 nuevos aseguradores en el mes de Agosto:  Policia, Astmetsalud
- DR Orinoquía:Seguimiento del 1 al 10 de la Mesa PQRD con Capital Salud EPS Meta, Seguimiento del 1 al 9 de la Mesa PQRD con Famisanar EPS Meta, Seguimiento del 1 al 9 de la Mesa PQRD con Nueva EPS Meta, Seguimiento del 1 al 8 de la Mesa PQRD con Sanitas EPS Meta
- DR Occidental: Se realizaron tres (3) mesas de Inspección y Vigilancia para seguimeinto de PQRD a las EPS Nueva EPS, Emssanar y Servicio Occidental de Salud. Adicionalmente en la Sede Agualongo Se realizó una lista de verificación LVR a la EPS Asmet Salud y mesa PQRD Emssanar. 
- DR Sur: Se desarrollaron un total de 3 acciones que consistieron en la realización de mesa de trabajo seguimiento PQRD Huila y Tolima con Famisanar y 2 requerimientos a Famisanar EPS y Asmet Salud EPS para resolución de PQRD
- DR Nororiental: 4 Mesa aseguradores (1seguimiento a estratégia contención de quejas con EPS Santander) y ( 3 Mesas Seguimiento TBC Bucaramanga) 
- DR Caribe: Se realizó mesa tecnica de flujo de recursos con las 15 EPS que operan en los departamentos de Magdalena, Cesar y Guajira.
- Sede Insular: Se ejecutó IVR a Nueva EPS el 17 de julio de 2025.
- DR Chocó: N/A Por dificultades logísticas impidieron la consolidación del informe el reporte ingresará en el cuarto trimestre del año.
- DR Norte: N/A, se tiene programado para el cuarto trimestre del año</t>
  </si>
  <si>
    <t xml:space="preserve">En el periodo reportado correspondiente al tercer trimestre de 2025,  se desarrollaron 89 actividades de 72 orientadas a promover los derechos y deberes en salud y los mecanismos de participación ciudadana, dirigidas a diferentes territorios del país, para un cumplimiento del  126%. Los 91 eventos se discriminan así: 48 jornadas de atención al usuario, 24 capacitaciones, 6 seminarios, 4 diálogos con la SuperSalud, 4 piezas lúdicas, 4 líder tiene la palabra y 1 acompañamiento. 
Como soporte de estas acciones, se entrega el cronograma con los municipios visitados, dentro de los cuales se destacan varios municipios con enfoque PDET (Programa de Desarrollo con Enfoque Territorial), priorizados por su condición de vulnerabilidad y necesidad de fortalecimiento institucional y de igual forma se encuentran actividades con grupos poblacionales de caracter diferencial (Población LGBTIQ+,cuidadores de personas con discapacidad, mujeres y personas con discapacidad auditiva).
En conclusión, se cumple con la meta.
</t>
  </si>
  <si>
    <t xml:space="preserve">Durante la vigencia, la entidad avanzó en la implementación y fortalecimiento de la Pólitica de Servicio al Ciudadano, orientando las acciones hacia la mejora de la experiencia de los ciudadanos.
Se desarrollaron las siguientes acciones principales:
- Fortalecimiento de canales de atención: Se mantuvieron y optimizaron los canales presenciales, telefónicos y virtuales, garantizando la atención oportuna y eficaz a las solicitudes, quejas, reclamos y peticiones de la ciudadanía.
- Capacitación al talento humano: Se realizaron jornadas de formación para los servidores públicos en temas de servicio al ciudadano y atención con enfoque diferencial .
- Mejoras en formatos de respuestas a PQR y solicitudes de información en el marco de leguaje claro.
-  Acciones de participación ciudadana: Se llevaron a cabo espacios de diálogo y atención que permitieron a la ciudadanía conocer los avances de la entidad y participar en la construcción de mejoras al servicio.
En general, las acciones ejecutadas reflejan el compromiso institucional con la transparencia, la eficiencia y la calidad en la prestación de los servicios, contribuyendo al fortalecimiento de la confianza ciudadana en la gestión pública.
</t>
  </si>
  <si>
    <t xml:space="preserve">​Se realizaron 2 auditorías a los vigilados relacionadas con el Sistema de PQRD propio de las EPS, en cumplimiento al PAG aprobado para la vigencia
Se realizaron 24 auditorías, se registraron actas y autos de auditoría, se gestionaron 24 informes, se cumple con lo planeado para el trimestre desde el grupo IV SIAU
</t>
  </si>
  <si>
    <t xml:space="preserve">Se presenta información con corte a agosto 2025, en virtud de que el periodo de reporte de insumos es 5 días hábiles mes vencido.
Aclarado lo anterior se presenta el resultado de la aplicación de la encuesta de satisfacción realizada en el canal telefonico y presencial (Regionales, Puntos de Atención y CAC). Se identifica que para este trimestre el CAC bajo en su pordentaje bueno y exelente del indicador frente a sus historicos
Entre julio y agosto 2025 se recibieron 80.680 respuestas con calificación buena y exelente de un total de 99.341  respuestas las cuales correponden a un 81.2% de satisfacción
</t>
  </si>
  <si>
    <t xml:space="preserve">Para el tercer trimestre de 2025, la Dirección de Inspección y Vigilancia para Prestadores de Servicios de Salud, programó 12 auditorias, de la siguiente manera:
En el mes de julio, se programaron 2 auditorias de las cuales se ejecutaron 2.
En el mes de agosto se programaron 5 auditorias de las cuales se ejecutaron 5.
En el mes de septiembre, se programaron 5 auditorias, de las cuales se ejecutaron 5. 
Por lo anterior, para el III trimestre de 2025, se presenta un cumplimiento del 100%, correspondiente a la ejecución de 12 auditorías, de 12 programadas para dicho periodo, lo que permite garantizar el cumplimiento del Programa Anual de Auditoría
</t>
  </si>
  <si>
    <t xml:space="preserve">En el tercer trimestre de 2025, la Dirección de Inspección y Vigilancia para Prestadores de Servicios de Salud, evaluó oportunamente 73 planes de mejoramiento de 73 recibidos para trámite en el mismo periodo, de los cuales 8 correspondían a primera revisión de plan de mejoramiento, 16 a segunda revisión y 49 a soportes de ejecución. La totalidad de los radicados recibidos fueron tramitados de manera oportuna, por lo cual el cumplimiento es del 100% respecto a la meta.
Lo anterior permite realiza seguimiento oportunamente a los planes de mejoramiento suscritos por los vigilados, derivados de las auditorías en las cuales se presentaron hallazgos, cuyo propósito es subsanar, corregir y/o prevenir sus causas y gestionar los riesgos  fundamentales sobre aquellas situaciones que afectan su desempeño y cometido institucional, con el fin de contribuir a la mejora de la calidad en la prestación de los servicios de salud
</t>
  </si>
  <si>
    <t xml:space="preserve">Para el III trimestre de 2025, la Dirección de Medidas Especiales para Prestadores de Servicios de Salud realizó 7 seguimientos programados a las ESE bajo medida especial, de 7 seguimientos en campo programados para un cumplimiento del 100%.
Lo anterior permite continuar fortaleciendo  los esquemas de seguimiento técnico, jurídico y financiero, integrando herramientas de monitoreo basadas en indicadores, análisis de datos en tiempo real, visitas de verificación y planes de mejora con seguimiento individualizado a las ESE bajo medida especial
</t>
  </si>
  <si>
    <t xml:space="preserve">Para este trimestre Se gestionaron  2 solicitudes mediante el DIFT33  de las cuales se gestionaron las 2 cumpliendo el  100 %, se anexa los respectivos soportes en elenlace
</t>
  </si>
  <si>
    <t xml:space="preserve">Para el tercer trimestre de 2025, se realizaron siete actividades de ocho programdas, con un cumplimiento del trimestre del 86,49%, en la ejecución de los diferentes proyectos. No se logró la meta debido a diferentes motivos, entre los cuales se destacan como los principales; el cambio intempestivo del personal directivo y de planta, así como la demora en la contratación del personal que estaba proyectado para la gestión de algunos proyectos, motivo por el cual no se logró la meta propuesta tanto en trimestres anteriores como en el actual. Por lo anterior, se contempla la posibilidad de modifcar el PAG. 
Se lleva un  acumulado de 32 actividades de las 58 programadas para la vigencia 2025, con un avance del 55,17%, con respecto a la meta anual del 100% establecida para la implementación del PETI, por lo que se tomaran las acciones pertinentes para reducir el rezago antes de la finalización del año.
</t>
  </si>
  <si>
    <t xml:space="preserve">Se realiza la actividad progrmada para el periodo de seguimiento, con lo cual se lleva un avance del 50% con respecto a la meta establecida para la vigencia, cumpliendo con la totalidad​ de las actividades establecidas en el cronograma hasta el mes de septiembre, esto se logró a través de:
Sensibilización para la interiorización claves de seguridad, uso seguro de la VPN, seguridad digital y ciberseguridad, protección de la información, cumplimiento de la normativa y tendencias en ciberseguridad. Sensibilización para la interiorización claves de seguridad, uso seguro de la VPN, seguridad digital y ciberseguridad, protección de la información, cumplimiento de la normativa y tendencias en ciberseguridadDesde el Grupo de Seguridad Digital, se adelantas las acciones pertinentes para avanzar en el diseño e implementación de la arquitectura de seguridad de la Superintednecia Nacional de Salud
</t>
  </si>
  <si>
    <t xml:space="preserve">Para el periodo de seguimiento se realizó la actividasd prevista en cronograma, co la cual se busca avanzar en la Arquitectura de seguridad de la información documentada. Desde el Grupo de Seguridad Digital, se adelantas las acciones pertinentes para el diseño e implementación de la arquitectura de seguridad de la Superintednecia Nacional de Salud.
Resumen de los logros más importantes: 
- Del ejercicio realizado se identificó filtración de credenciales en estado vigente. 
- Propuestas de mejora o acciones a implementar en futuras actividades. 
- Priorización en la corrección de las debilidades evidenciadas y aún más cuando se encuentran accesos comprometidos. 
- Posibles impactos a largo plazo de la actividad. 
- Subsanación oportuna de las brechas identificadas reduciendo la posible materialización de incidentes de seguridad. 
Sin embargo, a la fecha se han realizado un total de 6 actividades de las 12 programdas para la vigencia 2025, con lo cual el Grupo buscará completar la actividad que no s epudo realizar durante el mes de junio antes que finalice el año. 
</t>
  </si>
  <si>
    <t xml:space="preserve">Durante el tercer trimestre, el grupo de Recursos de la Dirección Administrativa, adscrito a la Secretaría General, adelantó las siguientes acciones orientadas al fortalecimiento del cuidado y control de los bienes públicos:
Socialización institucional: Se realizó una socialización mediante correo electrónico, a todos los funcionarios de la Superintendencia Nacional de Salud, enfocada en la promoción del cuidado de los bienes públicos y la responsabilidad que implica su uso adecuado.
 Adjunto: “Cuidemos los bienes públicos.pdf”
Sensibilización específica: Se llevaron a cabo sesiones de capacitación dirigidas a funcionarios y contratistas con bienes asignados por la entidad, abordando el uso responsable de estos activos y el manejo del aplicativo “Aplica”.
 Adjunto: “Capacitación a funcionarios de Almacén y Funcionarios SNS.pdf”
Estas actividades contribuyen al fortalecimiento de la cultura institucional en torno al uso responsable de los bienes públicos, promoviendo el conocimiento y cumplimiento de las obligaciones por parte de los servidores públicos y contratistas.
</t>
  </si>
  <si>
    <t xml:space="preserve">La Dirección de Talento Humano informa que, durante el tercer trimestre del año, se tenía programada la ejecución de 12 actividades. Sin embargo, se llevaron a cabo únicamente 10, lo que representa un avance del 83,33% frente a la meta establecida.
El incumplimiento del 100% de la programación se debió a la no ejecucion de las siguentes actividades:
Simulacro de evacuación: No fue posible realizar esta actividad debido a la contingencia generada por el proceso de provisión de empleos, derivado de la conformación de listas de elegibles. Esta situación impidió contar con el equipo de brigadistas necesario para su desarrollo.Mediciones higiénicas (iluminación, temperatura y ruido): No se ejecutaron las mediciones en la sede central ni en las regionales, conforme a la Matriz IPVRDC, ya que no se logró contratar el proveedor por parte de la ARL para realizar dichas mediciones en las sedes regionales.
En consecuencia, se informa que el 16,67% restante de las actividades programadas será ejecutado durante el último trimestre del año 2025.
</t>
  </si>
  <si>
    <t xml:space="preserve">​La apropiación asignada a la Superintendencia Nacional de Salud (SNS) para la vigencia 2025 ascendió a $ 326.211.744.691. De este total, se ejecutaron compromisos por la suma de $ 229.777.018.957, lo que representa el 70,4% de la apropiación. Alcanzando la meta programada para el tercer trimestre del 70% en el indicador de gestión, significa que se cumple a satisfacción.
En cuanto a la ejecución presupuestal de los recursos de funcionamiento e inversión, se presenta lo siguiente:
- Recursos de funcionamiento: $163.021.262.623, lo que representa el 68,2% de la apropiación vigente de $ 239.012.900.000.
- Recursos de inversión: $ 66.755.756.334, equivalente al 76,6% de la apropiación vigente de $87.198.844.691.
Es importante resaltar que la ejecución por obligaciones alcanzó los $ 188.032.726.316 lo que representa el 57,6%, y la ejecución por pagos fue de $ 187.918.550.863 equivalente al 58%.
</t>
  </si>
  <si>
    <t xml:space="preserve">​Se realizaron las 3 actividades programadas durante el tercer trimestre de la vigencia, las cuales corresponden a la elaboración de informes de seguimiento a la ejecución presupuestal (mensual): 
Cierre Julio:
*Se realizó mesa de trabajo el 8 de Agosto de 2025 con todas las dependencias, en el marco del seguimiento a la ejecución presupuestal y la socialización por parte de la Dirección Financiera y la Secretaría General. El objetivo de esta sesión fue abordar los siguientes temas:
1.Informar la Ejecución Presupuestal de la entidad y de las dependencias al 31 de Julio 2025
2.Reservas Presupuestales al 31 de Diciembre de 2024 (Ejecutadas en 2025)
3.Lineamientos frente a trámites presupuestales
De la mesa de trabajo se generó el acta GE-11798 del 8 de agosto de 2025 por ITS Gestión, aplicativo de la entidad.
Cierre Agosto:
*Se envió el 2 y el 3 de septiembre de 2025 a través de correo electrónico institucional el Informe de la Ejecución Presupuestal a cada una de las Dependencias junto con los saldos de RP al corte de agosto de 2025.
*Se realizó Mesa de trabajo el 9 de septiembre de 2025 con los enlaces de las dependencias que tienen asignado recursos de funcionamiento e inversión en la vigencia 2025 abordar los siguientes temas:
1. Informar la Ejecución Presupuestal de la entidad y de las dependencias al 31 de agosto 2025
2. Reservas Presupuestales al 31 de diciembre de 2024 (ejecutadas en 2025)
3. Lineamientos frente a trámites presupuestales
De la mesa de trabajo se generó el acta GE-11948 del 9 de septiembre de 2025 por ITS Gestión, aplicativo de la entidad.
Cierre Septiembre:
*Se envió el 3 y el 6 de Octubre de 2025 a través de correo electrónico institucional el Informe de la Ejecución Presupuestal a cada una de las Dependencias junto con los saldos de RP al corte de Septiembre de 2025.
*Se realizó Mesa de trabajo el 8 de Octubre de 2025 con los enlaces de las dependencias que tienen asignado recursos de funcionamiento e inversión en la vigencia 2025 abordar los siguientes temas:
1. Informar la Ejecución Presupuestal de la entidad y de las dependencias al 30 de septiembre 2025
2. Reservas Presupuestales al 31 de diciembre de 2024 (Ejecutadas en 2025)
3. Lineamientos y recomendaciones para las áreas en Octubre.
De la mesa de trabajo se generó el acta GE-12073 del 8 de Octubre de 2025 por ITS Gestión, aplicativo de la entidad.
Es importante informar a las áreas sobre la ejecución presupuestal para que la corroboren contra el control que maneja cada uno de los enlaces y aclarar todas las dudas que puedan presentar sobre los trámites presupuestales.
</t>
  </si>
  <si>
    <t xml:space="preserve">Para el primer semestre del 2025 la Delegada presentó un rezago frente a al cumplimiento de las metas establecidas; por tal motivo, se estan realizando Mesas de Gobernanza adicionales a la meta del periodo con el proposito de ir subsanando aquellos meses donde no hubo reporte. 
Durante julio se realizaron 9 Mesas de Gobernanza en las siguientes fechas y territorios:
14 de julio de 2025. DR Nororiental - Norte de Santander Pamplona.
31 de julio de 2025 DR Orinoquía - Vaupés, Mitú
17 de julio de 2025 DR Orinoquía - Arauca, Arauca
16 de julio de 2025 DR Sur - Caquetá, Florencia
9 de julio de 2025 DR Occidental - Valle del Cauca, Buenaventura
30 y 31 de julio DR Sur - Caquetá, Orito, San Miguel y
Valle del Guamuez
29 de julio de 2025 DR Occidental - Nariño, Tumaco
29 de julio de 2025 DR Caribe - Cesar, Tamalameque
31 de julio de 2025 DR Andina - Risaralda, Pueblo Rico
</t>
  </si>
  <si>
    <t xml:space="preserve">​Por los cambios del personas de la Delegada producto del concurso de mérito, no se realizó una de las sensibilizaciones proyectadas esperando la llegada de los nuevos funcionarios para que estos procesos de formación en el SIG contribuyeran a los procesos de inducción.
Para el periodo de reporte, Se realizaron 3 sesiones de sensibilización sobre el Sistema Integrado de Gestión al interior de la Delegada para Entidades Territoriales. A continuación, se presenta una descripción general de los temas tratados.
1. Sesión se realizó un simil entre el ajedrez y la planeación, en la que se explicó aspectos relacionados con la anticipación, el análisis de riesgos, los beneficios y la capacidad de adaptarse a cambios inesperados para lograr el éxito. Haciendo enfasis en que la planificación empresarial, como el ajedrez, se basa en la evaluación de diferentes escenarios, la consideración de múltiples factores y la toma de decisiones bien fundamentada. 
2. Se realizó una actividad en la que se explicaba las abejas y la gestión de procesos, en la que se destaco la organización en roles definidos, la comunicación constante y efectiva, el enfoque sistemico y el trabajo en equipo, entre otros.
3. Se aplico un test que tenía como objetivo identificar los temas que se deben reforzar al interior del equipo; así mismo, se expuso de manera general algunos conceptos básicos  del Sistema Integrado de Gestión y del proceso de Seguimiento y evaluación al vigilado.
</t>
  </si>
  <si>
    <t xml:space="preserve">​Para 2025 se identificaron 441 procesos administrativos con riesgo de caducidad 2025 , en el primer trimestre se reportaron como expedidas 166 decisiones equivalentes al 37.6%
Para el segundo trimestre de 2025 se profirieron 136 decisiones con riesgo 2025 equivalente al 30,83%
para el tercer trimestre se profirieron 97 decisiones con riesgos 2025 equivalente al 22% 
Por lo anterior se entiende que para el 30 de septiembre de 2025 se ha realizado un avance del  90% , dando cumplimiento al indicador . 
</t>
  </si>
  <si>
    <t xml:space="preserve">De los 89 indicadores suceptibes de reporte en el tercer trimestre de 2025, 84 de ellos cumplieron la meta a la superaron para el periodo, lo que indica un cumplimiento del 94.4%. 
Es importante indicar que durante este periodo se presento la transición de personal, con el ingreso de los funcionarios de concurso, lo que por curva de aprendizaje impacto directamente en los resultados, sin embargo se vienen adelantando capacitaciones para concientizar al personal de la importancia del reporte oportuno de las actividades realizadas para el logro de los objetivos propuestos en el PAG 2025.
</t>
  </si>
  <si>
    <t>Número de actos administrativos expedidos</t>
  </si>
  <si>
    <t xml:space="preserve">​Indicador a demanda, en donde se concluye que se expidieron 318 actos administrativos en el trimestre y el número de solicitudes de investigación aceptadas fueron 147 en total 
</t>
  </si>
  <si>
    <t xml:space="preserve">Para 2025 se identificaron 441 procesos administrativos con riesgo de caducidad 2025 , en el primer trimestre se reportaron como expedidas 166 decisiones equivalentes al 37.6%
Para el segundo trimestre de 2025 se profirieron 136 decisiones con riesgo 2025 equivalente al 30,83%
para el tercer trimestre se profirieron 97 decisiones con riesgos 2025 equivalente al 22% 
y para el cuarto trimestre se profieron 41 decisiones con riesgo 2025 equivalente al 9,5% 
Por lo anterior se entiende que para el 31 de diciembre de 2025 se ha realizado un avance del  99,5% , dando cumplimiento al indicador 
</t>
  </si>
  <si>
    <t xml:space="preserve">​Para el IV trimestre se realizaron 9 auditorias de las 9 proyectadas para el trimestre, cumpliendo con el 100% de las auditorias proyectadas. Superando la meta del 85% proyectada.
Para la vigencia 2025 se presentaron dificultades al inicio de la vigencia debido a la falta de tiquetes, situación que afecto el cumplimiento de este indicador en el primer trimestre, se sugiere proyectar este tipo contratos con vigencias futuras a fin de no afectar las acciones de Inspección y Vigilancia proyectadas desde esta dependencia
</t>
  </si>
  <si>
    <t xml:space="preserve">​Durante el IV trimestre de 2025 se realizó la actualización de las fichas de las 10 eps que actualmente se encuentran en medida especial, se reportan las fichas con corte a agosto, septiembre y octubre de 2025 para un total de 30 fichas en el trimestre. Se indica que las fichas a corte de noviembre de 2025, no se pudieron realizar debido al cambio de interventores, lo que ha ocasionado demoras en el reporte de los indicadores fénix, los cuales tambien hacen parte de la informacion relacionada en la ficha de seguimiento.
Para la vigencia 2025, se presentaron dificultades para el cumplimiento de este indicador dado el alto volumen de requerimientos por partes del congreso entes de control, lo que demanda la atención de los profesionales a cargo del seguimiento de las EPS.
</t>
  </si>
  <si>
    <t xml:space="preserve">​
Para el cuarto trimestre se realizó seguimiento a 5 de las 10 EPS que actualmente se encuentran en medida especial, cumpliendo así con el 100% del indicador.
Para la vigencia 2025 se cumplió con la meta propuesta para este indicador, no se presentaron inconvenientes para el cumplimiento del indicador, sin embargo, teniendo en cuenta el cambio de personal se considera importante fortalecer las competencias de los nuevos funcionarios.
</t>
  </si>
  <si>
    <t xml:space="preserve">​Una vez realizada la consolidación de las actividades de IV desarrolladas por los grupos internos de trabajo se indica que el cumplimiento del indicador para el cuarto trimestre correspondiente al 76 %., es decir se realizaron acciones de IV al 76% de los vigilados
Se aclara que cada grupo tienen diferentes tipos de vigilados por lo que el total de vigilados no son objeto de acciones de IV por todos los grupos internos de trabajo.
Para el IV trimestre no se alcanzo la meta programada, dado que se debio priorizar las auditorias, sumado al cambio de directivos y personal de planta
</t>
  </si>
  <si>
    <t>https://supersalud-my.sharepoint.com/:f:/g/personal/sulma_cabanilla_supersalud_gov_co/IgDGj8odaAhNTa044cJhm8AZAQwdmYgm-eoVcfimm5gQFmo?email=Sulma.Cabanilla%40supersalud.gov.co&amp;e=vZ5Cwp</t>
  </si>
  <si>
    <t xml:space="preserve">​
Durante el cuarto trimestre de 2025, se finalizaron 5 trámites de los cuales 5 fueron gestionados con estudio de viabilidad o recomendación en 140 días o menos, cumpliendo así con el 100 % de la meta programada.
Para la vigencia 2025 se cumplió con la meta propuesta para este indicador, sin embargo, se presentan casos en los que no se puede cumplir con el termino estipulado por cambios de los directivos o de personal, así como en la revisión de otras dependencias. Por lo que es necesario buscar alternativas que permitan que no se afecten los tiempos para dar gestión a los trámites radicados por los vigiados.
</t>
  </si>
  <si>
    <t xml:space="preserve">Se realizaron 5 prejornadas en el ultimo trimestre , las otras 2 corresponden al tercer trimestre. Se da cumplimiento a la meta establecida para el semestre, esto se logro a travez del ejercicio de la facultad oficiosa consagrada en el artículo 38 de la Ley 1122 de 2007, la Delegada  para la Función Jurisdiccional y de Conciliación cita  de oficio a a los actores involucrados del SGSS de estas regiones que atendieron la invitacion y se inicia el proceso para llevar posterioremente los acuerdos conciliatorios en las jornadas . se anexan las evidencias de las prejornadas . 
</t>
  </si>
  <si>
    <t xml:space="preserve">​La Delegada para la Función Jurisdiccional y de Conciliación, en cumplimiento de sus funciones  procedió a convocar de manera virtual, por llamada, por correos para citar a las 7 jornadas de conciliación extrajudicial en derecho, las cuales se realizaron  en la modalidad presencial y/o virtual con la red de prestadoras de servicios de salud , se dio cumplimento a cabalidad con los requisitos exigidos para la  celebración de audiencias de conciliación extrajudicial en derecho y trámites conciliatorios,  evidenciado que el proceso fue útil para la continuidad de la gestión de conciliación, la recuperación  del flujo los recursos independientemente de su monto, permitió establecer acercamientos entre las  partes, quienes se comprometieron a aclarar y depurar las cuentas, realizar trámites de auditoría y de  liquidación de contratos, verificar el estado de glosas y devoluciones; entre otras, de manera virtual, a  través de correos electrónicos, llamadas telefónicas y/o reuniones vía Skype, con el fin de determinar  la deuda real y establecer posibles acuerdos de pago, logrando uno de losl objetivos primordiales de la DJFC. 
</t>
  </si>
  <si>
    <t xml:space="preserve">​En el cuarto trimestre del 2025, la Dirección de conciliación programó y surtió un total de audiencias de conciliación extrajudiciales en Derecho 2.737, de las cuales 879 se atendieron en Sede Bogotá de manera virtual, como resultado del reparto ordinario, aplazamientos, reprogramaciones y/o suspensiones y 1.858 en el desarrollo de 5 jornadas de conciliación adelantadas en territorio. 
</t>
  </si>
  <si>
    <t xml:space="preserve">Se realizaron juiciosa y adecuadamente las prejornadas y las jornadas de CONCILIACION , en estas se concilian los valores determinados y se llegan a acuerdos de pago que prestan merito ejecutivo y hacen transito a cosa juzgada. Una vez el documento es exigible, los actores participes del proceso conciliatorio informan si las obligaciones consignadas dentro del acta de conciliacion se cumplieron.
Para el caso en particular se observa que en el ultimo trimestre el cumplimiento de los acuerdos conciliatorios segun lo informado por los actores corresponde al 99.02% de las actas de conciliacion.    
</t>
  </si>
  <si>
    <t xml:space="preserve">​Con las actividades realizadas por el area encargada, se hizo una adecuada intervencion de los 30 procesos de  GLOSAS y recobros; a pesar de que estos tienen la caracteristica de ser muy complejos en tiempos de oportunidad ya que muchos son enviados a pruebas a otras estancias judiciales ( tribunales etc ) y pueden afectar lo que se llama la MORA JUDICIAL normal en nuestro medio , con lo cual  se van gestionando durante los periodos de seguimiento, otros expedientes en algun grado de avance para ir sometiendo la mora judicial
</t>
  </si>
  <si>
    <t xml:space="preserve">Con la optimizacion del recurso humano en tiempos y movimientos para el estudio de este tipo de expedientes se puede lograr la meta establecida , aun asi la demanda de expedientes o quejas de este tipo son altas y el area si requiere el apoyo de nuevos profesionales en derecho para lograr mas aun la posiblidad de mayor satisfacción del usuario en oportunidad de entrega de solución juridica a sus requerimientos . 
</t>
  </si>
  <si>
    <t xml:space="preserve">​Area con mayor numero de estudios a desarrollar en demandas judiciales , pero con un equipo humano fortalecido en numero por una contratación de (02) profesionales en el segundo semestre del año que presto el apoyo para el logro de la meta. Es de comentar que se van a requerir mas profesionales ya que las demandas van en aumento por el reconocimiento en el sector de la DFJC como juez de la salud.
</t>
  </si>
  <si>
    <t xml:space="preserve">​Dentro de las actividades que realiza la Delegada en territorios en las acciones de prejornadas de conciliación , se realiza socialización de las funciones Jurisdiccional y actos conciliatorios con la normatividad que las ampara y asi se pondera de la mejor manera la presencia de la Supersalud con los actores del SGSSS involucrados en el proceso conciliatorio. Estas actividades de socializan siempre que se realizan las prejornadas y obviamente se refuerzan en las Jornadas Cociliatorias como parte de las actividades de dialogo con dichos actores.  Se anexa un informe realizado por al Coordinadora de Glosas de la Direccion Jurisdiccional donde ella siempre via teams o en su defecto con el apoyo del personal profesional de Conciliaciones realiza socializaciones de las funciones de la DFJC. 
Con la oferta de programas o campañas desconcentradas de promoción de derechos y acceso a la justicia en salud, se realizaron las prejornadas con el objetivo de cumplir con la finalidad del proceso y tambien con el fin de proteger y promover el cumplimiento igualitario de los derechos de las personas en el sistema general de salud, y el flujo adecuado de los recursos del SGSSS con oportunidad, eficiencia y equidad, en el marco de los conflictos derivados de las facturación en salud que presenten inconformidades ( Art.  de la Ley 1949 de 2019),  desplegando siempre la informacion para que los actores accedan a la función jurisdiccional donde se les explica a los asistentes los asuntos que conoce la función jurisdiccional, en especial la competencia consagrada en el literal f) de la Ley 1949 de 2019, cuando se suscita ese tipo deconflictos  y como se presenta la respectiva demanda ante el juez técnico de la salud.
</t>
  </si>
  <si>
    <t xml:space="preserve">Durante el periodo se realizaron 12 seguimientos a auditorías, superando la meta establecida de 6. Este resultado obedece a la optimización del cronograma operativo y la disponibilidad de equipos técnicos en territorio, lo que permitió desarrollar más actividades a las previstas y dar continuidad a los compromisos de mejora.
La ejecución superior a la meta refleja eficiencia en la gestión del proceso y una mayor capacidad de respuesta frente a las necesidades de seguimiento. 
Los seguimientos se realizaron a las siguientes Entidades Territoriales:  El Piñón (Magdalena), Gamarra (Cesar) y Barrancas (La Guajira), Departamento del Atlántico, Morales (Bolívar), Mitú (Vaupes)  , Prado (Tolima), Florida (Valle del Cauca), Puerto Santander (Noste de Santander), Viracacha (Boyacá), Apía y Dosquebradas (Risaralda)
</t>
  </si>
  <si>
    <t>https://supersalud.sharepoint.com/:f:/s/DelegadaparaETyGRARdelSGSSS/EuYFJrLxoKNPh2HeC1xwyOAB8jJKpY_ujwoHyhVvaM2adA?e=CFDGfN</t>
  </si>
  <si>
    <t xml:space="preserve">​Se obtuvo para el periodo de reporte una sobre ejecución ya que se realizaron más seguimientos de los que inicialmente se habían identificado, lo que demuestra la capacidad oparativa de la Delegada para Entidades Territoriales y Generadores, Recaudadores y Administradores de Recursos del SGSSS.
Durante noviembre se realizaron 8 seguimientos los cuales se listan a continuación:
- Se realizó el cierre de la auditoría de Dabeiba (antioquia). 
- Se realizó aprobación plan de mejoramiento auditoría municipio de Arjona                                         ------ Se realizó la tercera evaluacion del plan de mejoramiento de la auditoria realizada en el Municipio de Puerto Carreño - Vichada 
- Se oficializó la no aprobación del Plan Mejoramiento auditoria Quípama.
-Se oficializó la no aprobación del Plan Mejoramiento auditoría Viracachá
-Se realizó la segunda evalucación al PM Auditoría Poblaciones Especiales Secretaría Departamental de Salud de Santander el 10/11/2025
-Se realizó la segunda revisión y aprobación del PM de Auditoría Poblaciones Especiales Secretaría Departamental de Salud de Caldas el 25/11/2025.
-Se avanzó en el Plan de mejoramiento DIVGRA - auditoria Gobernación de la Guajira:
20 hallazgos: (1 abierto, 10 en Ejecución, 9 Cerrados)
</t>
  </si>
  <si>
    <t>https://supersalud.sharepoint.com/:f:/s/DelegadaparaETyGRARdelSGSSS/IgAeSLppqw8KQo-2-_cJX_0SAYivH6_Ru5VV_rKDTxw52j0?e=P6mjIK</t>
  </si>
  <si>
    <t xml:space="preserve">​El sobre cumplimiento se debe a que hubo un rezago en el primer semestre el cual se esta subsanando en este periodo de reporte, junto con el cumplimiento del aumento de la meta solicitado  por la Delegada a la OAP.
Para el periodo de reporte, se realizaron 11 mesas de Gobernanza en los siguientes municipios: 
1. Socha- Departamento de Boyacá (Noviembre)
2. Quibdo- Departamento del Chocó (Octubre)
3. Lloró- Departamento del Chocó (Noviembre)
4. Suan- Departamento del Atlántico (Noviembre)
5. Acevedo- Departamento del Huila (Octubre)
6. Guapi- Departamento del Cauca (Julio)
7. Becerril- Departamento del Cesar (Septiembre)
8. Fonseca- La Guajira (Agosto)
9. Salamina- Departamento del Magdalena (Septiembre)
10. Pueblo Viejo-  Departamento del Magdalena (Septiembre)
11.Remolino-  Departamento del Magdalena (Agosto)
Por su parte la Dirección de Inspección y Vigilancia para Generadores, Recaudadores y Administradores de Recursos del SGSSS, realizó 6 mesas de gobernanza sobre rentas cedidas en los siguientes departamentos:
1. Departamento de La Guajira y Cesar
2. Departamento Tolima y Caquetá
3. Departamento de Arauca
4. Departamento de Vaupés
5. Departamento de Guaviare
6. Departamento de Nariño
3 se realizaron en agosto, 1 en septiembre y 2 en noviembre. 
Con lo anterior se da por cumplida la meta para la presente vigencia.
</t>
  </si>
  <si>
    <t>https://supersalud.sharepoint.com/:f:/s/DelegadaparaETyGRARdelSGSSS/IgDsyz_Xc3rnTaflYh6f512xAXZCGpoQW-I3phsaOr9O_Rk?e=yLDBf3</t>
  </si>
  <si>
    <t xml:space="preserve">Se realizaron 2 auditorias en el mes de septiembre al Concesionario de Apuestas Permanentes red de Servicios del Cesar S.A. y al Distrito Turístico y Cultural de Cartagena de Indias - Departamento Administrativo Distrital de Salud.
Es importante resaltar que no se realizaron más auditorias, ya que con las reportadas en este periodo se cumplia con el 100% de las 20 auditorias propuestas para esta vigencia.
</t>
  </si>
  <si>
    <t>https://supersalud.sharepoint.com/:f:/s/DelegadaparaETyGRARdelSGSSS/IgAKzun-CuNmQ5YnqH6gZcBeAc8LkNT-96vf7-fNgQyNxVI?e=NuTzj0</t>
  </si>
  <si>
    <t xml:space="preserve">Durante el periodo evaluado, las Direcciones Regionales adelantaron las siguientes acciones de seguimiento y cierre de auditorías, así:
Regional Andina:Se realizaron seguimientos a las auditorías del Distrito de Medellín y el cierre de la auditoría al municipio de Frontino.
Regional Nororiental:Se efectuó el tercer seguimiento a las auditorías de Puerto Boyacá (vigencia 2024). Adicionalmente, se aprobó el Plan de Mejoramiento derivado de las auditorías a los municipios de Viracachá y Quípama (vigencia 2025).
Regional Orinoquía:Se realizó el tercer seguimiento a la auditoría del municipio de Puerto Carreño.
Regional Caribe:se efectuó el primer seguimiento a la auditoría del municipio de La Jagua de Ibirico (Cesar).
Dirección Regional Occidental: Se adelantaron seguimientos y se efectuó el cierre de la auditoría de Timbiquí (Cauca).
Dirección Regional Sur: Se realizó el tercer seguimiento y cierre del Plan de Mejoramiento derivado de la auditoría al municipio de Pitalito. Asimismo, se reiteró la solicitud de presentación de soportes del Plan de Mejoramiento producto de la auditoría al municipio de Prado.
</t>
  </si>
  <si>
    <t>https://supersalud.sharepoint.com/:f:/s/DelegadaparaETyGRARdelSGSSS/IgCr7LABc8A0T7gjbsrwIZRPAfoJiczmDD67xsK7Dlpuvdw?e=wljSxg</t>
  </si>
  <si>
    <t xml:space="preserve">​Durante este periodo, se activó una Red de Controladores en el Departamento del Tomila, cerrando la vigencia con un total de 15 Redes activadas.
</t>
  </si>
  <si>
    <t>https://supersalud.sharepoint.com/:f:/s/DelegadaparaETyGRARdelSGSSS/IgAsTF0n9gJbT4ijcEc6YSenAXrwqkYfMepwMZMzvrNOtoo?e=mhv0T8</t>
  </si>
  <si>
    <t xml:space="preserve">Realizar mesas internas de apropiación y aplicabilidad del Sistema Integrado de Gestión a los funcionarios de la Delegada.
</t>
  </si>
  <si>
    <t xml:space="preserve">​Se realizó 1 actividad de apropiación del SIG adicional con el proposito de cubrir el rezago presentado en el tercer trimestre.
1. Para el mes de septiembre se realizó una capacitación sobre los procesos, haciendo especial enfasis en el de seguimiento y evaluación al vigilado. Para esta sesión se realizó una dinamica para determinar el nivel de aprehención de las personas participantes.
2. En octubre se capacito sobre el componente de Gestión Ambiental el cual finalizó con un pequeño test para identificar el nivel de aprehensión.
3. Para noviembre se enfatizó en las líneas de defensa y en la importancia que tienen en el marco del MIPG.
4. Para el mes de noviembre se realizó una sesión donde se trabajo de manera dinámica los procedimientos del proceso de Seguimiento y Evaluación al Vigilado y el Código de Integridad.
5. Para diciembre se realizó una sesión de manera articulada con la Oficina de Control Interno y la Oficina Asesora de Planeación con el proposito de hablar de la confidencialidad en la información y de la importancia de preservar los documentos para evitar perdidas de información y accesos por parte de personas no autorizadas.
</t>
  </si>
  <si>
    <t>https://supersalud.sharepoint.com/:f:/s/DelegadaparaETyGRARdelSGSSS/IgCA6fhJ6cRtRJeIaFT8lKYcAR5omhxHryOkeTtMnkFrs5Q?e=eloBXr</t>
  </si>
  <si>
    <t xml:space="preserve">Durante el periodo evaluado, se desarrollaron Mesas Técnicas de Fortalecimiento Territorial en las diferentes Direcciones Regionales, conforme se detalla a continuación:   
Regional Andina: Se realizaron dos (2) Mesas Técnicas de Fortalecimiento Territorial: una en el departamento de Antioquia, con participación de los distritos de Medellín y Turbo, y otra en la ciudad de Pereira, con participación de los departamentos de Risaralda, Caldas y Quindío.
Regional Nororiental: Se llevaron a cabo dos (2) Mesas Técnicas de Fortalecimiento Territorial, una en el departamento de Boyacá y otra en Santander, esta última con la participación de la Entidad Territorial de Norte de Santander y la totalidad de sus municipios.
Regional Occidental: Se realizó una (1) Mesa Técnica de Fortalecimiento Territorial en la ciudad de Santiago de Cali, con la participación de los departamentos de Valle del Cauca, Cauca y Nariño, así como de los distritos de Santiago de Cali, Buenaventura y Tumaco.
Regional Norte: Se desarrolló una (1) mesa de fortalecimiento territorial en la ciudad de Montería, con la participación de los departamentos de Córdoba y Sucre.
Regional Caribe: Se realizó una (1) Mesa Técnica de Fortalecimiento Territorial en el Distrito de Santa Marta, con la participación de los departamentos de La Guajira, Cesar y Magdalena.
Regional Sur: Se desarrolló una (1) Mesa Técnica de Fortalecimiento Territorial en la ciudad de Neiva, durante los días 26, 27 y 28 de noviembre, con la participación de los departamentos de Huila, Tolima, Caquetá y Putumayo.
Regional Orinoquía: Se llevó a cabo una (1) Mesa Técnica de Fortalecimiento Territorial en la ciudad de Villavicencio, con la participación de los departamentos de Vichada, Guainía, Vaupés, Meta, Guaviare, Casanare y Arauca.
</t>
  </si>
  <si>
    <t>https://supersalud.sharepoint.com/:f:/s/DelegadaparaETyGRARdelSGSSS/IgCIsy40F7gjTqYAbpLye9EYAUACV44M1LR5e_gl9B5CZqY?e=PIQbRF</t>
  </si>
  <si>
    <t xml:space="preserve">​
Para el reporte correspondientes al trimestre pasado (III), se evidenció un cumplimiento parcial de la meta, debido a que no fue posible reportar oportrunamente las acciones con aseguradores por parte de las Direcciones Regionales de Chocó y Norte. Esta situación se presentó como consecuencias de fallas técnicas que impidieron el cargue de la información dentro de los tiempos establecidos. 
No obstante, una vez superadas dichas contingencias, se registran los avances en estas dos regionales, lo que permite dar cumplimiento a la meta establecida para la vigencia, corresponidente a 2 actores del sistema de salud con acciones por parte de las Direcciones Regionales. A continuación, presenta esta información de manera detallada:
REGIONAL CHOCÓ:Mesa técnica en el marco RIAS . Mesa de PQRD FOMAG
REGIONAL NORTE: Se realizaron 3 Mesas de PQRD Cajacopi, Coosalud y Mutualser
De igual forma, se realizaron más acciones por parte de otras Direcciones Regionales, las cuales se presentan a continuación:
REGIONAL NORORIENTAL: Seguimiento mesa de contratacióncon Coosalud
REGIONAL ORINOQUIA: Mesa de contingencia de medicamentos con Nueva EPS y el Gestor Farmacéutico de MyT -  Mesa problemática de prestación de servicios con Coosalud y los prestadores Salud Renal y MyT - Mesa problemática de prestación de servicios con Sanitas y los prestadores Salud Renal y MyT - Mesa problemática de prestación de servicios con Nueva EPS y los prestadores Salud Renal y MyT
REGIONAL OCCIDENTAL SEDE AGUALONGO: Mesa problemática de prestación  de servicios  con Asmet Salud y las ESE de la Costa Pacífica.
REGIONAL CARIBE: Mesa técnica en el  marco RIAS en Valledpar, Cesar.
DIRECCIÓN REGIONAL SUR: mesa de trabajo con los Seguro Obligatorio de Accidentes de Tránsito (SOAT) y la Nueva EPS
</t>
  </si>
  <si>
    <t>https://supersalud.sharepoint.com/:f:/s/DelegadaparaETyGRARdelSGSSS/IgC88IL8oFzwTrt_1l0mgFTnAX67WN_LUTvJFoL7ibTXPZo?e=hTGbto</t>
  </si>
  <si>
    <t xml:space="preserve">Durante los meses de noviembre y diciembre no se generaron alertas en las acciones de IV a Generadores, Recaudadores y Administradores de recursos del SGSSS con acciones de gestión sobre el total de alertas. Siendo un indicador a demanda se alcanza el 100%.
</t>
  </si>
  <si>
    <t xml:space="preserve">​
Durante el periodo evaluado, las Direcciones Regionales adelantaron 53 acciones  en el marco del Acuardo a Nivel de Servicios con otras Delegadas de la SNS:
Regional Caribe: Se realizó la aplicación de IVR a los gestores farmacéuticos Pharmasan S.A.S., Cafam y Audifarma en el municipio de Valledupar; Difimedicas en Aguachica (Cesar); CAFAM en Pueblo Viejo y Suplimedic en Salamina (Magdalena); y Éticos en Albania (La Guajira).
Adicionalmente, se desarrollaron actividades lúdicas en el marco de mecanismos de participación ciudadana dirigidos a niños, niñas y adolescentes en Maicao; jornadas de atención en Riohacha (La Guajira) y Ciénaga (Magdalena); así como verificación de demoras en el proceso de referencia y contrarreferencia en las ESE José David Padilla y Luis Carlos Galán (Aguachica, Cesar), Samuel Villanueva (La Guajira), La Candelaria (El Banco, Magdalena), Hospital San Rafael (Albania, La Guajira), Hospital 7 de Agosto y Hospital Fray Luis (Plato, Magdalena).
Regional Occidental – Sede Agualongo: Se realizó la aplicación de IVR a los gestores farmacéuticos FOMAG – Proinsalud y Nueva EPS – Medico Colombia, en la sede Valle del Atriz.
Regional Occidental: Se efectuó seguimiento durante los meses de octubre y noviembre a la mesa de conciliación entre gestores farmacéuticos y EPS. Asimismo, se brindó apoyo a la Defensoría del Pueblo (DPU) en jornadas de atención al usuario en Yopal, y se socializó el plan de acción relacionado con la IVR al gestor farmacéutico Colsubsidio.
Regional Norte: Se aplicó IVR a Pharmaser (Cartagena) el 15 y 16 de octubre de 2025, y a Disfarma (San Onofre) el 15 de octubre de 2025. Igualmente, se desarrolló una jornada de capacitación al usuario en el año 2025.
Regional Nororiental: Se aplicó IVR a los gestores farmacéuticos Difimedicas (Socorro), Disfarma (Cúcuta), Colsubsidio (Sogamoso) y Discolmed (Socha). Asimismo, se adelantó verificación y acompañamiento a la ESE Sansegcoop (Cúcuta).
Regional Chocó: Se realizó IVR a los gestores Humansalud, Contrafachada, Servimedic, Combate, Germis y El Descuento.
Dirección Regional Sur: Se desarrollaron acciones con los gestores farmacéuticos Audifarma (Ibagué), Comfandi (Florencia), Acevedo, Disfarma (Ibagué) y Líbano.
Adicionalmente, se realizó seguimiento al sistema de referencia y contrarreferencia del Hospital María Inmaculada y Medilaser (Florencia), así como del Hospital San Juan Bautista de Chaparral.
Se efectuaron jornadas de atención al usuario y capacitación en los municipios de Ábaco, Chaparral, Neiva, Puerto Asís, Honda y Mariquita, y se brindó apoyo a la Delegada de Aseguramiento en el seguimiento a mesas de IV para la implementación de RIAS con EPS en la ciudad de Ibagué.
</t>
  </si>
  <si>
    <t>https://supersalud.sharepoint.com/:f:/s/DelegadaparaETyGRARdelSGSSS/IgCjeix3rIX0TJrBrklPpHf_Afc7SKHhEUy-RE-xYt88LAY?e=k9LHZy</t>
  </si>
  <si>
    <t xml:space="preserve">Para este reporte se cuenta con un número mayor de seguimientos, ya que para el III Trimestre se presentó un rezago en la meta establecida para ese periodo.
En el mes de octubre se realizaron 5 seguimientos en el marco del Plan Padrino a las siguientes regionales: Nororiental, Occidental, Sede Agualongo, Sur y Orinoquía.
Para los meses de noviembre y diciembre se realizaron 9 seguimientos a las siguientes Direcciones Regionales: Caribe, Andina, Chocó, Orinoquía, Norte, Sur, Sede Agualongo, Sede Insular y Nororiental.
</t>
  </si>
  <si>
    <t>https://supersalud.sharepoint.com/:f:/s/DelegadaparaETyGRARdelSGSSS/IgCtRkvOu3xARaCdzKM1cEmQAeScb-MMXqrPE14IyO9LSfk?e=6WWNjO</t>
  </si>
  <si>
    <t xml:space="preserve">​
Durante el cuatrimestre evaluado, las Direcciones Regionales adelantaron mesas de Inspección y Vigilancia (Mesas IV), conforme se detalla a continuación:
Regional Andina: se realizaron mesas de Inspección y Vigilancia en los municipios de Arboletes, Turbo, Anserma, Mistrató, Cañasgordas, Tarso, Risaralda y Zaragoza. 
Regional Nororiental: Se realizó una mesa de Inspección y Vigilancia en el municipio de Toledo. 
Regional Chocó: En el cuatrimestre se llevaron a cabo mesas de Inspección y Vigilancia en los municipios de Unión Panamericana, Bagadó, Bojayá y Tadó. 
Regional Caribe: Se realizaron mesas de Inspección y Vigilancia en los municipios de Maicao, Riohacha y Manaure, así como a nivel del departamento de La Guajira, conforme a lo establecido en la Circular Externa 202315100000015-5 de 2023 y en concordancia con la Sentencia T-302 de 2017. Adicionalmente, se efectuaron mesas de IV en los municipios de Albania (La Guajira) y González (Cesar).
Regional Orinoquía: se realizó una mesa de Inspección y Vigilancia en el municipio de Puerto López.
Regional Occidental – Sede Agualongo: Se desarrollaron dos (2) mesas de Inspección y Vigilancia: una en el municipio de Aldana y otra en el municipio de Policarpa, esta última con participación de la Entidad Territorial Departamental.
Regional Norte: Se realizó una mesa de Inspección y Vigilancia en el municipio de Guaranda (Sucre). Adicionalmente, en el marco de una Acción Integral en Territorio (AIT), se llevó a cabo en el mes de octubre una mesa de IV en el municipio de Magangué (Bolívar).
</t>
  </si>
  <si>
    <t>https://supersalud.sharepoint.com/:f:/s/DelegadaparaETyGRARdelSGSSS/IgBjEIPHktwdSow9Imx03VkAAU1GoTvMm4jQUHmYDJyedCg?e=osgSJ4</t>
  </si>
  <si>
    <t xml:space="preserve">Para el último trimestre, se programó la intervención de once (11) nuevos territorios, los cuales fueron atendidos mediante acciones preventivas y/o de inspección y vigilancia, adelantadas por las diferentes Direcciones Regionales, así:   
Regional Andina: Durante el trimestre se realizaron mesas de inspección y vigilancia en Arboletes y Turbo. Adicionalmente, se abordaron nueve (9) sentencias en Valdivia y una mesa convocada por terceros en Sabanalarga.
Regional Nororiental: Se llevó a cabo una mesa de inspección y vigilancia en el municipio de Toledo y una mesa de gobernanza en Socha.
Regional Occidental – Sede Agualongo: Se realizó una mesa de inspección y vigilancia en el municipio de Aldana.
Regional Sur: Se desarrolló una mesa de gobernanza con el municipio de Acevedo, así como una acción de inspección y vigilancia a la ejecución técnica y financiera del Plan de Intervenciones Colectivas (PIC) vigencia 2024, en los municipios de Murillo y Yondó.
Regional Occidental: Se ejecutó una Acción Integral en Territorio en el municipio de Sevilla, departamento del Valle del Cauca.
Es importante resaltar, que en algunas direcciones regionales no se pudo programar acciones de IV en nuevos territorios debido a los problemas de orden público presentados en algunas regiones del país.
</t>
  </si>
  <si>
    <t>https://supersalud.sharepoint.com/:f:/s/DelegadaparaETyGRARdelSGSSS/IgD5HDehXRXvRLzvNqRi2eLtARwSVDW3I-i-thWbRio2_rs?e=cZV7V5</t>
  </si>
  <si>
    <t xml:space="preserve">Durante el periodo evaluado, las Direcciones Regionales adelantaron las siguientes Acciones Integrales en Territorio (AIT):   
Regional Andina: Se realizó (1) Acción Integral en Territorio (AIT) en el municipio de Turbo.
Regional Nororiental: Se llevaron a cabo (2) Acciones Integrales en Territorio (AIT) en los municipios de Vélez y Villa del Rosario.
Regional Chocó: Se realizó (1) Acción Integral en Territorio (AIT) en el municipio de Istmina.
Regional Orinoquía: Se ejecutó (1) Acción Integral en Territorio (AIT) en el municipio de Puerto López.
Regional Occidental: Se desarrollaron dos (2) Acciones Integrales en Territorio, una en el municipio de Sevilla (Valle del Cauca) y otra en el municipio de Popayán (Cauca).
Regional Norte: se realizó AIT en Magangue- Bolívar
Es importante resaltar, que el aumento de las AIT reportadas para este trimestre se debe a que se buscó disminuir el rezago presentado en los primeros 2 trimestres del año.
</t>
  </si>
  <si>
    <t>https://supersalud.sharepoint.com/:f:/s/DelegadaparaETyGRARdelSGSSS/IgCtY7kM5845T6l-pjbfQV8fAcPEe1jdKtx4MfN1ao-XFFw?e=ANcl9x</t>
  </si>
  <si>
    <t xml:space="preserve">Para este último trimestre se realizaron 15 asistencias al desarrollo de mesas de saneamiento de cartera de Circular Conjunta 030 de 2013, de las siguientes ET: Antioquia, Barranquilla, Bogotá, Buenaventura, Cali, Cartagena, Casanare, Córdoba, Cundinamarca, Huila, Norte de Santander, San Andrés, Santander, Vaupés y Vichada. Estas asistencias se soportan a través de informes de resultados del ejercicio de acompañamiento.
Es importante resaltar que no se reportaron las 20 asistencias establecidas para este trimestre, ya que se superaron las metas en el primer y tercer trimestre. Con estas 15 asistencias alcanzamos el 100% del cumplimiento establecido para la vigencia.
</t>
  </si>
  <si>
    <t>https://supersalud.sharepoint.com/:f:/s/DelegadaparaETyGRARdelSGSSS/IgDt1upPQFmnTrB0krcDg9_1AecuUqkOdBQmITQEpZczZro?e=38nsPk</t>
  </si>
  <si>
    <t xml:space="preserve">Realizar Mesas de Gobernanza desde las direcciones regionales
</t>
  </si>
  <si>
    <t xml:space="preserve">​Para el mes de diciembre no se realizó ninguna Mesa de Gobernanza, ya que para el reporte del mes de noviembre se habia superado la meta propuesta para la vigencia.
</t>
  </si>
  <si>
    <t xml:space="preserve">​Relación de las 26 Auditorías Específicas realizadas al Sistema de Información de Atención al Usuario y al Fomento de la Participación Ciudadana según responsabilidad  normativa de los diferentes Vigilados, realizadas por el Grupo SIAU.
Relación de las 2 autorias realizadas al sistema de PQRD de la EPS EMSSANAR y COMFAORIENTE, realizadas por el Grupo de IV a las PQRD.
</t>
  </si>
  <si>
    <t>https://n9.cl/il4ye</t>
  </si>
  <si>
    <t xml:space="preserve">De las 7 actividades programadas se realizaron 16 en el segundo semestre, lo que da un cumplimiento del 228% frente a la meta programada para el periodo. Esto se debe a que se realizaron 16 capacitaciones en territorios PDET, en municipios como Fonseca, Cereté, Mapiripán, Necoclí, Puerto Asís, Tolú Viejo, Santa Marta, Puerto Concordia, entre otros. El énfasis en la realización de estas actividades en municipios priorizados por el Programa de Desarrollo con Enfoque Territorial (PDET) respondió a la necesidad de fortalecer la presencia institucional en territorios históricamente afectados por el conflicto armado, el narcotráfico y otras formas de violencia, caracterizados por condiciones de alta vulnerabilidad y limitada oferta institucional. El logro de haber llegado a poblaciones apartadas y de difícil acceso representa un avance significativo en la garantía del derecho fundamental a la salud, al permitir acercar la Superintendencia Nacional de Salud a comunidades que tradicionalmente han enfrentado barreras geográficas, sociales e institucionales, contribuyendo así al empoderamiento ciudadano, la promoción de la participación activa y la construcción de confianza entre el Estado y la ciudadanía.
</t>
  </si>
  <si>
    <t>https://n9.cl/69fkdt</t>
  </si>
  <si>
    <t xml:space="preserve">Se presenta información con corte a octubre y noviembre 2025, en virtud de que el periodo de reporte de insumos es 5 días hábiles mes vencido. 
Aclarado lo anterior se presenta el resultado de la aplicación de la encuesta de satisfacción realizada en el canal telefonico y presencial (Regionales, Puntos de Atención y CAC). Se identifica que para este trimestre el CAC bajo en su pordentaje bueno y exelente del indicador frente a sus historicos
Entre octubre y noviembre 2025 se recibieron 181.062 respuestas con calificación buena y exelente de un total de 202.681  respuestas las cuales correponden a un 89.33% de satisfacción
</t>
  </si>
  <si>
    <t>https://n9.cl/vljh0</t>
  </si>
  <si>
    <t xml:space="preserve">​Entre octubre a diciembre se radicaron y trasladaron al responsable del aseguramiento a través de una orden de inmediato y obligatorio cumplimiento 458.199 reclamos en salud recibidos por multicanal (escrito, web, telefonico, chat y redes sociales)
</t>
  </si>
  <si>
    <t>https://n9.cl/s4kyu</t>
  </si>
  <si>
    <t xml:space="preserve">​De las 70 actividades programadas en el cuarto trimestre se realizaron 100, lo que da un cumplimiento del 143 % frente a lo programado. Los 100 eventos se discriminan así: 48 jornadas de atención al usuario, 32 capacitaciones, 5 seminarios, 3 Conexión SuperSalud, 2 Diálogos con la SuperSalud, 3 piezas lúdicas, 3 Líder tiene la palabra y 4 acompañamientos). Este resultado obedece al fortalecimiento de las acciones de relacionamiento con la ciudadanía desarrolladas por el Grupo de Participación y Promoción.
</t>
  </si>
  <si>
    <t>https://n9.cl/4b71a</t>
  </si>
  <si>
    <t xml:space="preserve">​Entre OCTUBRE Y DICIEMBRE 2025 se realizo 1 diálogo en donde se han recibido 17 reclamos en salud de los cuales a todos 100% se les ha realizado seguimiento, pero de estos se han cerrado 12 (70,6%) y permanecen abiertos 5 reclamos a pesar del seguimiento realizado. 
</t>
  </si>
  <si>
    <t>https://n9.cl/cyzji</t>
  </si>
  <si>
    <t xml:space="preserve">De 5 actividades programadas se realizaron 13 en el trimestre, lo que da un cumplimiento del 260% frente a la meta programada de 5. Esto se debe a que se desarrollaron de las siguientes acciones principales:
Fortalecimiento de canales de atención: Se mantuvieron y optimizaron los canales presenciales, telefónicos y virtuales, garantizando la atención oportuna y eficaz a las solicitudes, quejas, reclamos y peticiones de la ciudadanía.
Capacitación al talento humano: Se realizaron jornadas de formación para los servidores públicos en temas de servicio al ciudadano y atención con enfoque diferencial .
Mejoras en formatos de respuestas a PQR y solicitudes de información en el marco de leguaje claro.
Actualziación de manuales: Durante la vigencia se actualizaron documentos claves del proceso de Relacionamiento con la Ciudadania y Grupos de Valor . (Manual Operativo y Manual de Protocolo)
Encuentros Sectoriales: Se gestionaron espacios de encuentros sectoriales en el marco del Modelo Integrado de Servicio al Ciudadano MISC con el Ministerio de Salud y Protección Social para fortalecer el cumplimiento de los estandares del modelo y espacios de buenas practicas.
En general, las acciones ejecutadas reflejan el compromiso institucional con la transparencia, la eficiencia y la calidad en la prestación de los servicios, contribuyendo al fortalecimiento de la confianza ciudadana en la gestión pública.
</t>
  </si>
  <si>
    <t>https://n9.cl/o1nnq</t>
  </si>
  <si>
    <t xml:space="preserve">​Entre octubre a diciembre se radicaron y trasladaron al responsable del aseguramiento a travez de una orden de inmediato y obligatorio cumplimiento 86.630 reclamos en salud recibidos por el canal presencial.
</t>
  </si>
  <si>
    <t>https://n9.cl/tzltb</t>
  </si>
  <si>
    <t xml:space="preserve">​​Se cumple con la programación de la actividad, dado que se realiza auditoría al Gestor Farmacéutico MARCAZSALUD ordenada mediante Auto No  2025600020001573-7 del 27 de octubre de 2025
</t>
  </si>
  <si>
    <t xml:space="preserve">Se cumple con la programación dado que se realiza (1) actividade de socialización sobre las funciones de la DOLTS-GF  y acompañamiento a los actores del SGSSS en la ciudad de Tunja  
</t>
  </si>
  <si>
    <t xml:space="preserve">​Se cumple con la programación dado que se realizan (2) actividades de socialización y acompañamiento a las Direcciones Regionales en la ciudad de Bucaramanga y Santa Marta sobre las  funciones de la DOLTS-GF para efectos de supervisión de los GF
</t>
  </si>
  <si>
    <t xml:space="preserve">​​​Se cumple con la programación de la actividad dado que se realizan (2) actividades de socialización y acompañamiento a las entidades vigiladas como punto de partida para la implementación de los sistemas de gestión de riesgos
</t>
  </si>
  <si>
    <t xml:space="preserve">​​​Se cumple con la programación de la actividad, dado que se realiza auditoría integral al Gestor Farmacéutico INSERCOP ordenada mediante Auto No 2025600020001799-7 del 25 de noviembre de 2025
</t>
  </si>
  <si>
    <t xml:space="preserve">​Se cumple con la programación dado que se realiza (1) actividad de socialización sobre las funciones de la DOLTS-GF  y acompañamiento a los actores del SGSSS en la ciudad de Medellin.
</t>
  </si>
  <si>
    <t xml:space="preserve">
 Se cumple con la programación dado que se realizan (2) actividades de socialización y acompañamiento a las Direcciones Regionales en la ciudad de Medellin y Cali sobre las  funciones de la DOLTS-GF y Circular 9-5 de 2025
</t>
  </si>
  <si>
    <t xml:space="preserve">​Se cumple con el indicador dado que se realiza la Caracterización individual de los Gestores Farmacéuticos respecto del componente financiero (32)
</t>
  </si>
  <si>
    <t xml:space="preserve">​Se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
</t>
  </si>
  <si>
    <t xml:space="preserve">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
</t>
  </si>
  <si>
    <t>Porcentaje de avance en la formulación de los lineamientos y monitoreo a las E.S.E de las acciones tendientes a la formalización laboral y atención en salud con enfoque diferencia.</t>
  </si>
  <si>
    <t>Numero de hitos en la formulación de lineamientos y monitoreos a las E.S.E / Numero de hitos o acciones programadas.</t>
  </si>
  <si>
    <t xml:space="preserve">En el periodo reportado correspondiente al segundo trimestre de 2025, se ejecutaron 11 acciones, dando como resultado un cumplimiento del 100% frente a la meta pogramada. De acuerdo con lo anterior, el indicador se encuentra en un rango bueno, la tendencia del indicador es ascendente lo que refleja una mejora, este resultado se debe a que la Dirección de Medidas Especiales para Prestadores de Servicios en Salud, ha gestionado la implementación del lineamiento de enfoque diferencial y el plan de trabajo de formalización laboral por parte de las Entidades de Salud del Estado (E.S.E.) en medida especial.
Este resultado permitió que 11 entidades que actualmente se encuentran en medida dieran inicio a la implementacion y adopción de los lineamientos de formalización laboral y de la atención en salud con enfoque diferencial para el II trimestre de la vigencia 2025, por lo cual no se requieren ajustes por el momento, pero se recomienda realizar seguimiento para que estos vigilados continuen con la implementación de las acciones que a la fecha de corte se encuentran de la siguiente manera:
Para el indicador de Enfoque Diferencial , 8 entidades estan en etapa de medicion y 3 se encuentran en etapa de parametrizacion del sistema para el reporte de datos. Para el indicador de Formalizacion Laboral, las entidades avanzan segun su plan y sus correspondientes fases estimadas.
</t>
  </si>
  <si>
    <t>https://supersalud.sharepoint.com/:f:/s/Delegada_Prestadores_Servicios_Salud/IgDa6fyyPJOSR7WTlVL8cluGAVsiJMx_eIJUrHoo5ov9TT4?e=oJRa1r</t>
  </si>
  <si>
    <t xml:space="preserve">Para el cuarto trimestre de la vigencia 2025, la Dirección de Inspección y Vigilancia para Prestadores de Servicios de Salud programó un total de dieciséis (16) auditorías, cuya ejecución se desarrolló de la siguiente manera:   
• Octubre: se programaron cinco (5) auditorías, de las cuales se ejecutaron la totalidad.
• Noviembre: se programaron nueve (9) auditorías, ejecutándose igualmente la totalidad.
• Diciembre: se programaron dos (2) auditorías; no obstante, se ejecutaron diez (10) auditorías en total.
Las ocho (8) auditorías adicionales realizadas durante el mes de diciembre obedecieron a necesidades del servicio, orientadas a verificar el cumplimiento de las responsabilidades de diversos prestadores de servicios de salud, particularmente en lo relacionado con la garantía de la prestación efectiva de los servicios y el acatamiento de los principios del Sistema General de Seguridad Social en Salud (SGSSS), asegurando condiciones de accesibilidad, oportunidad, continuidad y seguridad en el proceso de atención, con el fin de prevenir la generación de barreras que afecten el goce efectivo del derecho fundamental a la salud.
En consecuencia, para el IV trimestre de 2025 se alcanzó una ejecución del 150%, correspondiente a la realización de veinticuatro (24) auditorías, frente a las dieciséis (16) programadas para el periodo evaluado.
Cabe señalar que, en el desarrollo de las auditorías integrales, se verificó el cumplimiento de las responsabilidades de los prestadores de servicios de salud en los ejes financiero, administrativo y legal, así como en la prestación de servicios de salud. Por su parte, en las auditorías con alcance específico se evaluaron, entre otros aspectos, los siguientes temas: el manejo integral de la desnutrición aguda, moderada y severa en niños y niñas de 0 a 59 meses de edad; el cumplimiento de los lineamientos establecidos en la Ruta Integral de Atención en Salud para la Promoción y Mantenimiento de la Salud y en la Ruta Integral de Atención en Salud para la Población Materno Perinatal; la adecuada prestación de los servicios de salud; el incumplimiento en el reporte de información financiera exigida por esta Superintendencia a través de la Circular Única y su incidencia en la Contribución de Vigilancia; así como la atención de reclamaciones SOAT.
</t>
  </si>
  <si>
    <t>https://supersalud-my.sharepoint.com/:f:/g/personal/gina_cortes_supersalud_gov_co/IgDaRXfJ9w51TqS9TRmZRU0tAXid2oAjreUx5Ndz9CjCoOk?e=LtnxB9</t>
  </si>
  <si>
    <t xml:space="preserve">Durante el cuarto trimestre de la vigencia 2025, la Dirección de Inspección y Vigilancia para Prestadores de Servicios de Salud recibió un total de cincuenta (50) planes de mejoramiento, discriminados así: cinco (5) planes para primera revisión de aprobación, cinco (5) para segunda revisión, y cuarenta (40) planes radicados con soportes de ejecución. La totalidad de los planes fueron evaluados y gestionados dentro de los términos establecidos, alcanzando un cumplimiento del 100 % frente a la meta programada del 100 % para el periodo evaluado.   
La evaluación oportuna y efectiva de los planes de mejoramiento presentados por los prestadores vigilados permite subsanar, corregir y prevenir las causas que originan las situaciones identificadas, así como gestionar los riesgos críticos asociados a factores que afectan su desempeño y el cumplimiento de su cometido institucional. Lo anterior contribuye de manera directa al fortalecimiento de la calidad en la prestación de los servicios de salud y al mejoramiento continuo del Sistema.
</t>
  </si>
  <si>
    <t>https://supersalud-my.sharepoint.com/:f:/g/personal/gina_cortes_supersalud_gov_co/IgCmZdswm0ycS7ZgkKap5EDTAY43cQDeSNKi2ILtsRoLVKA?e=3DAPKd</t>
  </si>
  <si>
    <t xml:space="preserve">Durante el segundo (II) semestre de la vigencia 2025, la Dirección de Medidas Especiales para Prestadores de Servicios de Salud ejecutó una (1) visita de seguimiento programada a la ESE Hospital Nuestra Señora de los Remedios, del departamento de La Guajira, alcanzando un cumplimiento del cien por ciento (100%) de la meta establecida para el periodo evaluado.   
Las visitas de seguimiento adelantadas por la Dirección de Medidas Especiales para Prestadores de Servicios de Salud permiten verificar el adecuado cumplimiento de las funciones asociadas a la ejecución de los acuerdos de reestructuración de pasivos, así como evaluar el avance de los compromisos adquiridos, contribuyendo al fortalecimiento del control, la sostenibilidad financiera y la estabilidad administrativa de las entidades sometidas a medida especial.
</t>
  </si>
  <si>
    <t>https://supersalud-my.sharepoint.com/:f:/g/personal/gina_cortes_supersalud_gov_co/IgAc8nY3aUYbSKyBSM2AhqCpAYThHX1WeVw7_9H5qi3N8Cg?e=iRsd9J</t>
  </si>
  <si>
    <t xml:space="preserve">Durante el período reportado, correspondiente al segundo semestre de la vigencia 2025, se ejecutaron once (11) acciones de seguimiento a la implementación de los lineamientos dirigidos a las Entidades de Salud del Estado (E.S.E.), orientadas a promover la formalización laboral y el fortalecimiento de la atención en salud con enfoque diferencial, alcanzando un cumplimiento del 100 % frente a la meta programada.   
En relación con las acciones asociadas a la atención en salud con enfoque diferencial, se evidenció un cumplimiento del 100 % en los procesos de adopción y medición en las once (11) E.S.E. bajo medida especial. Adicionalmente, se registró un avance significativo en la parametrización del sistema, al pasar de tres (3) entidades en el segundo trimestre a nueve (9) entidades, equivalentes al 82 %, al cierre del segundo semestre de la vigencia 2025, lo cual refleja una mejora sustancial en la capacidad de reporte y análisis de la información.
En cuanto a la implementación de los lineamientos de formalización laboral, las E.S.E. continuaron con la ejecución de los planes y fases proyectadas, logrando la vinculación de personal asistencial y administrativo, con incrementos que, en algunos casos, superaron los ciento cincuenta (150) cargos formalizados, contribuyendo a la reducción de la contratación mediante prestación de servicios y al fortalecimiento de la estabilidad laboral.
</t>
  </si>
  <si>
    <t>https://supersalud-my.sharepoint.com/:f:/g/personal/gina_cortes_supersalud_gov_co/IgAkNs_GTVaIS4EZQpNMTBSaAVGWt8bA8wodSnWtPOebKNU?e=gte2Wb</t>
  </si>
  <si>
    <t xml:space="preserve">Durante el segundo (II) semestre de la vigencia 2025, la Delegada para Prestadores de Servicios de Salud realizó dos (2) eventos de difusión relacionados con las acciones y medidas especiales adoptadas frente a los Prestadores de Servicios de Salud (PSS), de un total de dos (2) eventos programados, alcanzando un cumplimiento del cien por ciento (100%) de la meta establecida para el periodo evaluado.   
La realización de estos eventos permitió socializar y conocer el balance de gestión correspondiente al primer semestre del año de las Empresas Sociales del Estado (ESE) que se encuentran bajo Medida Especial, facilitando el seguimiento a las acciones adelantadas y a los resultados obtenidos en el marco de las medidas de control implementadas.
Adicionalmente, estos espacios constituyen un mecanismo fundamental de rendición de cuentas por parte de los agentes interventores de las ESE bajo medida especial, en tanto permiten verificar la gestión desarrollada, el cumplimiento de los planes, metas y compromisos establecidos, así como la adecuada administración de los recursos públicos, fortaleciendo la transparencia, el control institucional y la toma de decisiones informadas por parte de la Superintendencia Nacional de Salud.
</t>
  </si>
  <si>
    <t>https://supersalud-my.sharepoint.com/:f:/g/personal/gina_cortes_supersalud_gov_co/IgABtiHpRWxhSpHl0blQ0lPeAWbW4rAEGO-lNspn2xBSkHU?e=fRbJY0</t>
  </si>
  <si>
    <t xml:space="preserve">Durante el cuarto trimestre de la vigencia 2025, la Dirección de Medidas Especiales para Prestadores de Servicios de Salud ejecutó la totalidad de los siete (7) seguimientos programados a Prestadores de Servicios de Salud (PSS) bajo medida especial, correspondientes a: Nueva ESE Hospital Departamental San Francisco de Asís (2), Hospital Regional Magdalena Medio – Barrancabermeja, ESE Hospital Rosario Pumarejo de López, ESE Hospital de Nazareth, Hospital Luis Ablanque de la Plata ESE y ESE Universitaria del Atlántico, logrando un cumplimiento del 100% de la meta establecida para el periodo evaluado.   
En el marco de sus competencias, la Dirección de Medidas Especiales para Prestadores de Servicios de Salud adelanta seguimientos en campo a las entidades prestadoras de servicios de salud bajo medida especial, con el fin de verificar el cumplimiento de la normatividad vigente, así como de los planes, programas y cronogramas establecidos, desde los componentes administrativo-financiero, jurídico y técnico-científico. De igual manera, realiza el monitoreo de los indicadores de gestión.
A través de estas actuaciones, la Dirección de Medidas Especiales para Prestadores de Servicios de Salud contribuye al fortalecimiento del Sistema General de Seguridad Social en Salud, garantizando la prestación oportuna, continua y de calidad de los servicios, y promoviendo la sostenibilidad financiera de las instituciones prestadoras intervenidas, bajo los principios de eficiencia, eficacia y legalidad.
</t>
  </si>
  <si>
    <t>https://supersalud-my.sharepoint.com/:f:/g/personal/gina_cortes_supersalud_gov_co/IgBAQygM5MPFSJHyR7MfZvQaAUFxsw0CxIrA9rtmHOZY410?e=7qCQPI</t>
  </si>
  <si>
    <t xml:space="preserve">Durante el segundo semestre de la vigencia 2025, la Dirección de Medidas Especiales para Prestadores de Servicios de Salud ejecutó la totalidad de las doscientas cuatro (204) acciones de monitoreo y verificación programadas a los agentes interventores de los Prestadores de Servicios de Salud (PSS) con medida especial adoptada. Dichas acciones se distribuyeron en treinta y dos (32) fichas, ocho (8) conceptos, catorce (14) seguimientos en campo, cincuenta y cinco (55) análisis de indicadores Fénix y noventa y cinco (95) seguimientos virtuales a decisiones de impacto, alcanzando un cumplimiento del  100% de la meta establecida para el periodo evaluado.   
Las actuaciones adelantadas permitieron medir y evaluar de manera integral el desempeño de los agentes interventores de los PSS bajo medida especial, así como determinar, a partir del análisis realizado, el nivel de cumplimiento de las metas institucionales, la eficiencia en la gestión y los avances logrados en los procesos de mejora, contribuyendo al fortalecimiento del control y la supervisión del sector salud.
</t>
  </si>
  <si>
    <t>https://supersalud-my.sharepoint.com/:f:/g/personal/gina_cortes_supersalud_gov_co/IgCal6RbjZ4TQpEKdO5iZBVsAUMKTw37zFfAYFxoRcVpFJs?e=EOqU5x</t>
  </si>
  <si>
    <t>Durante el segundo semestre de la vigencia 2025 se efectuó un (1) seguimiento de un (1) programado en el marco del Programa de Mejoramiento Institucional al cual se encontraba adscrita la ESE Hospital San Juan de Sahagún, lo que permitió dar cumplimiento al 100% de la meta establecida para el período evaluado.   
Este Programa de Mejoramiento Institucional (PMI), es una herramienta de inspección y vigilancia que ha permitido la identificación, medición, evaluación y control de riesgos financieros y de salud, a partir de los reportes efectuados por el Ministerio de Hacienda y Crédito Público - MHCP a la Superintendencia Nacional de Salud, acerca de los incumplimientos del Programa de Saneamiento Fiscal y Financiero – PSFF por parte de las ESE, por lo cual, se aplicó un modelo de supervisión basado en riesgos, que incluyó la evaluación continua de indicadores financieros y de prestación de servicios, así como la formulación de planes de mejora, con seguimiento periódico de su ejecución. Como resultado, la gran mayoría de las instituciones bajo seguimiento lograron estabilizar sus condiciones operativas y fueron reclasificadas como entidades sin riesgo por el Ministerio de Salud y Protección Social, contribuyendo a una red pública hospitalaria más sólida y confiable.</t>
  </si>
  <si>
    <t>https://supersalud-my.sharepoint.com/:f:/g/personal/gina_cortes_supersalud_gov_co/IgC9I21Ab6BiQIlsH9yahPf_AUzfPg9i0y0h24e_DlvnVBA?e=l9xtL2</t>
  </si>
  <si>
    <t>La Dirección de Inspección y Vigilancia para Prestadores de Servicios de Salud continuó con el seguimiento a la ejecución de dicho programa y, para el segundo semestre de la vigencia 2025, priorizó ciento dos (102) ESE, correspondientes a aquellas con mayor asignación de recursos durante la vigencia 2023. Para tal efecto, se diseñó un papel de trabajo que permite la captura sistemática de información y el monitoreo de los resultados asociados a la gestión de las ESE en relación con la implementación de los Equipos Básicos en Salud (EBS).   
Con el fin de socializar y entregar dicho instrumento, se programó la realización de diez (10) mesas técnicas a nivel nacional, organizadas por regiones, dirigidas a las ESE priorizadas. Posteriormente, se efectuó el requerimiento formal para el suministro de la información necesaria, con el propósito de adelantar el correspondiente seguimiento en el marco de las acciones de Inspección y Vigilancia a cargo de la Dirección.
Para el proceso de consolidación y análisis de la información reportada, se desarrolló una herramienta en Power BI que facilita el análisis de variables financieras y asistenciales, a partir de la cual se generará un informe técnico que actualmente se encuentra en elaboración.
En concordancia con lo anterior, se viene adelantando un ejercicio de seguimiento a la implementación de los Equipos Básicos en Salud (EBS), orientado no solo a evaluar la ejecución presupuestal de los recursos asignados, sino también a verificar el cumplimiento de su objetivo misional: garantizar el acceso equitativo, oportuno y resolutivo a los servicios de salud en los territorios priorizados. Dicho seguimiento permite establecer si las acciones desarrolladas por las entidades receptoras se encuentran alineadas con los objetivos estructurales de la estrategia EBS, concebida para fortalecer la atención primaria en salud, reducir barreras de acceso y mejorar los indicadores de salud mediante intervenciones comunitarias integrales. En este sentido, las acciones de inspección y vigilancia se enfocan en verificar la coherencia entre el uso de los recursos, la operación territorial de los equipos y el impacto efectivo en las condiciones de salud de la población atendida.</t>
  </si>
  <si>
    <t>https://supersalud-my.sharepoint.com/:f:/g/personal/gina_cortes_supersalud_gov_co/IgAW5f7NLi3FQ7y6LbMespgOAaSxucoGuZERFCgxoPSXRaw?e=dV5ulL</t>
  </si>
  <si>
    <t>Para el segundo semestre de la vigencia 2025, la Dirección de IV para Prestadores de Servicios de Salud adelantó tres (3) acciones de inspección y vigilancia orientadas al monitoreo de riesgos de los Prestadores de Servicios de Salud (PSS), dando cumplimiento al 100 % de la meta establecida para el periodo, la cual contemplaba la realización de tres (3) acciones.   
Estas acciones se enmarcan en lo siguiente:
Supervisión basada en cumplimiento
• Avidanti S.A.S.: Se realizó una auditoría integral enfocada en el Sistema Integrado de Gestión de Riesgos, motivada por denuncias difundidas en medios de comunicación. Como resultado del ejercicio de inspección y vigilancia, se surtieron las etapas de planeación y elaboración del informe correspondiente (radicado No. 20254100002470031), así como el traslado de los hallazgos a las autoridades y dependencias competentes, entre ellas la Fiscalía General de la Nación (radicado No. 20254100003134241), la Dirección Territorial de Salud de Caldas (radicado No. 20254100002732801), la Delegada para Investigaciones Administrativas (radicado No. 20254100000118503) y la Delegada para Entidades de Aseguramiento (radicado No. 20254100200118433).
•Clínica La Sabana S.A.: Se efectuó un requerimiento de información relacionado con el cumplimiento de los requisitos del Oficial de Cumplimiento del SARLAFT/FPADM, a partir de una denuncia ciudadana. El requerimiento fue formulado mediante el radicado No. 20254100003152881 y, una vez analizados los soportes allegados por la entidad, se remitió el oficio con las observaciones correspondientes a través del radicado No. 20264100000042291.
Supervisión basada en riesgos / Supervisión basada en cumplimiento
•Orthoplan S.A.S.: Se adelantó un ejercicio de seguimiento y evaluación al prestador, enfocado en los subsistemas de riesgos de Lavado de Activos y Financiación del Terrorismo (LA/FT) y de Corrupción, Opacidad y Fraude (COF), así como en el cumplimiento de la normatividad legal vigente, motivado por una denuncia ciudadana. En el desarrollo de esta actuación se realizaron, entre otras, las siguientes actividades: i) requerimiento de información a la IPS (radicado No. 20254100000894641); ii) análisis de la información remitida para el diagnóstico de la entidad; iii) emisión del concepto técnico correspondiente (radicado No. 20254100003362741); y iv) traslado de los hallazgos a las instancias competentes, incluyendo el Tribunal de Ética Odontológica (radicado No. 20264100000019751), la Secretaría de Salud de Cali (radicado No. 20264100000026241) y la Delegada para Investigaciones Administrativas (radicado No. 20264100000001403).
Como resultado de las acciones adelantadas, se identificaron incumplimientos a la normatividad aplicable y alertas relevantes en materia de gestión de riesgos, las cuales constituyen insumos fundamentales para la adopción de medidas de seguimiento y, de ser procedente, la apertura de actuaciones administrativas, en el marco de las funciones de inspección, vigilancia y control de la Superintendencia Nacional de Salud.</t>
  </si>
  <si>
    <t>https://supersalud-my.sharepoint.com/:f:/g/personal/gina_cortes_supersalud_gov_co/IgBEKdlxLJg8ToaaTYWV_YBRAeQsaFl491pQUdW5kGHQ1qE?e=JKXfwl</t>
  </si>
  <si>
    <t xml:space="preserve">
En el marco de las acciones desarrolladas por la Dirección IV para Prestadores de Servicios de Salud, se adelanta el monitoreo de cuatro (4) indicadores financieros, calculados con base en la información reportada por las Empresas Sociales del Estado (E.S.E.) al cierre de la vigencia anterior (2024). Estos indicadores incorporan variables relacionadas con la cartera, los pasivos, en especial aquellos asociados al talento humano en salud, las pérdidas operacionales y la capacidad de recaudo frente a los ingresos causados.
Para el segundo semestre de la vigencia 2025, se estableció como meta el seguimiento y la ejecución de acciones de inspección y vigilancia sobre treinta y tres (33) Empresas Sociales del Estado, con el propósito de verificar el comportamiento de los indicadores financieros y detectar oportunamente posibles desviaciones o fallas en la gestión de los recursos.
Como resultado de estas actuaciones, se elaboraron informes de auditoría, se efectuaron traslados a las autoridades competentes y se adelantaron acciones de inspección y vigilancia asociadas al componente financiero, orientadas a mitigar los riesgos identificados y a fortalecer la sostenibilidad financiera de las entidades evaluadas.
En consecuencia, durante el segundo semestre de la vigencia 2025, se analizaron ciento treinta y dos (132) indicadores derivados del seguimiento realizado a las treinta y tres (33) E.S.E. monitoreadas, de los cuales se generaron setenta y dos (72) alertas, las cuales fueron gestionadas en su totalidad. Este resultado permitió alcanzar un 120% frente a la meta programada para el segundo semestre de la vigencia 2025, correspondiente a sesenta (60) acciones de inspección y vigilancia orientadas al monitoreo de los riesgos financieros en las Empresas Sociales del Estado priorizadas.
En ese orden de ideas, para la vigencia 2025, en específico para este indicador, se ejecutaron en su totalidad cien (100) acciones de inspección y vigilancia programadas, alcanzando un cumplimiento del 100% frente a la meta establecida, contribuyendo a la generación de controles preventivos que anticipen posibles afectaciones en la atención de los usuarios derivadas de una inadecuada gestión de los recursos.
</t>
  </si>
  <si>
    <t>https://supersalud-my.sharepoint.com/:f:/g/personal/gina_cortes_supersalud_gov_co/IgBlFHF0oIrPT7EulDhbBqy1AeBLIAPz_OAMX842y7mNe2M?e=2PQiaX</t>
  </si>
  <si>
    <t xml:space="preserve">Brindar apoyo técnico científico, jurídico, financiero y admistrativo para el seguimiento y monitoreo de los vigilados a cargo de la Oficina de Liquidaciones
</t>
  </si>
  <si>
    <t xml:space="preserve">Para el segundo semestre de la vigencia 2025, la Dirección de Inspección y Vigilancia para Prestadores de Servicios de Salud, si bien programó la realización de ocho (8) orientaciones técnicas, ejecutó un total de diecisiete (17), lo cual representa un nivel de cumplimiento del 213% frente a la meta establecida del 100 % para el período evaluado.   
En este sentido, las nueve (9) orientaciones técnicas adicionales a las inicialmente programadas se priorizaron en atención a la necesidad de brindar acompañamiento y seguimiento a los sujetos vigilados, derivada de la ocurrencia de eventos de interés en salud pública y de alertas asociadas a la prestación de los servicios de salud. Lo anterior evidencia la capacidad de respuesta institucional de la Superintendencia Nacional de Salud frente a situaciones críticas y prioritarias del sistema, particularmente en los siguientes aspectos:
• Mortalidad materna: En el marco del Plan de Aceleración para la Reducción de la Mortalidad Materna, se abordaron las barreras que limitan el acceso oportuno y con calidad a los servicios de salud para las gestantes, identificadas en los diferentes comités, tales como barreras administrativas, geográficas, sociales y culturales.
• Manejo integral de la desnutrición aguda, moderada y severa en niños menores de cinco (5) años: En desarrollo del Plan de Desaceleración de la Mortalidad por Desnutrición Aguda, se adelantaron acciones orientadas a incidir en la reducción de la mortalidad infantil mediante la implementación de estrategias sectoriales e intersectoriales en las entidades territoriales priorizadas, conforme a los criterios de focalización definidos.
• Atención Primaria en Salud (APS): Se reiteraron los lineamientos establecidos en la Ley 1438 de 2011 y en el Plan Decenal de Salud Pública, resaltando la coordinación intersectorial y la concurrencia de las instancias del Sistema de Protección Social y demás actores, para la intervención articulada sobre los determinantes sociales en salud, bajo las directrices del Consejo Nacional de Política Social (CONPES) y del Ministerio de Salud y Protección Social.
• Sistema de Administración del Riesgo de Lavado de Activos, Financiación del Terrorismo y Financiación de la Proliferación de Armas de Destrucción Masiva (SARLAFT): Se brindaron orientaciones conforme a lo dispuesto en la Circular Externa No. 009 de 2016 y su modificación mediante la Circular Externa No. 20211700000005-5 de 2021, relacionadas con la implementación del sistema y el reporte de información.
• Equipos básicos de salud: Se abordó la conformación y fortalecimiento de estas estructuras funcionales y organizativas del talento humano en salud, orientadas a facilitar el acceso, la continuidad y la integralidad de la atención en salud en los distintos entornos de desarrollo, en el marco de la estrategia de Atención Primaria en Salud.
</t>
  </si>
  <si>
    <t>https://supersalud-my.sharepoint.com/:f:/g/personal/gina_cortes_supersalud_gov_co/IgCrWrNv9t7WSJ5caY_uUlVIAUUPngevK9gS4JIzJFKnyaY?e=EaT6nF</t>
  </si>
  <si>
    <t xml:space="preserve">​Para el II semestre del año 2025, no se  presentaron solicitudes  para la promoción  de acuerdo de reestructuración  de pasivos, por lo que no se hizo necesaria la validación de cumplimiento de requisitos establecidos en el articulo 6 de la ley 550 de 1999
</t>
  </si>
  <si>
    <t xml:space="preserve">Durante el segundo semestre de la vigencia 2025, la Dirección IV para Prestadores de Servicios de Salud gestionó siete (7) solicitudes de reforma estatutaria de un total de siete (7) recibidas para trámite. De estas, tres (3) culminaron con la expedición del respectivo acto administrativo, mientras que cuatro (4) fueron tramitadas mediante la elaboración del estudio de viabilidad y la remisión a la Oficina Jurídica de los correspondientes proyectos de resolución. En consecuencia, se dio cumplimiento del 100% de la meta establecida para el periodo evaluado.   
Lo anterior se desarrolla en concordancia con lo dispuesto en el Decreto 1080 de 2021, el cual establece como función de la Superintendencia Nacional de Salud “autorizar o negar, de manera previa, a las instituciones prestadoras de servicios de salud, las operaciones relacionadas con la disminución de capital y la ampliación del objeto social a actividades no relacionadas con la prestación de los servicios de salud”
</t>
  </si>
  <si>
    <t>https://supersalud-my.sharepoint.com/:f:/g/personal/gina_cortes_supersalud_gov_co/IgDYgVBhzu52T4f1yWr6Sb74AQXUysyh6IBOk4PDakuU39U?e=zIuADs</t>
  </si>
  <si>
    <t xml:space="preserve">​Durante el segundo semestre de la vigencia 2025, no se presentaron trámites a la Dirección IV para Prestadores de Servicios de Salud relacionados con recursos de apelación derivados de la evaluación de gerentes o de evaluaciones no satisfactorias por la no presentación del plan de gestión por parte de los gerentes de las Empresas Sociales del Estado.
</t>
  </si>
  <si>
    <t xml:space="preserve">​Durante el mes de octubre se realizo visita tecnica a la  regional  Norte ( Barranquilla ) para realizar socializacion  del marco y de los modelos de supervision, en el marco del Plan de Fortalecimiento Institucional de la Estrategia  Territorial de la Dirección de Innovación y Desarrollo.
</t>
  </si>
  <si>
    <t>https://n9.cl/f4js5</t>
  </si>
  <si>
    <t xml:space="preserve">​​Durante el mes de noviembre se realizo visita tecnica a las regionales de Barranquilla Riohacha, Quibdó y San Andrés para realizar socializacion  del marco y de los modelos de supervision, en el marco del Plan de Fortalecimiento Institucional de la Estrategia  Territorial de la Dirección de Innovación y Desarrollo. Y a la regional de Cali a socializar la Circular Externa 2025151000000009-5 de 2025 para efectos de supervisión como punto de partida para la implementación de los sistemas de gestión de riesgos. 
</t>
  </si>
  <si>
    <t>https://n9.cl/98q30</t>
  </si>
  <si>
    <t>​Para el periodo reportado, se avanzaron en las siguientes actividades: 
1. Se avanzó En el marco del Sistema de Gestión de Innovación, se retomó la relación con SENATIC – una iniciativa entre MINTIC1 / OIT2/ SENA3 potenciar la formación por competencias en tecnologías de la información y contribuir al cierre de la brecha digital en el país.
Este es un programa de formación en diversos temas tecnológicos, digitales y con aptitudes blandas,
que busca fortalecer las competencias de los funcionarios de la Superintendencia Nacional de Salud  en temáticas como:
1. Tecnologías Emergentes.
2. Experiencia Digital.
3. Gestión de Proyectos.
4. Introducción a las tecnologías.
5. Lenguaje de programación
Durante el mes de septiembre se sostuvo la primera mesa de trabajo con la representante de esta alianza, la Dirección de Innovación y Desarrollo y la Dirección de Talento Humano vía TEAMS.
El día 11 de noviembre se hizo el lanzamiento oficial en la sede principal de la Superintendencia y se hizo socialización por medio del correo electrónico, SUPERBOLETÍN
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"BANCO DE PROYECTOS" para la vigencia 2026. Con esta actividad se abarcan también las siguientes actividades planteadas: Generar estrategia de cierre de brechas de necesidades del conocimiento alineadas a la metodología de función pública yGenerar estrategia de capacitación y sensibilización en gestión del conocimiento
3. Durante el segundo semestre de la presente vigencia, en compañía de la Oficina Asesora de Planeación se gestionó la identifcación de brechas y elaboración de cronograma de actividades para hacer el cierre de éstas, es importante mencionar que la ejecución de las mismas se ha venido desarrollando conforme a lo programado.
4. En el marco de las acciones diseñadas y ejecutadas para mitigar la fuga de conocimiento en la transición de persona, desde la Dirección de Innovación y Desarrollo se estructuraron y pusieron a dispoción de la entidad los REPOSITORIOS DE INFORMACIÓN INSTITUCIONALES para estandarizar un poco el control y accesibilidad de la información producida por las dependencias de la entidad: https://supersalud.sharepoint.com/teams/Gestiondelconocimiento/Shared%20Documents/Forms/AllItems.aspx
5.Los días 24 y 25 de octubre, la Supersalud adelantó la segunda versión de la Hackaton 2025 con el apoyo de la UNICAFAM en la cual se fomentó un espacio de Innovación Abierta y creación de soluciones.</t>
  </si>
  <si>
    <t>https://supersalud-my.sharepoint.com/:f:/r/personal/gerson_ruiz_supersalud_gov_co/Documents/GESTI%C3%93N%20DID%202024/PLANEACI%C3%93N%202025/P.E.I_2025/REQUERIMIENTO%20OAP%2017122025?csf=1&amp;web=1&amp;e=lqdtze</t>
  </si>
  <si>
    <t xml:space="preserve">​de las 6 solicitudes identificadas del DIFT 33 que llegaron a la SMIS se gestionaron 6 solicitudes en el ultimo trimestre del año dando un cumplimiento del 100% frente a la meta programada de realizar gestion al 100% de las solicitudes identificadas. esto se debe al plan de trabajo de cada una de las solicitudes realizadas. 
</t>
  </si>
  <si>
    <t xml:space="preserve">El resultado para el año 2025 corresponde a la consolidacion de los  4 modelos  de supervision :
 1. modelo de supervision para PSS
 2. Modelo de supervision para entidades territoriales
 3. Modelo de supervision DEAS
 4. Modelo de supervision para operadores Logisticos y/o gestores farmaceuticos.
De las 4 actividades programadas se ejecutaron todas dando cumplimiento al 100% frente a las metas establecidas para está vigencia; esto se debe al trabajo colaborativo entre las diferentes delegaturas, la UDEA y la Subdirección de Metodologías e Instrumentos de Supervisión.
Para el 2026 el 20% faltante corresponde a la implementacion de los modelos, la construccion de la caja de herramientas y el diseño de alertas tempranas. 
</t>
  </si>
  <si>
    <t>https://n9.cl/sygme</t>
  </si>
  <si>
    <t xml:space="preserve">​Para el periodo de tiempo reportado, se avanzó en lo siguiente:
1. Para este indicador se avanzó En el marco del Sistema de Gestión de Innovación, se retomó la relación con SENATIC – una iniciativa entre MINTIC1 / OIT2/ SENA3 potenciar la formación por competencias en tecnologías de la información y contribuir al cierre de la brecha digital en el país.
Este es un programa de formación en diversos temas tecnológicos, digitales y con aptitudes blandas,
que busca fortalecer las competencias de los funcionarios de la Superintendencia Nacional de Salud  en temáticas como:
1. Tecnologías Emergentes.
2. Experiencia Digital.
3. Gestión de Proyectos.
4. Introducción a las tecnologías.
5. Lenguaje de programación
Durante el mes de septiembre se sostuvo la primera mesa de trabajo con la representante de esta alianza, la Dirección de Innovación y Desarrollo y la Dirección de Talento Humano vía TEAMS: SENATIC
El día 11 de noviembre se hizo el lanzamiento oficial en la sede principal de la Superintendencia y se hizo socialización por medio del correo electrónico, SUPERBOLETÍN.
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"BANCO DE PROYECTOS" para la vigencia 2026: INFORME WORKSHOP INNOVACIÓN EN TERRITORIOS 2025.pptx
3. Los días 24 y 25 de octubre, la Supersalud adelantó la segunda versión de la Hackaton 2025 con el apoyo de la UNICAFAM en la cual se fomentó un espacio de Innovación Abierta y creación de soluciones. HACKATON 2025
4. Se ejecutó la primera semana de la Innovación en la Supersalud durante los días 1,2 y 3 de diciembre.
5. Se creó y formalizó el Manual de Innovación de ls Supersalud.(se adjunta en word, toda vez que a la fecha de este reporte elportal web de la entidad presenta fallas en su funcionamiento y no permite descargar el documento directamente)
6. Se realizaron los primeros "CAFÉ CON CONEXIÓN" como estrategia de interrelacionamiento institucional e identificación del conocimiento tácito de la entidad. 
</t>
  </si>
  <si>
    <t>https://supersalud-my.sharepoint.com/:f:/r/personal/gerson_ruiz_supersalud_gov_co/Documents/GESTI%C3%93N%20DID%202024/PLANEACI%C3%93N%202025/P.E.I_2025/REQUERIMIENTO%20OAP%2017122025/SENATIC?csf=1&amp;web=1&amp;e=SAZEb9</t>
  </si>
  <si>
    <t xml:space="preserve">​
Justificación:
Se procede a modificar el Plan de Acción de Gestión (PAG) con la eliminación de los proyectos PR_05, PR_11, PR_13 y PR_16 del reporte correspondiente a la vigencia 2025. Esta decisión obedece a diversas circunstancias institucionales que han impedido su ejecución durante el presente año, aunque se prevé su continuidad en la vigencia 2026. A continuación, se detallan las razones específicas para cada proyecto:PR_05 – Consolidación de las PQRS en torno a la prestación de los servicios de salud:
 No se relacionó el perfil profesional adecuado para el desarrollo efectivo del proyecto en el PAA 2025. Durante la vigencia 2026 se tendrán avances sobre este proyecto.
PR_11 – Fortalecimiento de las funciones de IVC de la SNS mediante la implementación de procedimientos y controles de auditoría a sistemas de información, cadena de custodia y laboratorio forense:
Se encuentra pendiente la definición institucional relacionada con el laboratorio forense.PR_13 – Acompañamiento a la implementación del Plan de Continuidad del Negocio (BCP):
 La ejecución de este proyecto depende de la culminación previa del proyecto PR_12. Por esta razón, su desarrollo y reporte están previstos para la vigencia 2026.PR_16 – Fortalecimiento de la Arquitectura Empresarial:
No se relacionó el perfil profesional adecuado para el desarrollo efectivo del proyecto en el PAA 2025. Se aprovisinó en el PAA 2026 para desarrollar este proyecto.
Estas acciones, una vez reactivadas, contribuirán significativamente al fortalecimiento institucional de la Supersalud, mejorando la eficiencia y eficacia de los procesos de inspección, vigilancia y control, mediante el uso de herramientas tecnológicas, metodologías de auditoría, y mecanismos que optimicen la gestión de riesgos, la seguridad de la información y la protección de datos personales.
</t>
  </si>
  <si>
    <t>https://supersalud.sharepoint.com/GEGATI/Documentos%20compartidos/Forms/AllItems.aspx?id=%2FGEGATI%2FDocumentos%20compartidos%2FGobierno%20y%20Cumplimiento%2FGestor%20OAP%2FPAG%2F2025&amp;viewid=6ad9fcac%2D3448%2D49b7%2Dbf4c%2D16401a637e50</t>
  </si>
  <si>
    <t xml:space="preserve">En realizó la ejecución el contrato 116 de 2025 por valor de $1,634,000,000 con avance técnico del 100%. Este contrato abarca dos proyectos independientes que hacen parte de dos programas y el Objeto es: Desarrollar e Implementar el Programa de Gobernanza de Datos en las etapas restantes de diseño y arquitectura, implementación, y operación y control, y el Programa de Inteligencia de Negocios y Analítica de la Superintendencia Nacional de Salud 
 ALCANCE: Terminar de desarrollar e implementar las etapas restantes del programa de Gobernanza de Datos, iniciado en el 2024: 
Fase 3: Arquitectura y Diseño en las subfases y actividades restantes no desarrolladas en el Contrato 131 de 2024 Subfase 3.1. actividad 3.1.3. para identificar herramientas y tecnología que apoye las capacidades de la GoD, subfases 
Subfase 3.2, Definición de Marcos de operación, 
Subfase 3.3, Formalización del compromiso y flujo de trabajo 
Fase 4: Implementación (implantación) 
Fase 5: Operación y Cambio 
* Desarrollar e Implementar el Programa de Inteligencia de Negocios de la Superintendencia Nacional de Salud: 
Fase 1 Estructuración 
Fase 2 Desarrollo 
Fase 3 Despliegue 
Fase 4 Implementación, operación, seguimiento y evaluación 
</t>
  </si>
  <si>
    <t xml:space="preserve">
En lo relacionado con la Implementación de la Política de Gestión de Información Estadística, para lo cual se realizó la contratación prestación de servicios de dos OPS, por valor de $71,093,972, que apoyaron a la entidad en avanzar en la formulación del Plan Estadístico Institucional y en la preparación para la certificación de las operaciones estadísticas y en el desarrollo de los mecanismos de la Política de Gestión de la Información Estadística de la Superintendencia Nacional de Salud. 
Los profesionales contratados fueron Yamit Juliana Tovar y Hernado Trilleros, con los cuales se realizó ajuste y socialización del Procedimiento de Gestión de Información Estadística (PRGIE) en la SNS.  
Se envió a Planeación el procedimiento PRGIE actualizado para su publicación. 
Se revisó el procedimiento de Formular y Gestionar el Plan Estadístico Institucional PESI.
Se participó en reuniones con las Delegaturas y Direcciones para revisar la calidad de los archivos tipos y su uso, para generar análisis de fortalecimiento de registros administrativos (RRAA). 
Se trabajó en la metodología para el fortalecimiento de RRAA, en la metodología para anonimización de bases de datos, y en una Propuesta de actualización del Plan estadístico institucional. 
 </t>
  </si>
  <si>
    <t>Durante el periodo evaluado se han adelantado las actvidades correspondientes para mantener actualizada la Base Única de Vigilados (grupo de valor), realizando, además, procesos de revisiones y/o actualizaciones en los sistemas de Génesis y nRVCC sobre los vigilados. 
Y se alcanzó el 100% de propuesto en la vigencia, para lo cual se ha mantenido permanente interlocución con las Delegaturas y Direccciones de la Entidad como Financiera y el Grupo de Contribución.  </t>
  </si>
  <si>
    <t xml:space="preserve">​Se realizó la publicación del boletin jurídico correspondiente al tercer trimestre de 2025, en el normograma de la Superintendencia Nacional de Salud: https://normograma.supersalud.gov.co/compilacion/boletines_juridicos_sns.html.,
</t>
  </si>
  <si>
    <t xml:space="preserve">Para el mes de octubre se ejcutó actividades del cronograma de implementación y sostenibilidad de la política de gestión y desempeño de Mejora Normativa relacionadas con la elaboración del manual de mejora normativa:  Mesa de trabajo 23 de octubre de 2025 "PRESENTACION VERSION FINAL MANUAL DE MEJORA NORMATIVA" realizada en la Dirección Jurídica con la presencia de la Dirección de Innovación y Desarrollo con el acompañamiento de los enlaces de planeación. Mediante Memorando20251600100109193 de 30 de octubre de 2025 la Dirección Jurídica remitió el Manual de Mejora Normativa a la Oficina Asesora de Planeación para la respectiva gestión.
</t>
  </si>
  <si>
    <t xml:space="preserve">Dentro del período objeto de reporte se cumplió en su totalidad con el indicador propuesto (100%), en la medida en que los recursos de única instancia fueron resueltos y entregados dentro del término de oportunidad de dos (2) meses contados a partir de la fecha de recepción del respectivo recurso.
A la fecha, se remitieron seis (6) solicitudes para el trámite de recursos de reposición en única instancia, de las cuales seis (6) fueron resueltas dentro del término establecido.
​
</t>
  </si>
  <si>
    <t xml:space="preserve">Dentro del período objeto de reporte se cumplió con el indicador propuesto (100%),  entregando para firma y notificación 58 actos administrativos que resuelven los recursos de apelación,  queja y solicitudes de revocatoria directa  antes de la fecha de caducidad de que trata el artículo 52 de la ley 1437 de 2011- Código de Procedimiento Administrativo y de lo Contencioso Administrativo.
</t>
  </si>
  <si>
    <t xml:space="preserve">​El grupo de tutelas obtuvo un 93.76% de efectividad frente a las respuestas de procesos de tutelas asignadas.  El porcentaje de efectividad disminuyó frente al reporte del semestre anterior en la medida que se aumentó  progresivamente el flujo de tutelas en los que la SNS hace parte  y la capacidad instalada de la Dirección jurídica no creció en la misma proporción.
</t>
  </si>
  <si>
    <t>Dentro del periodo reportado se gestionó  la respuesta de 524 solicitudes de conceptos cumpliendo con el  trámite del  100% de los radicados, de esta forma señalar la oportunidad y resolutividad en el cumplimiento de las funciones asignadas con el control  efectivo del indicador​</t>
  </si>
  <si>
    <t xml:space="preserve">​Durante el periodo informado se tramitó 74 acciones contencioso adminstrativas y ordinarias atendiendo el 100% de los autos admisorios recepcionados,   lo que impactó favorablemente la prevención del daño antijurídico al cumplir con  los términos de ley.
</t>
  </si>
  <si>
    <t xml:space="preserve">​Dentro del periodo se reporta en el 100%  este indicador,  al estudiar y resolver en términos 83 solicitudes de conciliación de un total de 83 recibidas conforme al aplicativo E-kogui,  por lo tanto se garantiza el debido proceso y la respuesta  oportuna de la Superintendencia  en el área de defensa técnica de la entidad 
</t>
  </si>
  <si>
    <t>​
​Se ejecutaron las 6 actividades programadas para el mes de diciembre conforme al cronograma de implementación y sostenibilidad de la Política de Mejora Normativa.  Con estas actividades se da por gestionado el cronograma establecido  y demás compromisos adquiridos en la implementación y sostenibilidad de la política de mejora normativa.  Se cumplieron con la expedición del manual de mejora normativa.</t>
  </si>
  <si>
    <t xml:space="preserve">​En el cuarto trimestre de 2025 y en desarrollo de la politica de gestion y desempeño de defensa juridica se desarrollaron las 4 actividades programadas  en el plan de gestión, por lo que se dio cumplimiento al 100% del indicador previsto.
</t>
  </si>
  <si>
    <t xml:space="preserve">​ De 21 sanciones enviadas en grado de consulta, 21 sanciones fueron  revocadas. En el periodo informado no se materializó  ninguna sancion en contra del superintendente.
</t>
  </si>
  <si>
    <t xml:space="preserve">​Durante el segundo  semestre de 2025  se confirmó la realización de 2  capacitaciones en cumplimiento al seguimiento a la PPDA.
</t>
  </si>
  <si>
    <t xml:space="preserve">​Durante el segundo semestre se desarrolló  3  acciones para el diseño del sistema integral de seguimiento a sentencias.  Se evolucionó el procedimiento de seguimiento de sentencias judiciales y conjuntamente con  la Subdirección de Tecnologías de la Información se adelantó  el desarrollo del aplicativo que apoyará la identificación, seguimiento y cumplimiento de las diferentes órdenes judiciales.  En esta etapa se superó  la generación del insumo  por parte de la Dirección jurídica para la fase de diseño ( (1. Análisis de requerimientos  y  2, Diseño técnico y funcional) de manera tal que la subdirección de tecnologías de la información pueda dar continuidad a la elaboración e implementación  del programa informático que facilite el ejercicio de control y seguimiento a cargo de la Dirección Jurídica.
</t>
  </si>
  <si>
    <t xml:space="preserve">​
El informe evidencia un resultado altamente satisfactorio al indicar que el indicador evaluado alcanza un nivel de cumplimiento del 100 %, lo cual da cuenta de la ejecución íntegra de la meta establecida para el periodo analizado. Este resultado refleja una gestión eficaz a nivel de comunicación digital, orientada al logro de los objetivos definidos. La referencia explícita al archivo INF-GESTION-DIGITAL-NOV2025.xlsx constituye un respaldo documental sólido, al aportar evidencia cuantitativa verificable que permite garantizar la trazabilidad, transparencia y consistencia del cumplimiento reportado.
De igual manera, se resalta el incremento tanto en el número de seguidores como en los niveles de interacción en las redes sociales institucionales, lo cual puede interpretarse como un fortalecimiento progresivo del alcance, la visibilidad y el posicionamiento digital de la entidad ante la ciudadanía. Este comportamiento demuestra que las estrategias de comunicación digital implementadas han sido efectivas, al lograr captar el interés de los públicos objetivos y fomentar una relación más cercana y dinámica con los usuarios de los servicios de salud y la sociedad en general.
En este sentido, el fortalecimiento del ecosistema digital resulta especialmente relevante para la Superintendencia Nacional de Salud, cuyo rol misional exige no solo la vigilancia y el control, sino también la generación de confianza, legitimidad institucional y percepción de cercanía con la ciudadanía. Una presencia digital sólida y estratégica contribuye a mejorar la comprensión del quehacer institucional, facilita el acceso a la información pública y promueve la participación ciudadana, en coherencia con los principios de transparencia, y responsabilidad que rigen la función administrativa. En consecuencia, los resultados reportados no solo reflejan un cumplimiento técnico de metas, sino también avances significativos en la consolidación del posicionamiento institucional y en la construcción de una relación más abierta y efectiva con la ciudadanía.
</t>
  </si>
  <si>
    <t xml:space="preserve">El resultado del indicador se sustenta en la implementación de dos campañas institucionales estratégicas —la Campaña SENATIC y la Campaña Semana de la Innovación— orientadas a promover la formación, la innovación y la participación activa de los funcionarios, mediante el uso planificado y coherente de canales de comunicación interna, mensajes segmentados y recursos visuales de alto impacto.
La Campaña SENATIC estuvo dirigida a incentivar el registro y la participación de los servidores en los cursos de formación y certificación tecnológica, mediante la articulación de piezas comunicativas multicanal como correos electrónicos, banners en intranet, contenidos audiovisuales, notas informativas y un evento presencial de alto nivel de convocatoria. Esta estrategia permitió reforzar el valor del aprendizaje continuo como eje del desarrollo profesional y herramienta clave para el fortalecimiento de las capacidades institucionales, lo que contribuye al posicionamiento de la entidad como promotora de la transformación digital y la cualificación del talento humano.
Por su parte, la Campaña Semana de la Innovación se orientó a fomentar la participación activa de los funcionarios en espacios de reflexión, aprendizaje y construcción colectiva alrededor de la innovación institucional. A través de una agenda estructurada de workshops, masterclass, foros y actividades participativas, difundidas mediante afiches, wallpapers, correos institucionales, piezas audiovisuales y publicaciones informativas, se fortaleció la apropiación de conceptos relacionados con la innovación, la gestión del conocimiento, la modernización de procesos y el uso estratégico de herramientas tecnológicas. Esta campaña contribuyó, además, a consolidar una narrativa institucional alineada con el eslogan “Innovar para cuidar: el futuro al servicio de la salud”, lo que refuerza la identidad y el propósito misional de la entidad.
En conjunto, ambas campañas evidencian una gestión comunicacional planificada, consistente y orientada a resultados, que no solo permitió alcanzar los objetivos específicos de participación y formación, sino que también fortaleció el posicionamiento institucional de la Superintendencia Nacional de Salud ante su público interno y ante la ciudadanía. Una entidad que comunica de forma clara, estratégica y coherente sus acciones de formación e innovación consolida la confianza, la legitimidad y la percepción de capacidad institucional, elementos fundamentales para una gestión pública moderna, transparente y centrada en el servicio al ciudadano.
</t>
  </si>
  <si>
    <t xml:space="preserve">La Oficina Asesora de Planeación, mediante el memorando N.º 20251200000102373, solicitó el reporte de monitoreo de las actividades contempladas en la versión actual de los cronogramas del Programa de Transparencia y Ética Pública, con el objetivo de identificar oportunidades de mejora en su formulación o la necesidad de incluir nuevas acciones.
Este ejercicio de monitoreo abarca exclusivamente las actividades desarrolladas durante la vigencia actual, hasta el 30 de septiembre de 2025, en concordancia con lo establecido en la Circular CIR25-00000026 de 2025.Resultados del monitoreo
De las 73 actividades planteadas en el plan, distribuidas en los diferentes componentes:39 se cumplieron (algunas con cumplimiento trimestral continuo).4 presentan cumplimiento parcial.10 no se cumplieron.20 no estaban programadas para ejecutarse en el periodo evaluado, ya que tienen fechas previstas para el último trimestre de 2025.
</t>
  </si>
  <si>
    <t xml:space="preserve">​De los 89 indicadores suceptibes de reporte en el tercer trimestre de 2025, 84 de ellos cumplieron la meta a la superaron para el periodo, lo que indica un cumplimiento del 94.4%. 
Es importante indicar que durante este periodo se presento la transición de personal, con el ingreso de los funcionarios de concurso, lo que por curva de aprendizaje impacto directamente en los resultados, sin embargo se vienen adelantando capacitaciones para concientizar al personal de la importancia del reporte oportuno de las actividades realizadas para el logro de los objetivos propuestos en el PAG 2025.
</t>
  </si>
  <si>
    <t xml:space="preserve">     Durante el periodo comprendido entre octubre y diciembre de 2025 se atendieron 105 solicitudes de oficialización de documentos en los procesos institucionales de la Superintendencia Nacional de Salud dando cumplimiento al 100% de lo establecido para el periodo respecto a los documentos priorizados a oficializar en la vigencia.
De éstas, 72 solicitudes correspondieron a creación de documentos, 29 correspondieron a actualización y 4 solicitudes de anulación en el marco de los siguientes procesos: Actuaciones disciplinarias: 1 documento, Auditorías: 11 documentos, Control: 8 documentos, Direccionamiento estratégico: 10 documentos, Evaluación independiente: 1 documentos, Gestión de bienes y servicios: 8 documentos, Gestión estratégica de personas: 13 documentos, Gestión financiera: 6 documentos, Gestión jurídica: 9 documentos, Gestión jurisdiccional y de conciliación: 4 documentos, Gobierno y gestión de datos e información: 24 documentos, Relacionamiento con la ciudadanía y grupos de valor: 5 documentos, Seguimiento y evaluación al vigilado: 5 documentos,
Finalmente, y de acuerdo con el tipo documental, durante el periodo se tramitaron oficializaciones asociadas a los tipos documentales: 68 Formatos, 15 Manuales, 15 Procedimientos, 3 Guías, 2 Procesos, y 2 Políticas institucionales.</t>
  </si>
  <si>
    <t>Al 31 de diciembre de 2025, del total de recursos de inversión asignados para la presente vigencia, y una vez aplicada la reducción presupuestal (Decreto No. 1484 de 2025) que fijó la nueva apropiación en $84.527.452.102, se han comprometido $84.130.515.250, equivalentes al 99,53% de la apropiación definitiva. De este valor, se generaron obligaciones por $78.459.265.382, cifra que corresponde al 93,25% de los recursos comprometidos y al 92,83% del total de recursos asignados para la vigencia. En términos generales el nivel de compromisos fue 19 puntos porcentuales respecto al 2024, y las obligaciones superaron en 20 punto porcentuales con relación al año anterior.
La mayoría de las 18 dependencias ejecutoras registraron niveles de compromiso iguales o superiores al 98%, destacándose varias con ejecución del 100%, como: Superintendencia Delegada de Investigaciones Administrativas, Despacho del Superintendente Nacional de Salud, Dirección Jurídica, Dirección Administrativa – Grupo de Recursos Físicos
Asimismo, en materia de obligaciones,  la mayor parte de las dependencias presenta ejecuciones superiores al 85% de los compromisos, destacándose: Superintendencia Delegada de Investigaciones Administrativas (97,7%), Dirección Jurídica (97,5%), Dirección de Innovación y Desarrollo – Subdirección de Tecnologías de la Información (94,8%), Superintendencia Delegada para la Protección al Usuario (94,5%)</t>
  </si>
  <si>
    <t xml:space="preserve">E l plan de cierre de brechas para la vigencia 2025 contempla un total de 77 acciones, de las cuales 68 se gestionaron y tuvieron cierre en su totalidad con lo cual se cerró el 88.3% de las brechas logrando un sobrecumplimiento del 110% con respecto a la meta establecida para 2025; mostrando con ello un resultado positivo con respecto al monitoreo y seguimiento realizado por la OAP y el compromiso de las áreas para la mejora continua, pesé a lo anterior quedaron pendientes 9 brechas por gestión, las cuales se distribuyen así: Gestión del conocimiento: 1; Gestión de información estadística: 4; Integridad: 1; Racionalización de trámites: 1; y Seguridad digital: 2, estás serán incluidas en el Plan de trabajo para la vigencia 2026.
</t>
  </si>
  <si>
    <t xml:space="preserve">De conformidad a la programación establecida en el PAAS para la vigencia 2025 y en atención a la actividad "Ejecutar Programa Anual Seguimiento a la Gestión Institucional", alusiva al indicador "Auditorías realizadas de acuerdo con el Plan Anual de Auditorías", la Oficina de Control Interno definió reportar en el mes de diciembre el cumplimiento correspondiente al segundo semestre de la vigencia 2025; de ello, se puede precisar, que fueron presentadas ante el CICCI cuatro (4) de las dos (2) auditorías programadas; las dos adicionales se encontraban rezagadas del primer semestre referentes a los procesos de "Gestión Financiera" y "Gestión de Bienes y Servicios".
Por lo anteriormente señalado, el porcentaje de cumplimiento para el período ahora reportado obedece al 200% de ejecución de acuerdo con lo definido en el Plan Anual de Auditorías.
Al cierre de diciembre se realizaron seis (6) auditorias las cuales se encontraban programadas para realizar en la vigencia, lo que representa un cumplimiento del 100% en la ejecución del PAAS.
</t>
  </si>
  <si>
    <t xml:space="preserve">De conformidad con la programación establecida en el Plan Anual de Seguimiento a la Gestión Institucional (PAAS) para la vigencia 2025, y en atención a la actividad “Ejecutar Programa Anual de Seguimiento a la Gestión Institucional”, correspondiente al indicador “Seguimientos y evaluaciones efectuadas al control institucional”, la Oficina de Control Interno reporta el cumplimiento del cuarto trimestre de la presente anualidad. 
Durante el cuarto trimestre de 2025 se ejecutaron un total de diecinueve (19) actividades de las trece (13) programadas; la diferencia corresponde a seis (6) actividades a acciones rezagadas del tercer trimestre, producto de situaciones administrativas relacionadas con el concurso de mérito. Por lo anteriormente señalado, el porcentaje de cumplimiento para el período reportado corresponde al 146% de ejecución.
Al cierre de la vigencia 2025 se realizaron cincuenta y cuatro (54) actividades las cuales se encontraban programadas para realizar en la vigencia, lo que representa un cumplimiento del 100% en la ejecución del PAAS.
Adicionalmente, en el transcurso del trimestre se llevaron a cabo actividades complementarias no previstas en el plan, derivadas de requerimientos formulados por entes de control, atención de derechos de petición, actividades de gestores, entre otros.
</t>
  </si>
  <si>
    <t xml:space="preserve">​Se logro la cobertura de los sujetos vigilados mediante visitas de seguimiento y monitoreo cimpliendo con el 100% 
</t>
  </si>
  <si>
    <t xml:space="preserve">​Mediante visita de Seguimiento t monitoreo se logro la cobertura del 100% de las entidades programadas a vigilados no ordenados por la SNS 
</t>
  </si>
  <si>
    <t xml:space="preserve">​Los contratistas efectuaron mas apoyo jurídico y financiero durante el periodo ya que llegaron mas PQRD en el mes de diciembre exediendo en 25 radicados mas . Se cumplio con la meta establecida . Se anexan los resultados arrojados por el Superargo que da fe de las actividades tramitadas por los profesionales y su apoyo a la Oficina de Liquidaciones .
</t>
  </si>
  <si>
    <t>De las (29) noticias disciplinarias (Quejas, informe de servidor público o de oficio) recibidas en el quinto bimestre de 2025 (septiembre – octubre de 2025), se adelantaron las siguientes actuaciones: 10 (34,5%) Aperturas de Indagación Previa; 10 (34,5%) Autos Inhibitorios; 5 (17,2%) Traslados por competencia; 3 (10,3%) Aperturas de Investigación Disciplinaria y 1 (3,4%) Autos de Archivo, profiriendo igual número de autos por el Coordinador del Grupo de Instrucción Disciplinaria en el periodo:
Tipo Noticia/ Auto
De Oficio
 Informe de Servidor PúblicoQuejaTotal, Noticias V Bimestre 2025Auto de Indagación Previa 6410Auto Inhibitorio15410Auto Apertura de Investigación 213Auto Traslado por Competencia 325Auto de Archivo 1 4V Bimestre (septiembre – octubre) 2025, Total1171129</t>
  </si>
  <si>
    <t>https://supersalud.sharepoint.com/:f:/r/sites/luisalberto/Documentos%20compartidos/Gesti%C3%B3n_OCDI_2025/Indicadores_PAG_2025/AC05_Noticias_Disciplinarias/V%20Bimestre%202025?csf=1&amp;web=1&amp;e=eMJAdH</t>
  </si>
  <si>
    <t xml:space="preserve">​Durante el mes de Octubre, se gestionaron  259 cuentas que fueron radicadas en los tiempos estipulados de acuerdo con la Circular Interna 2022920020000026-4 de 2022,asi mismo, los documentos radicados despues del dia 25 calendario se tramitaron en el siguiente mes. Por lo cual, se cumplió con la meta del indicador del 100%, (259/259) habiendo gestionado la totalidad de las cuentas radicadas con un tiempo de gestión de 2,2 dias hábiles. Se adjunta base con relación de cuentas radicadas y gestionadas, asi como el reporte del indicador con la correspondiente gráfica.
</t>
  </si>
  <si>
    <t xml:space="preserve">​Durante el mes de Noviembre, se gestionaron  302 cuentas que fueron radicadas en los tiempos estipulados de acuerdo con la Circular Interna 2022920020000026-4 de 2022, asi mismo, los documentos radicados despúes del dia 25 calendario se tramitaron en el siguiente mes. Por lo cual, se cumplió con la meta del indicador del 100%, (302/302) habiendo gestionado la totalidad de las cuentas radicadas con un tiempo de gestión de 1,9 dias hábiles. Se adjunta base con relación de cuentas radicadas y gestionadas, asi como el reporte del indicador con la correspondiente gráfica.
</t>
  </si>
  <si>
    <t xml:space="preserve">En el tercer cuatrimestre (Septiembre-Diciembre) de 2025 la Oficina de Control Disciplinario realizo seis (6) capacitaciones, charlas en materia disciplinaria, con las siguientes temáticas y participantes: 1) 26/09/2025 Charla Régimen de Inhabilidades, Incompatibilidades y Conflicto de Interés: (Virtual) 423 participantes; 2) Faltas Disciplinarias Relacionadas con Participación en Política (Virtual) 90 participantes; 3) Charla Prevención de Faltas Disciplinarias Dirección Regional Nororiental - Bucaramanga Presencial (14) participantes; 4) "Mora proceso administrativo sancionatorio" Delegada para Investigaciones Administrativas - 14/11/2025  (Virtual) 55 Participantes; 5) Charla Maltrato y Acoso Laboral con énfasis en responsabilidad disciplinaria de los funcionarios de la Supersalud - 18/11/2025 (Virtual) 474 (Presencial) y 6) Hablemos de Integridad, Conflictos de Interés y Confidencialidad de la información - Dirigida a la Delegada de Entidades Territoriales 04/12/2025 - Total Participantes: 167         
Así mismo, la OCDI participo en cinco (5) jornadas de inducción dirigida a los nuevos funcionarios vinculados, por concurso de méritos a la Superintendencia, cuya temática abarca (Generalidades del Proceso Disciplinario; División de Roles (Instrucción y Juzgamiento); Etapas del proceso; Derechos; Deberes; Prohibiciones; Modalidades de conducta y formas de culpabilidad; etc.) – Realizadas de manera Virtual: los días 09 y 30 de septiembre, 21 de octubre, 19 de noviembre y 22 de diciembre de 2025 - Total 297 (participantes)
Total participantes – Función Preventiva= 1594 funcionarios.                SeptiembreOctubreNoviembre Diciembre  Total, participantes: (Virtual) 423 26/09/2025 Charla Régimen de Inhabilidades, Incompatibilidades y Conflicto de Interés
Total, participantes: (Virtual) 90 – Presencial: 14  
* Faltas Disciplinarias Relacionadas con Participación en Política (Virtual)
* Charla Prevención de Faltas Disciplinarias
 Dirección Regional Nororiental - Bucaramanga PresencialTotal, participantes: (Virtual) 529 – Presencial 74
* "Mora proceso administrativo sancionatorio" Delegada para Investigaciones Administrativas - 14/11/2025
* Charla Maltrato y Acoso Laboral con énfasis en responsabilidad disciplinaria de los funcionarios de la Supersalud Total, participantes: (Virtual) 167    * Capacitación:
 Hablemos de Integridad, Conflictos de Interés y Confidencialidad de la información - Dirigida a la Delegada de Entidades Territoriales
Adicionalmente, la oficina ha tenido publicaciones de notas en las ediciones No. 261 y 264 del Superboletín - Septiembre de 2025
</t>
  </si>
  <si>
    <t>https://supersalud.sharepoint.com/:f:/r/sites/luisalberto/Documentos%20compartidos/Gesti%C3%B3n_OCDI_2025/Indicadores_PAG_2025/III_Cuatrimestre_2025?csf=1&amp;web=1&amp;e=Anrc4x</t>
  </si>
  <si>
    <t>De las (26) noticias disciplinarias (Quejas, informe de servidor público o de oficio) recibidas en el sexto bimestre de 2025 (noviembre - diciembre), se adelantaron las siguientes actuaciones: 18 (69,2%) Aperturas de Indagación Previa; 4 (15,4%) Autos Inhibitorios; 2 (7,7%) Aperturas de Investigación Disciplinaria y 2 (7,7%) Traslados por Competencia, profiriendo igual número de autos por el Coordinador del Grupo de Instrucción Disciplinaria en el periodo:
Tipo Noticia/ AutoInforme de Servidor PúblicoQuejaTotal, Noticias VI Bimestre 2025Auto de Indagación Previa9918Auto Inhibitorio 44Auto Apertura de Investigación2  Auto Traslado por Competencia2 2VI Bimestre (Noviembre – Diciembre) 2025, Total131326</t>
  </si>
  <si>
    <t>https://supersalud.sharepoint.com/:f:/r/sites/luisalberto/Documentos%20compartidos/Gesti%C3%B3n_OCDI_2025/Indicadores_PAG_2025/AC05_Noticias_Disciplinarias/VI%20Bimestre%202025?csf=1&amp;web=1&amp;e=XcrcDJ</t>
  </si>
  <si>
    <t xml:space="preserve">Dada la dinámica de la etapa de instrucción y la variación mensual (Julio:232; Agosto: 205; Septiembre: 142; Octubre:84; Noviembre: 73 y Diciembre: 85) del inventario de expedientes objeto de evaluación o calificación, para adoptar una decisión (archivo o pliego de cargos), se tomará el promedio del semestre (137) como denominador, para el cálculo del indicador, excluyendo aquellos expedientes cuyo término de duración de la indagación previa o investigación disciplinaria se encuentra en curso (vigente), de los137 expedientes reseñados, se adoptaron 183 decisiones de archivo con fundamento en las causales del artículo 90 del Código General Disciplinario y se formularon nueve (9) pliego de cargos.    
En las reuniones de Autoevaluación mensual de la OCDI se verifica el avance frente al indicador y se acumula el mismo, a saber:JulioAgostoSeptiembreOctubreNoviembreDiciembreIndicador:
 (27) Decisiones de Fondo Adoptadas Etapa Instrucción / (232) Número Total Procesos Evaluados - Etapa Instrucción *100 = 11,63%Indicador:
 (62) Decisiones de Fondo Adoptadas Etapa Instrucción / (205) Número Total Procesos Evaluados - Etapa Instrucción *100 = 30,02%Indicador:
 (59) Decisiones de Fondo Adoptadas Etapa Instrucción / (142) Número Total Procesos Evaluados - Etapa Instrucción *100 = 41,5%Indicador:
 (18) Decisiones de Fondo Adoptadas Etapa Instrucción / (84) Número Total Procesos Evaluados - Etapa Instrucción *100 = 21,4%Indicador:
 (11) Decisiones de Fondo Adoptadas Etapa Instrucción / (73) Número Total Procesos Evaluados - Etapa Instrucción *100 = 15,07%Indicador:
 (15) Decisiones de Fondo Adoptadas Etapa Instrucción / (85) Número Total Procesos Evaluados - Etapa Instrucción *100 = 17,64%11,63% (27)41,65% (89)83,15 % (148)104,55% (166)119,62% (177)137,26% (192)
La meta programada, está superada en el 112,26%, ya que para el segundo semestre se tenía previsto un avance del 25%, pero se logró el 137,26%, lo anterior obedece a que en el periodo a reportar se contó con la totalidad del personal de planta y adicionalmente con el tres (3) contratistas de prestación de servicios expertos.  
</t>
  </si>
  <si>
    <t>https://supersalud.sharepoint.com/:f:/r/sites/luisalberto/Documentos%20compartidos/Gesti%C3%B3n_OCDI_2025/Indicadores_PAG_2025/AC06_Archivo_Pliego?csf=1&amp;web=1&amp;e=vkwHnE</t>
  </si>
  <si>
    <t xml:space="preserve">El inventario de expedientes existentes en el segundo semestre 2025, a evaluar en etapa de juzgamiento, para adoptar la decisión de primera instancia, correspondía a nueve (9) de los cuales se adoptó fallo sancionatorio de primera instancia en cuatro (4),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
Lo previsto para el primer semestre se alcanzó según o previsto en el indicador, incluso superando la línea base del indicador.
</t>
  </si>
  <si>
    <t>https://www.supersalud.gov.co/es-co/nuestra-entidad/estructura-organica-y-talento-humano/relator%C3%ADa-de-actos-disciplinarios</t>
  </si>
  <si>
    <t xml:space="preserve">​
Durante el cuarto trimestre, el grupo de Recursos de la Dirección Administrativa, adscrito a la Secretaría General, adelantó las siguientes acciones orientadas al fortalecimiento del cuidado y control de los bienes públicos:Socialización institucional: Se realizó una socialización mediante correo electrónico, a todos los funcionarios de la Superintendencia Nacional de Salud, enfocada en la promoción del cuidado de los bienes públicos y la responsabilidad que implica su uso adecuado.
 Adjunto:  
1. "Cuidemos los bienes públicos.pdf
2.Evidencia pieza grafica "
 Sensibilización: Se llevó a cabo una sesión de sensibilización dirigidas a funcionarios y contratistas sobre el cuidado y control de los bienes de la entidad, abordando el uso responsable de estos activos y el manejo del aplicativo "Aplica".
Adjunto: Asistencia capacitación sobre el control y cuidado de los bienes Presentación Socialización Cuidado De Bienes
Estas actividades contribuyen al fortalecimiento de la cultura institucional en torno al uso responsable de los bienes públicos, promoviendo el conocimiento y cumplimiento de las obligaciones por parte de los servidores públicos y contratistas.
</t>
  </si>
  <si>
    <t xml:space="preserve">​
Los funcionarios responsables del componente ambiental del Grupo de Recursos Físicos realizaron el seguimiento y aseguraron el cumplimiento oportuno de las actividades establecidas en el cronograma de hitos ambientales del Sistema de Gestión Ambiental, con corte a diciembre de 2025. Todas las actividades programadas fueron ejecutadas con el objetivo de optimizar el desempeño del Sistema de Gestión Ambiental, conforme a los lineamientos de la norma ISO 14001:2015.
Estas acciones buscan fortalecer la implementación del Sistema de Gestión Ambiental, promoviendo su consolidación y madurez dentro de la organización. Se generaron y cargaron en el aplicativo correspondiente las evidencias de cada actividad ejecutada. En total, se llevaron a cabo las 13 actividades previstas, alcanzando un avance del 100% según la planeación establecida en el cronograma para un total de 63 actividades.
</t>
  </si>
  <si>
    <t xml:space="preserve">​En Diciembre de 2025, como consecuencia de las actualizaciones solicitadas por la dependencia, se ejecutó una programación de 380 líneas.
 A corte 31 de Diciembre de 2025, se ejecutaron todas las líneas radicadas por las dependencias.
</t>
  </si>
  <si>
    <t xml:space="preserve">
 En los 389 contratos suscritos por  la Direccion de Contratacion  se incorporaron practicas de analisis de datos teniendo en cuenta todas las modalidades de contratacion contemplada en la ley 80 de 1993.
</t>
  </si>
  <si>
    <t xml:space="preserve">contratos celebrados a los cuales se les incorporó las prácticas de Abastecimiento Estratégico dirigidas a la promoción de la micro, pequeña y mediana empresa; exceptuando la contratación a través de la Tienda Virtual del Estado Colombiano y la Contratación Directa.
</t>
  </si>
  <si>
    <t xml:space="preserve">​Utilizar los instrumentos de compra por catálogo derivados de la celebración de acuerdos marco de precios para la adquisición de bienes y servicios que se encuentren en la Tienda Virtual del Estado Colombiano
</t>
  </si>
  <si>
    <t xml:space="preserve">Notificar los actos administrativos producidos por la Entidad
</t>
  </si>
  <si>
    <t xml:space="preserve">​Al corte del 31 de diciembre de 2025 en la Entidad se expidieron 12.454 resoluciones de las cuales ingresaron 11.948 al Grupo de Gestión de Notificaciones y Comunicaciones y, se gestionaron 11.870, dejando en trámite 78 actos administrativos en su gran mayoría expedidos en los últimos días del mes y los cuales por distintos tramites se encuentra en gestión al corte del mes de este reporte.
</t>
  </si>
  <si>
    <t xml:space="preserve">En el mes de julio de 2025 se adelantó con ayuda de la Oficina Asesora de Comunicaciones Estratégicas e Imagen Institucional, la actualización del video de autorización de notificación electrónica en la página web de la entidad dando cumplimiento al indicador en el segundo semestre.
</t>
  </si>
  <si>
    <t>https://www.supersalud.gov.co/vigilados/Paginas/Oficina%20de%20Comunicaciones/campa%C3%B1as/notificacion-electronica/index.html</t>
  </si>
  <si>
    <t xml:space="preserve">​En el trimestre se mantuvieron los siguientes valores en cantidades base (Denominador) Octubre 40.694, Noviembre 47.211 y Diciembre 43.767, para un total de 131.672 con los correspondientes hallazgos:Octubre 22, Noviembre 94 y Diciembre 295, estos representan un 0.31% del total procesado, sin embargo se realizó el análisis de los hallazgos, y se elaboró un plan de calidad específico, el cual se aplicará en el siguiente año con el objetivo de mitigar la cantidad de hallazgos. Se evidencia cumplimiento final de 99.43%
</t>
  </si>
  <si>
    <t>"C:\Users\miguele.ortiz\OneDrive - supersalud\AUTOEVALUACIÓN GIT CORRESPONDENCIA\2025\INDICADORES\TRIMESTRE 4\12 - DICIEMBRE"</t>
  </si>
  <si>
    <t xml:space="preserve">​En el trimestre se mantuvieron los siguientes valores en cantidades base (Denominador) Octubre 40.694, Noviembre 47.211 y Diciembre 43.767, para un total de 131.672 con los correspondientes hallazgos:Octubre 191, Noviembre 244 y Diciembre 499, estos representan un 0.71% del total procesado, sin embargo se realizó el análisis de los hallazgos, y se elaboró un plan de calidad específico, el cual se aplicará en el siguiente año con el objetivo de mitigar la cantidad de hallazgos. Se evidencia cumplimiento final de 99.29%
</t>
  </si>
  <si>
    <t xml:space="preserve">​Observamos que, para el cuarto trimestre de 2025, el Indicador DI28 Nivel de madurez de acuerdo con la matriz de cumplimiento del MGDA, alcanzó un cumplimiento satisfactorio del 100% con la ejecución de 12 actividades, llegando a un avance acumulado anual del 100%, con un total acumulado de 52 actividades cumplidas. Las actividades desarrolladas han contribuido al fortalecimiento en el desarrollo de la política de gestión documental y en el incremento de la aplicación de los componentes del Modelo de Gestión Documental y Administración de Archivos, alineándolos con el Ciclo Vital del Documento.
</t>
  </si>
  <si>
    <t>https://n9.cl/liolqy</t>
  </si>
  <si>
    <t xml:space="preserve">​Para el trimestre reportado (Octubre a Diciembre de 2025) se publicaron a través de los canales oficiales de Supersalud 3 piezas de comunicación con temáticas propias de los procesos del Grupo Interno de Trabajo de Correspondencia, los cuales mostraron un impacto positivo. Cumplimiento final 100%
</t>
  </si>
  <si>
    <t xml:space="preserve">Se llevó a cabo el cumplimiento de las 4 actividades programadas para el cuarto trimestre de la siguiente manera:
Cierre de Septiembre 2025 - Octubre: 
Actividad 1:
*Se envió el 3 y el 6 de Octubre de 2025 a través de correo electrónico institucional el Informe de la Ejecución Presupuestal a cada una de las Dependencias junto con los saldos de RP al corte de Septiembre de 2025.
*Se realizó Mesa de trabajo el 8 de Octubre de 2025 con los enlaces de las dependencias que tienen asignado recursos de funcionamiento e inversión en la vigencia 2025 abordar los siguientes temas:
1. Informar la Ejecución Presupuestal de la entidad y de las dependencias al 30 de septiembre 2025
2. Reservas Presupuestales al 31 de diciembre de 2024 (Ejecutadas en 2025)
3. Lineamientos y recomendaciones para las áreas en Octubre.
De la mesa de trabajo se generó el acta GE-12073 del 8 de Octubre de 2025 por ITS Gestión, aplicativo de la entidad.
Cierre de Octubre 2025 - Noviembre:
Actividad 2:
*Se envió el 4 y 6 de noviembre de 2025 a través de correo electrónico institucional el Informe de la Ejecución Presupuestal a cada una de las Dependencias junto con los saldos de RP al corte de octubre de 2025.
*Se realizó Mesa de trabajo el 10 de noviembre de 2025 con los enlaces de las dependencias que tienen asignado recursos de funcionamiento e inversión en la vigencia 2025 abordando los siguientes temas:
1. Informar la Ejecución Presupuestal de la entidad y de las dependencias al 31 de octubre 2025.
2. Reservas Presupuestales al 31 de diciembre de 2024 (Ejecutadas en 2025).
3. Lineamientos frente a trámites presupuestales.
De la mesa de trabajo se genera el acta GE-12227 del 10-11-2025 por ITS Gestión, aplicativo de la entidad.
Es importante informar a las áreas sobre la ejecución presupuestal para que la corroboren contra el control que maneja cada uno de los enlaces y aclarar todas las dudas que puedan presentar sobre los trámites presupuestales.
Cierre de Noviembre 2025 - Diciembre:
Actividad 3:
*Se envió entre el 2 y 9 de diciembre de 2025 a través de correo electrónico institucional, el Informe de la Ejecución Presupuestal a cada una de las Dependencias junto con los saldos de RP al corte de noviembre de 2025.
*Se realizó Mesa de trabajo el 9 de diciembre de 2025 con los enlaces de las dependencias que tienen asignado recursos de funcionamiento e inversión en la vigencia 2025 abordando los siguientes temas:
1. Informar la Ejecución Presupuestal de la entidad y de las dependencias al 30 de noviembre 2025.
2. Reservas Presupuestales al 31 de diciembre de 2024 (Ejecutadas en 2025).
3. Lineamientos frente a trámites presupuestales.
De la mesa de trabajo se genera el acta mediante ITS Gestión, aplicativo de la entidad.
Es importante informar a las áreas sobre la ejecución presupuestal para que la corroboren contra el control que maneja cada uno de los enlaces y aclarar todas las dudas que puedan presentar sobre los trámites presupuestales.
Actividad 4 - Noviembre:
Se realizó la segunda capacitación a las dependencias que ejecutan el presupuesto sobre los procedimientos y trámites de gestión presupuestal en la cual se abordo temas como:
-Programación Presupuestal
-Ejecución Presupuestal (CDP, Registro Presupuestal, Reserva Presupuestal, (ezago Presupuestal)
-Traslados Presupuestales y Vigencias Futuras
-Seguimiento a la Ejecución Presupuestal
Se adjuntan carpetas con evidencias de las actividades realizadas.
</t>
  </si>
  <si>
    <t xml:space="preserve">​ La apropiación asignada a la Superintendencia Nacional de Salud (SNS) para la vigencia 2025 ascendió a $316.593.914.285. De este total, se ejecutaron compromisos por la suma de $315.358.112.464, lo que representa el 99,6% de la apropiación. Este resultado es mayor al 90% al programado en los indicadores de gestión, significa que se cumple a satisfacción el indicador.
En cuanto a la ejecución presupuestal de los recursos de funcionamiento e inversión, se presenta lo siguiente:
• Recursos de funcionamiento: $231.232.090.186, lo que representa el 99,6% de la apropiación vigente de $232.066.462.183.
• Recursos de inversión: $84.126.022.278, equivalente al 99,5% de la apropiación vigente de $84.527.452.102
Es importante resaltar que la ejecución por obligaciones alcanzó los $307.679.490.143 lo que representa el 97,2%, y la ejecución por pagos fue de $287.917.019.157 equivalente al 90,9%.
Se reporta el avance con corte al 31 de diciembre de 2025, según reporte del SIIF Nación del día 09 de enero de 2026. La información está sujeta a actualización en el marco del proceso de cierre presupuestal de la vigencia 2025 que finaliza el 20 de enero de 2026.​
</t>
  </si>
  <si>
    <t xml:space="preserve">​Durante el mes de Diciembre, se gestionaron  829 cuentas que fueron radicadas en los tiempos estipulados de acuerdo con la Circular Interna 2022920020000026-4 de 2022, asi mismo, los documentos radicados despúes del dia 25 calendario se tramitaron en el siguiente mes (328 cuentas). Por lo cual, se cumplió con la meta del indicador del 100%, (829/829) habiendo gestionado la totalidad de las cuentas radicadas con un tiempo de gestión de 3,6 dias hábiles. Se adjunta base con relación de cuentas radicadas y gestionadas, asi como el reporte del indicador con la correspondiente gráfica.
</t>
  </si>
  <si>
    <t>(Valor de recaudo de cartera en el  periodo de seguimiento / (Valor total de la cartera clasificada como cobrable con corte al cierre de la vigencia anterior * 0,2)) *100</t>
  </si>
  <si>
    <t xml:space="preserve"> El Grupo de Cobro Persuasivo reporta el avance del recaudo hasta los primeros días de enero de 2026 por valor de $22.676.335.912, sobre el 20% del valor total de cartera clasificada como cobrable con corte al cierre de la vigencia 2024 ($130.809.600.838) equivalente a = $26.161.920.186, con lo cual, se reporta un 87% de avance. Lo anterior, con motivo de dificultades y/o demoras  presentadas en  aspectos logísticos de alto nivel. El grupo de cobro persuasivo y jurisdicción coactiva obtiene recaudo por pago directo, autorización directa del deudor por impulsos de cobro y acceso a recursos por actividades de cobro coactivo que incluyen embargo de cuentas bancarias. Para estas dos últimas actividades se requiere de roles de preparador y autorizador , los cuales son avalados por el señor Superintendente Nacional de Salud, y confirmados por banco agrario, lo cual, es un trámite dispendioso. Con los cambios de personal por salida de provisionales, coordinador y directivos en el último semestre de 2025 se perdió la disponibilidad de roles para plenos de operación, roles para gestionar títulos y aspectos de transferencia de conocimiento que impactaron en la operación.
Se efectuó el trámite en tres oportunidades por cambios de funcionarios vinculados (octubre, noviembre y diciembre 2025), con las validaciones de formatos de despacho y de la entidad financiera, logrando una aplicación única a finales de Noviembre y solo hasta  el 19  Diciembre 2025, una estabilidad en disponibilidad de roles de autorización avalados por SNS y por Banco Agrario.
Con esta logramos gestionar alrededor de 900 millones en aplicación en noviembre 2025 y esperábamos en diciembre 2025 impulsar una adicional de liquidaciones de aproximadamente 1.800 millones, fruto de liquidaciones de crédito y de autorizaciones de deudores en comisiones de recíprocas, con las cuales a pesar de los inconvenientes se perseguía entrar en terreno positivo del indicador , superior al 90%.
</t>
  </si>
  <si>
    <t xml:space="preserve">​Desde el grupo de cobro persuasivo y jurisdicción coactiva, durante el tercer cuatrimestre del año 2025, se recibieron 13 facilidades de pago y 3 excepciones a mandamiento de pago, para un total de 16 solicitudes, de las cuales 13 solicitudes cumplían con las condiciones necesarias para finalizar el trámite correspondiente al corte de Diciembre de 2025, por lo cual, estas  fueron atendidas dentro del plazo legal, alcanzando así un cumplimiento del 100% del indicador. Se adjunta anexo soporte.
</t>
  </si>
  <si>
    <t xml:space="preserve">​Durante el tercer cuatrimestre de la vigencia 2025, se logró la conciliación de cartera con 74 entidades sin proceso concursal, enlistadas a continuación: Gobernacion amazonas
Alcaldia de leticia
Alcaldia Salamina
Saludarte Domiciliaria S.A.S
Sinapsis-Centro
Municipio de Remolino
Fundación Grupo de estudio Barranquilla
Clinica Regional Inmaculada
Cardiocenter Barraquilla
Departamento Atlantico
Universidad del Atlantico
City Optica Sas
Salud Ocupacional Horizonte
Asociación para la salud mental
Bingos Codere
Codere Colombia SA
Familia IPS Salud intergral SAS
Intersare SA
Sociedad Estetic Dent
SUBRED INTEGRADA CENTRO ORIENTE E.S.E
DENTIX COLOMBIA SAS
Keep Salud Ocupacional SAS
LUIS GUILLERMO VELEZ ATEHORTUA
Urgencias Clave 911 Ambulancias EU
Asoder consultores S.A.S
Servitraumax SAS
Casa la viña LTDA
GUIAR SALUD IPS Y HSEQS EN CS
CLINICA DE ESTETICA ORAL Y ORTODONCIA ORTOESTETICA CON SIGLA ORTOESTETICA
Secretaria de salud Bogota
Fondo financiero distrital de salud
Imagenes Diagnosticas
Linda flor chavez_fusionado
COVINAL
IPS TRASTORNOS SOMOS
Acer servicios_liquidada
Ambulancias Unidad Soporte Asistencial
Asmet Salud
Asociacion indigena del Cauca AIC EPS
BIO PREVENAR
COMFENALCO VALLE
Centro Neuropsiquiatrico limitada
Centro de salud Indigena del resguardo de males
Christus Sinergia salud SAS
Clinica Salud Proteccion IPS
Clinica el Treblol SAS
Cuerpo de bomberos voluntarios de Yumbo
EMPRESA SOCIAL DEL ESTADO NORTE 3
Municipio de Florencia
Fundacion Innovagen
Herrota y Asociados SAS
Homecare de la mano
Unidad Respiratoria Respirar SAS
Sinergia
Clinica Palma Real SAS
MALLAMAS
MERCADERES
Municipio Valledupar
 Asociacion cabildos indigenas guajira DUSAKAWI
Departamento Caqueta
SOS Medical Services SAS
Gobernacion Vichada
IPS DIPOSALUD
FUNDACION PARA EL DESARROLLO SOCIAL EN SALUD, EDUCACION Y VIVIENDA
Alcaldia de Nobsa
MINISTERIO DE DEFENSA     
UNIVERSIDAD DEL VALLE
ESE CENTRO DE SALUD SAN PEDRO CABRERA
Fabrica de Licores y Alcoholes de Antioquia
ESE San Vicente de Paul - Salento
Departamento del Meta
HOSPITAL SAN ANTONIO DE SOATÁ
Distrito Especial de Ciencia, Tecnología e Innovación de Medellín
EMPRESA SOCIAL DEL ESTADO HOSPITAL SAN JULIAN
Logrando cumplir la meta del 100%. Se adjuntan los debidos soportes.
</t>
  </si>
  <si>
    <t xml:space="preserve">​La Dirección de Talento Humano informa que, durante el cuarto trimestre del año, se tenían programadas 22 actividades en el Plan Estrataegico de Talento Humano, las cuales fueron ejecutadas. Esto representa un avance del 100% respecto a la meta establecida para el periodo.
</t>
  </si>
  <si>
    <t xml:space="preserve">​La Dirección de Talento Humano informa que, durante el último trimestre del año, se tenían programadas 52 actividades en el Plan Institucional de Capacitación, las cuales fueron ejecutadas eficientemente. Esto representa un avance del 100% respecto a la meta establecida para el periodo.
</t>
  </si>
  <si>
    <t xml:space="preserve">​La Dirección de Talento Humano informa que, durante el cuarto trimestre del año, se tenían programadas 35 actividades en el Plan de Bienestar Social e Incentivos, las cuales fueron ejecutadas efectivamente. Esto representa un avance del 100% respecto a la meta establecida para el periodo.
</t>
  </si>
  <si>
    <t xml:space="preserve">​La Dirección de Talento Humano informa que el 01/12/2025 se solicito a la OAP la actualización del cronograma del Plan de Seguridad ysalud en el Trabajo - SST, actualizandolo a 18 actividades. En el aplicativo se observa una meta parcial de 21 actividades, por lo que se evidencia que no fue realizada por parte de la OAP la actualización  solicitada en este aplicativo, pero si fue ajustada en la matriz de PAG y en el cronograma del SST.
La Dirección de Talento Humano informa que, durante el cuarto trimestre del año, se tenían programadas 18 actividades en el Plan de SST, las cuales fueron ejecutadas efectivamente. Esto representa un avance del 100% respecto a la meta establecida para el periodo.
</t>
  </si>
  <si>
    <t xml:space="preserve">La Dirección de Talento Humano informa que, durante el cuarto trimestre del año, se programó la ejecución de 8 actividades en el PAG, de las cuales 5 corresponden a acciones repetidas de trimestres anteriores, relacionadas con el tema de integridad. En consecuencia, se asignó un puntaje de 1 a cada una de las 6 actividades nuevas y un puntaje de 0,4 a cada una de las 5 actividades repetidas, para un total de 80, lo que representa una ejecución total del 100 % frente a la meta establecida.
</t>
  </si>
  <si>
    <t>De las (29) noticias disciplinarias (Quejas, informe de servidor público o de oficio) recibidas en el quinto bimestre de 2025 (septiembre – octubre de 2025), se adelantaron las siguientes actuaciones: 10 (34,5%) Aperturas de Indagación Previa; 10 (34,5%) Autos Inhibitorios; 5 (17,2%) Traslados por competencia; 3 (10,3%) Aperturas de Investigación Disciplinaria y 1 (3,4%) Autos de Archivo, profiriendo igual número de autos por el Coordinador del Grupo de Instrucción Disciplinaria en el periodo:
Tipo Noticia/ Auto
De Oficio
 Informe de Servidor PúblicoQuejaTotal, Noticias V Bimestre 2025Auto de Indagación Previa 6410Auto Inhibitorio15410Auto Apertura de Investigación 213Auto Traslado por Competencia 325Auto de Archivo 1 4V Bimestre (septiembre – octubre) 2025, Total1171129</t>
  </si>
  <si>
    <t xml:space="preserve">Dada la dinámica de la etapa de instrucción y la variación mensual (Julio:232; Agosto: 205; Septiembre: 142; Octubre:84; Noviembre: 73 y Diciembre: 85) del inventario de expedientes objeto de evaluación o calificación, para adoptar una decisión (archivo o pliego de cargos), se tomará el promedio del semestre (137) como denominador, para el cálculo del indicador, excluyendo aquellos expedientes cuyo término de duración de la indagación previa o investigación disciplinaria se encuentra en curso (vigente), de los137 expedientes reseñados, se adoptaron 183 decisiones de archivo con fundamento en las causales del artículo 90 del Código General Disciplinario y se formularon nueve (9) pliego de cargos.    
En las reuniones de Autoevaluación mensual de la OCDI se verifica el avance frente al indicador y se acumula el mismo, a saber:JulioAgostoSeptiembreOctubreNoviembreDiciembreIndicador:
 (27) Decisiones de Fondo Adoptadas Etapa Instrucción / (232) Número Total Procesos Evaluados - Etapa Instrucción *100 = 11,63%Indicador:
 (62) Decisiones de Fondo Adoptadas Etapa Instrucción / (205) Número Total Procesos Evaluados - Etapa Instrucción *100 = 30,02%Indicador:
 (59) Decisiones de Fondo Adoptadas Etapa Instrucción / (142) Número Total Procesos Evaluados - Etapa Instrucción *100 = 41,5%Indicador:
 (18) Decisiones de Fondo Adoptadas Etapa Instrucción / (84) Número Total Procesos Evaluados - Etapa Instrucción *100 = 21,4%Indicador:
 (11) Decisiones de Fondo Adoptadas Etapa Instrucción / (73) Número Total Procesos Evaluados - Etapa Instrucción *100 = 15,07%Indicador:
 (15) Decisiones de Fondo Adoptadas Etapa Instrucción / (85) Número Total Procesos Evaluados - Etapa Instrucción *100 = 17,64%11,63% (27)41,65% (89)83,15 % (148)104,55% (166)119,62% (177)137,26% (192)
La meta programada, está superada en el 112,26%, ya que para el segundo semestre se tenía previsto un avance del 25%, pero se logró el 137,26%, lo anterior obedece a que en el periodo a reportar se contó con la totalidad del personal de planta y adicionalmente con el tres (3) contratistas de prestación de servicios expertos.  
</t>
  </si>
  <si>
    <t>Para el cuarto trimestre de la vigencia 2025, la Dirección de Inspección y Vigilancia para Prestadores de Servicios de Salud programó un total de dieciséis (16) auditorías, cuya ejecución se desarrolló de la siguiente manera:   
• Octubre: se programaron cinco (5) auditorías, de las cuales se ejecutaron la totalidad.
• Noviembre: se programaron nueve (9) auditorías, ejecutándose igualmente la totalidad.
• Diciembre: se programaron dos (2) auditorías; no obstante, se ejecutaron diez (10) auditorías en total.
Las ocho (8) auditorías adicionales realizadas durante el mes de diciembre obedecieron a necesidades del servicio, orientadas a verificar el cumplimiento de las responsabilidades de diversos prestadores de servicios de salud, particularmente en lo relacionado con la garantía de la prestación efectiva de los servicios y el acatamiento de los principios del Sistema General de Seguridad Social en Salud (SGSSS), asegurando condiciones de accesibilidad, oportunidad, continuidad y seguridad en el proceso de atención, con el fin de prevenir la generación de barreras que afecten el goce efectivo del derecho fundamental a la salud.
En consecuencia, para el IV trimestre de 2025 se alcanzó una ejecución del 150%, correspondiente a la realización de veinticuatro (24) auditorías, frente a las dieciséis (16) programadas para el periodo evaluado.
Cabe señalar que, en el desarrollo de las auditorías integrales, se verificó el cumplimiento de las responsabilidades de los prestadores de servicios de salud en los ejes financiero, administrativo y legal, así como en la prestación de servicios de salud. Por su parte, en las auditorías con alcance específico se evaluaron, entre otros aspectos, los siguientes temas: el manejo integral de la desnutrición aguda, moderada y severa en niños y niñas de 0 a 59 meses de edad; el cumplimiento de los lineamientos establecidos en la Ruta Integral de Atención en Salud para la Promoción y Mantenimiento de la Salud y en la Ruta Integral de Atención en Salud para la Población Materno Perinatal; la adecuada prestación de los servicios de salud; el incumplimiento en el reporte de información financiera exigida por esta Superintendencia a través de la Circular Única y su incidencia en la Contribución de Vigilancia; así como la atención de reclamaciones SOAT.</t>
  </si>
  <si>
    <t>Durante el cuarto trimestre de la vigencia 2025, la Dirección de Inspección y Vigilancia para Prestadores de Servicios de Salud recibió un total de cincuenta (50) planes de mejoramiento, discriminados así: cinco (5) planes para primera revisión de aprobación, cinco (5) para segunda revisión, y cuarenta (40) planes radicados con soportes de ejecución. La totalidad de los planes fueron evaluados y gestionados dentro de los términos establecidos, alcanzando un cumplimiento del 100 % frente a la meta programada del 100 % para el periodo evaluado.   
La evaluación oportuna y efectiva de los planes de mejoramiento presentados por los prestadores vigilados permite subsanar, corregir y prevenir las causas que originan las situaciones identificadas, así como gestionar los riesgos críticos asociados a factores que afectan su desempeño y el cumplimiento de su cometido institucional. Lo anterior contribuye de manera directa al fortalecimiento de la calidad en la prestación de los servicios de salud y al mejoramiento continuo del Sistema.</t>
  </si>
  <si>
    <t>​Relación de las 26 Auditorías Específicas realizadas al Sistema de Información de Atención al Usuario y al Fomento de la Participación Ciudadana según responsabilidad  normativa de los diferentes Vigilados, realizadas por el Grupo SIAU.
Relación de las 2 autorias realizadas al sistema de PQRD de la EPS EMSSANAR y COMFAORIENTE, realizadas por el Grupo de IV a las PQRD.</t>
  </si>
  <si>
    <t xml:space="preserve">Se realizaron 2 auditorias en el mes de septiembre al Concesionario de Apuestas Permanentes red de Servicios del Cesar S.A. y al Distrito Turístico y Cultural de Cartagena de Indias - Departamento Administrativo Distrital de Salud. Es importante resaltar que no se realizaron más auditorias, ya que con las reportadas en este periodo se cumplia con el 100% de las 20 auditorias propuestas para esta vigencia.
</t>
  </si>
  <si>
    <t xml:space="preserve">Durante el periodo se realizaron 12 seguimientos a auditorías, superando la meta establecida de 6. Este resultado obedece a la optimización del cronograma operativo y la disponibilidad de equipos técnicos en territorio, lo que permitió desarrollar más actividades a las previstas y dar continuidad a los compromisos de mejora.
La ejecución superior a la meta refleja eficiencia en la gestión del proceso y una mayor capacidad de respuesta frente a las necesidades de seguimiento. Los seguimientos se realizaron a las siguientes Entidades Territoriales:  El Piñón (Magdalena), Gamarra (Cesar) y Barrancas (La Guajira), Departamento del Atlántico, Morales (Bolívar), Mitú (Vaupes)  , Prado (Tolima), Florida (Valle del Cauca), Puerto Santander (Noste de Santander), Viracacha (Boyacá), Apía y Dosquebradas (Risaralda)
</t>
  </si>
  <si>
    <t xml:space="preserve">​Para el IV trimestre se realizaron 9 auditorias de las 9 proyectadas para el trimestre, cumpliendo con el 100% de las auditorias proyectadas. Superando la meta del 85% proyectada. Para la vigencia 2025 se presentaron dificultades al inicio de la vigencia debido a la falta de tiquetes, situación que afecto el cumplimiento de este indicador en el primer trimestre, se sugiere proyectar este tipo contratos con vigencias futuras a fin de no afectar las acciones de Inspección y Vigilancia proyectadas desde esta dependencia
</t>
  </si>
  <si>
    <t xml:space="preserve">La direccion de contratacion tramito procesos de contratacion donde se incorporaron las prácticas de Abastecimiento Estratégico orientadas a la promoción de la micro, pequeña y mediana empresa (MiPymes), con excepción de aquellos adelantados a través de la Tienda Virtual del Estado Colombiano y de los procesos de Contratación Directa
</t>
  </si>
  <si>
    <t xml:space="preserve">La Dirección de Contratación tramitó procesos mediante instrumentos de compra por catálogo derivados de acuerdos marco de precios, utilizando la Tienda Virtual del Estado Colombiano exclusivamente para la adquisición de bienes y servicios cuyos acuerdos se encontraban vigentes.
</t>
  </si>
  <si>
    <t xml:space="preserve">​Durante el IV trimestre de 2025 se realizó la actualización de las fichas de las 10 eps que actualmente se encuentran en medida especial, se reportan las fichas con corte a agosto, septiembre y octubre de 2025 para un total de 30 fichas en el trimestre. Se indica que las fichas a corte de noviembre de 2025, no se pudieron realizar debido al cambio de interventores, lo que ha ocasionado demoras en el reporte de los indicadores fénix, los cuales tambien hacen parte de la informacion relacionada en la ficha de seguimiento. Para la vigencia 2025, se presentaron dificultades para el cumplimiento de este indicador dado el alto volumen de requerimientos por partes del congreso entes de control, lo que demanda la atención de los profesionales a cargo del seguimiento de las EPS.
</t>
  </si>
  <si>
    <t xml:space="preserve">Durante el segundo (II) semestre de la vigencia 2025, la Dirección de Medidas Especiales para Prestadores de Servicios de Salud ejecutó una (1) visita de seguimiento programada a la ESE Hospital Nuestra Señora de los Remedios, del departamento de La Guajira, alcanzando un cumplimiento del cien por ciento (100%) de la meta establecida para el periodo evaluado.   
Las visitas de seguimiento adelantadas por la Dirección de Medidas Especiales para Prestadores de Servicios de Salud permiten verificar el adecuado cumplimiento de las funciones asociadas a la ejecución de los acuerdos de reestructuración de pasivos, así como evaluar el avance de los compromisos adquiridos, contribuyendo al fortalecimiento del control, la sostenibilidad financiera y la estabilidad administrativa de las entidades sometidas a medida especial.
</t>
  </si>
  <si>
    <t xml:space="preserve">En el periodo reportado correspondiente al segundo trimestre de 2025, se ejecutaron 11 acciones, dando como resultado un cumplimiento del 100% frente a la meta pogramada. De acuerdo con lo anterior, el indicador se encuentra en un rango bueno, la tendencia del indicador es ascendente lo que refleja una mejora, este resultado se debe a que la Dirección de Medidas Especiales para Prestadores de Servicios en Salud, ha gestionado la implementación del lineamiento de enfoque diferencial y el plan de trabajo de formalización laboral por parte de las Entidades de Salud del Estado (E.S.E.) en medida especial. 
Este resultado permitió que 11 entidades que actualmente se encuentran en medida dieran inicio a la implementacion y adopción de los lineamientos de formalización laboral y de la atención en salud con enfoque diferencial para el II trimestre de la vigencia 2025, por lo cual no se requieren ajustes por el momento, pero se recomienda realizar seguimiento para que estos vigilados continuen con la implementación de las acciones que a la fecha de corte se encuentran de la siguiente manera:
Para el indicador de Enfoque Diferencial , 8 entidades estan en etapa de medicion y 3 se encuentran en etapa de parametrizacion del sistema para el reporte de datos. Para el indicador de Formalizacion Laboral, las entidades avanzan segun su plan y sus correspondientes fases estimadas.
</t>
  </si>
  <si>
    <t xml:space="preserve">Durante el segundo (II) semestre de la vigencia 2025, la Delegada para Prestadores de Servicios de Salud realizó dos (2) eventos de difusión relacionados con las acciones y medidas especiales adoptadas frente a los Prestadores de Servicios de Salud (PSS), de un total de dos (2) eventos programados, alcanzando un cumplimiento del cien por ciento (100%) de la meta establecida para el periodo evaluado.   
La realización de estos eventos permitió socializar y conocer el balance de gestión correspondiente al primer semestre del año de las Empresas Sociales del Estado (ESE) que se encuentran bajo Medida Especial, facilitando el seguimiento a las acciones adelantadas y a los resultados obtenidos en el marco de las medidas de control implementadas.
Adicionalmente, estos espacios constituyen un mecanismo fundamental de rendición de cuentas por parte de los agentes interventores de las ESE bajo medida especial, en tanto permiten verificar la gestión desarrollada, el cumplimiento de los planes, metas y compromisos establecidos, así como la adecuada administración de los recursos públicos, fortaleciendo la transparencia, el control institucional y la toma de decisiones informadas por parte de la Superintendencia Nacional de Salud.
</t>
  </si>
  <si>
    <t xml:space="preserve">Dentro del período objeto de reporte se cumplió en su totalidad con el indicador propuesto (100%), en la medida en que los recursos de única instancia fueron resueltos y entregados dentro del término de oportunidad de dos (2) meses contados a partir de la fecha de recepción del respectivo recurso.
A la fecha, se remitieron seis (6) solicitudes para el trámite de recursos de reposición en única instancia, de las cuales seis (6) fueron resueltas dentro del término establecido.
​
</t>
  </si>
  <si>
    <t xml:space="preserve">Durante el cuarto trimestre de la vigencia 2025, la Dirección de Medidas Especiales para Prestadores de Servicios de Salud ejecutó la totalidad de los siete (7) seguimientos programados a Prestadores de Servicios de Salud (PSS) bajo medida especial, correspondientes a: Nueva ESE Hospital Departamental San Francisco de Asís (2), Hospital Regional Magdalena Medio – Barrancabermeja, ESE Hospital Rosario Pumarejo de López, ESE Hospital de Nazareth, Hospital Luis Ablanque de la Plata ESE y ESE Universitaria del Atlántico, logrando un cumplimiento del 100% de la meta establecida para el periodo evaluado.   
En el marco de sus competencias, la Dirección de Medidas Especiales para Prestadores de Servicios de Salud adelanta seguimientos en campo a las entidades prestadoras de servicios de salud bajo medida especial, con el fin de verificar el cumplimiento de la normatividad vigente, así como de los planes, programas y cronogramas establecidos, desde los componentes administrativo-financiero, jurídico y técnico-científico. De igual manera, realiza el monitoreo de los indicadores de gestión.
A través de estas actuaciones, la Dirección de Medidas Especiales para Prestadores de Servicios de Salud contribuye al fortalecimiento del Sistema General de Seguridad Social en Salud, garantizando la prestación oportuna, continua y de calidad de los servicios, y promoviendo la sostenibilidad financiera de las instituciones prestadoras intervenidas, bajo los principios de eficiencia, eficacia y legalidad.
</t>
  </si>
  <si>
    <t xml:space="preserve">Durante el segundo semestre de la vigencia 2025, la Dirección de Medidas Especiales para Prestadores de Servicios de Salud ejecutó la totalidad de las doscientas cuatro (204) acciones de monitoreo y verificación programadas a los agentes interventores de los Prestadores de Servicios de Salud (PSS) con medida especial adoptada. Dichas acciones se distribuyeron en treinta y dos (32) fichas, ocho (8) conceptos, catorce (14) seguimientos en campo, cincuenta y cinco (55) análisis de indicadores Fénix y noventa y cinco (95) seguimientos virtuales a decisiones de impacto, alcanzando un cumplimiento del  100% de la meta establecida para el periodo evaluado.   
Las actuaciones adelantadas permitieron medir y evaluar de manera integral el desempeño de los agentes interventores de los PSS bajo medida especial, así como determinar, a partir del análisis realizado, el nivel de cumplimiento de las metas institucionales, la eficiencia en la gestión y los avances logrados en los procesos de mejora, contribuyendo al fortalecimiento del control y la supervisión del sector salud.
</t>
  </si>
  <si>
    <t xml:space="preserve">​Indicador a demanda, Solicitudes aceptadas por ANS: 143 en el semestre y Solicitudes recibidas en el semestre 222; Ante el porcentaje de devoluciones a las areas proveedoras, durante el ultimo trimestre 2025 se adelantaron mesas de actualizacion de ANS con todos los proveedores del proceso administrativo sancionatorio, en donde se recordaron acuerdos y areas y se resolvieron dudas, con el fin de reducir estas devoluciones a la luz de los acuerdos de nivel de servicio. 
</t>
  </si>
  <si>
    <t xml:space="preserve">​Para el cuarto trimestre se realizó seguimiento a 5 de las 10 EPS que actualmente se encuentran en medida especial, cumpliendo así con el 100% del indicador. Para la vigencia 2025 se cumplió con la meta propuesta para este indicador, no se presentaron inconvenientes para el cumplimiento del indicador, sin embargo, teniendo en cuenta el cambio de personal se considera importante fortalecer las competencias de los nuevos funcionarios.
</t>
  </si>
  <si>
    <t xml:space="preserve">Para 2025 se identificaron 441 procesos administrativos con riesgo de caducidad 2025 , en el primer trimestre se reportaron como expedidas 166 decisiones equivalentes al 37.6%. Para el segundo trimestre de 2025 se profirieron 136 decisiones con riesgo 2025 equivalente al 30,83%. Para el tercer trimestre se profirieron 97 decisiones con riesgos 2025 equivalente al 22% y para el cuarto trimestre se profieron 41 decisiones con riesgo 2025 equivalente al 9,5%  Por lo anterior se entiende que para el 31 de diciembre de 2025 se ha realizado un avance del  99,5% , dando cumplimiento al indicador 
</t>
  </si>
  <si>
    <t>Durante el periodo comprendido entre octubre y diciembre de 2025 se atendieron 105 solicitudes de oficialización de documentos en los procesos institucionales de la Superintendencia Nacional de Salud dando cumplimiento al 100% de lo establecido para el periodo respecto a los documentos priorizados a oficializar en la vigencia.
De éstas, 72 solicitudes correspondieron a creación de documentos, 29 correspondieron a actualización y 4 solicitudes de anulación en el marco de los siguientes procesos: Actuaciones disciplinarias: 1 documento, Auditorías: 11 documentos, Control: 8 documentos, Direccionamiento estratégico: 10 documentos, Evaluación independiente: 1 documentos, Gestión de bienes y servicios: 8 documentos, Gestión estratégica de personas: 13 documentos, Gestión financiera: 6 documentos, Gestión jurídica: 9 documentos, Gestión jurisdiccional y de conciliación: 4 documentos, Gobierno y gestión de datos e información: 24 documentos, Relacionamiento con la ciudadanía y grupos de valor: 5 documentos, Seguimiento y evaluación al vigilado: 5 documentos,
Finalmente, y de acuerdo con el tipo documental, durante el periodo se tramitaron oficializaciones asociadas a los tipos documentales: 68 Formatos, 15 Manuales, 15 Procedimientos, 3 Guías, 2 Procesos, y 2 Políticas institucionales.</t>
  </si>
  <si>
    <t>​Se realizó 1 actividad de apropiación del SIG adicional con el proposito de cubrir el rezago presentado en el tercer trimestre.
1. Para el mes de septiembre se realizó una capacitación sobre los procesos, haciendo especial enfasis en el de seguimiento y evaluación al vigilado. Para esta sesión se realizó una dinamica para determinar el nivel de aprehención de las personas participantes.
2. En octubre se capacito sobre el componente de Gestión Ambiental el cual finalizó con un pequeño test para identificar el nivel de aprehensión.
3. Para noviembre se enfatizó en las líneas de defensa y en la importancia que tienen en el marco del MIPG.
4. Para el mes de noviembre se realizó una sesión donde se trabajo de manera dinámica los procedimientos del proceso de Seguimiento y Evaluación al Vigilado y el Código de Integridad.
5. Para diciembre se realizó una sesión de manera articulada con la Oficina de Control Interno y la Oficina Asesora de Planeación con el proposito de hablar de la confidencialidad en la información y de la importancia de preservar los documentos para evitar perdidas de información y accesos por parte de personas no autorizadas.</t>
  </si>
  <si>
    <t>​Para el periodo reportado, se avanzaron en las siguientes actividades: 
1. Se avanzó En el marco del Sistema de Gestión de Innovación, se retomó la relación con SENATIC – una iniciativa entre MINTIC1 / OIT2/ SENA3 potenciar la formación por competencias en tecnologías de la información y contribuir al cierre de la brecha digital en el país.
Este es un programa de formación en diversos temas tecnológicos, digitales y con aptitudes blandas,
que busca fortalecer las competencias de los funcionarios de la Superintendencia Nacional de Salud  en temáticas como:
1. Tecnologías Emergentes.
2. Experiencia Digital.
3. Gestión de Proyectos.
4. Introducción a las tecnologías.
5. Lenguaje de programación
Durante el mes de septiembre se sostuvo la primera mesa de trabajo con la representante de esta alianza, la Dirección de Innovación y Desarrollo y la Dirección de Talento Humano vía TEAMS.
El día 11 de noviembre se hizo el lanzamiento oficial en la sede principal de la Superintendencia y se hizo socialización por medio del correo electrónico, SUPERBOLETÍN
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"BANCO DE PROYECTOS" para la vigencia 2026. Con esta actividad se abarcan también las siguientes actividades planteadas: Generar estrategia de cierre de brechas de necesidades del conocimiento alineadas a la metodología de función pública yGenerar estrategia de capacitación y sensibilización en gestión del conocimiento
3. Durante el segundo semestre de la presente vigencia, en compañía de la Oficina Asesora de Planeación se gestionó la identifcación de brechas y elaboración de cronograma de actividades para hacer el cierre de éstas, es importante mencionar que la ejecución de las mismas se ha venido desarrollando conforme a lo programado.
4. En el marco de las acciones diseñadas y ejecutadas para mitigar la fuga de conocimiento en la transición de persona, desde la Dirección de Innovación y Desarrollo se estructuraron y pusieron a dispoción de la entidad los REPOSITORIOS DE INFORMACIÓN INSTITUCIONALES para estandarizar un poco el control y accesibilidad de la información producida por las dependencias de la entidad: https://supersalud.sharepoint.com/teams/Gestiondelconocimiento/Shared%20Documents/Forms/AllItems.aspx
5.Los días 24 y 25 de octubre, la Supersalud adelantó la segunda versión de la Hackaton 2025 con el apoyo de la UNICAFAM en la cual se fomentó un espacio de Innovación Abierta y creación de soluciones.</t>
  </si>
  <si>
    <t xml:space="preserve">​De las 6 solicitudes identificadas del DIFT 33 que llegaron a la SMIS se gestionaron 6 solicitudes en el ultimo trimestre del año dando un cumplimiento del 100% frente a la meta programada de realizar gestion al 100% de las solicitudes identificadas. esto se debe al plan de trabajo de cada una de las solicitudes realizadas. 
</t>
  </si>
  <si>
    <t xml:space="preserve">El resultado para el año 2025 corresponde a la consolidacion de los  4 modelos  de supervision :
 1. modelo de supervision para PSS
 2. Modelo de supervision para entidades territoriales
 3. Modelo de supervision DEAS
 4. Modelo de supervision para operadores Logisticos y/o gestores farmaceuticos.
De las 4 actividades programadas se ejecutaron todas dando cumplimiento al 100% frente a las metas establecidas para está vigencia; esto se debe al trabajo colaborativo entre las diferentes delegaturas, la UDEA y la Subdirección de Metodologías e Instrumentos de Supervisión.
Para el 2026 el 20% faltante corresponde a la implementacion de los modelos, la construccion de la caja de herramientas y el diseño de alertas tempranas. 
</t>
  </si>
  <si>
    <t xml:space="preserve">​Para el periodo de tiempo reportado, se avanzó en lo siguiente:
1. Para este indicador se avanzó En el marco del Sistema de Gestión de Innovación, se retomó la relación con SENATIC – una iniciativa entre MINTIC1 / OIT2/ SENA3 potenciar la formación por competencias en tecnologías de la información y contribuir al cierre de la brecha digital en el país.
Este es un programa de formación en diversos temas tecnológicos, digitales y con aptitudes blandas,
que busca fortalecer las competencias de los funcionarios de la Superintendencia Nacional de Salud  en temáticas como:
1. Tecnologías Emergentes.
2. Experiencia Digital.
3. Gestión de Proyectos.
4. Introducción a las tecnologías.
5. Lenguaje de programación
Durante el mes de septiembre se sostuvo la primera mesa de trabajo con la representante de esta alianza, la Dirección de Innovación y Desarrollo y la Dirección de Talento Humano vía TEAMS: SENATIC
El día 11 de noviembre se hizo el lanzamiento oficial en la sede principal de la Superintendencia y se hizo socialización por medio del correo electrónico, SUPERBOLETÍN.
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"BANCO DE PROYECTOS" para la vigencia 2026: INFORME WORKSHOP INNOVACIÓN EN TERRITORIOS 2025.pptx
3. Los días 24 y 25 de octubre, la Supersalud adelantó la segunda versión de la Hackaton 2025 con el apoyo de la UNICAFAM en la cual se fomentó un espacio de Innovación Abierta y creación de soluciones. HACKATON 2025
4. Se ejecutó la primera semana de la Innovación en la Supersalud durante los días 1,2 y 3 de diciembre.
5. Se creó y formalizó el Manual de Innovación de ls Supersalud.(se adjunta en word, toda vez que a la fecha de este reporte elportal web de la entidad presenta fallas en su funcionamiento y no permite descargar el documento directamente)
6. Se realizaron los primeros "CAFÉ CON CONEXIÓN" como estrategia de interrelacionamiento institucional e identificación del conocimiento tácito de la entidad. 
</t>
  </si>
  <si>
    <t xml:space="preserve">​Justificación:
Se procede a modificar el Plan de Acción de Gestión (PAG) con la eliminación de los proyectos PR_05, PR_11, PR_13 y PR_16 del reporte correspondiente a la vigencia 2025. Esta decisión obedece a diversas circunstancias institucionales que han impedido su ejecución durante el presente año, aunque se prevé su continuidad en la vigencia 2026. A continuación, se detallan las razones específicas para cada proyecto:PR_05 – Consolidación de las PQRS en torno a la prestación de los servicios de salud:
 No se relacionó el perfil profesional adecuado para el desarrollo efectivo del proyecto en el PAA 2025. Durante la vigencia 2026 se tendrán avances sobre este proyecto.
PR_11 – Fortalecimiento de las funciones de IVC de la SNS mediante la implementación de procedimientos y controles de auditoría a sistemas de información, cadena de custodia y laboratorio forense:
Se encuentra pendiente la definición institucional relacionada con el laboratorio forense.PR_13 – Acompañamiento a la implementación del Plan de Continuidad del Negocio (BCP):
 La ejecución de este proyecto depende de la culminación previa del proyecto PR_12. Por esta razón, su desarrollo y reporte están previstos para la vigencia 2026.PR_16 – Fortalecimiento de la Arquitectura Empresarial:
No se relacionó el perfil profesional adecuado para el desarrollo efectivo del proyecto en el PAA 2025. Se aprovisinó en el PAA 2026 para desarrollar este proyecto.
Estas acciones, una vez reactivadas, contribuirán significativamente al fortalecimiento institucional de la Supersalud, mejorando la eficiencia y eficacia de los procesos de inspección, vigilancia y control, mediante el uso de herramientas tecnológicas, metodologías de auditoría, y mecanismos que optimicen la gestión de riesgos, la seguridad de la información y la protección de datos personales.
</t>
  </si>
  <si>
    <t xml:space="preserve">​El informe evidencia un resultado altamente satisfactorio al indicar que el indicador evaluado alcanza un nivel de cumplimiento del 100 %, lo cual da cuenta de la ejecución íntegra de la meta establecida para el periodo analizado. Este resultado refleja una gestión eficaz a nivel de comunicación digital, orientada al logro de los objetivos definidos. La referencia explícita al archivo INF-GESTION-DIGITAL-NOV2025.xlsx constituye un respaldo documental sólido, al aportar evidencia cuantitativa verificable que permite garantizar la trazabilidad, transparencia y consistencia del cumplimiento reportado.
De igual manera, se resalta el incremento tanto en el número de seguidores como en los niveles de interacción en las redes sociales institucionales, lo cual puede interpretarse como un fortalecimiento progresivo del alcance, la visibilidad y el posicionamiento digital de la entidad ante la ciudadanía. Este comportamiento demuestra que las estrategias de comunicación digital implementadas han sido efectivas, al lograr captar el interés de los públicos objetivos y fomentar una relación más cercana y dinámica con los usuarios de los servicios de salud y la sociedad en general.
En este sentido, el fortalecimiento del ecosistema digital resulta especialmente relevante para la Superintendencia Nacional de Salud, cuyo rol misional exige no solo la vigilancia y el control, sino también la generación de confianza, legitimidad institucional y percepción de cercanía con la ciudadanía. Una presencia digital sólida y estratégica contribuye a mejorar la comprensión del quehacer institucional, facilita el acceso a la información pública y promueve la participación ciudadana, en coherencia con los principios de transparencia, y responsabilidad que rigen la función administrativa. En consecuencia, los resultados reportados no solo reflejan un cumplimiento técnico de metas, sino también avances significativos en la consolidación del posicionamiento institucional y en la construcción de una relación más abierta y efectiva con la ciudadanía.
</t>
  </si>
  <si>
    <t xml:space="preserve">En realizó la ejecución el contrato 116 de 2025 por valor de $1,634,000,000 con avance técnico del 100%. Este contrato abarca dos proyectos independientes que hacen parte de dos programas y el Objeto es: Desarrollar e Implementar el Programa de Gobernanza de Datos en las etapas restantes de diseño y arquitectura, implementación, y operación y control, y el Programa de Inteligencia de Negocios y Analítica de la Superintendencia Nacional de Salud 
ALCANCE: Terminar de desarrollar e implementar las etapas restantes del programa de Gobernanza de Datos, iniciado en el 2024: 
Fase 3: Arquitectura y Diseño en las subfases y actividades restantes no desarrolladas en el Contrato 131 de 2024 Subfase 3.1. actividad 3.1.3. para identificar herramientas y tecnología que apoye las capacidades de la GoD, subfases 
Subfase 3.2, Definición de Marcos de operación, 
Subfase 3.3, Formalización del compromiso y flujo de trabajo 
Fase 4: Implementación (implantación) 
Fase 5: Operación y Cambio 
* Desarrollar e Implementar el Programa de Inteligencia de Negocios de la Superintendencia Nacional de Salud: 
Fase 1 Estructuración 
Fase 2 Desarrollo 
Fase 3 Despliegue 
Fase 4 Implementación, operación, seguimiento y evaluación 
</t>
  </si>
  <si>
    <t xml:space="preserve">En lo relacionado con la Implementación de la Política de Gestión de Información Estadística, para lo cual se realizó la contratación prestación de servicios de dos OPS, por valor de $71,093,972, que apoyaron a la entidad en avanzar en la formulación del Plan Estadístico Institucional y en la preparación para la certificación de las operaciones estadísticas y en el desarrollo de los mecanismos de la Política de Gestión de la Información Estadística de la Superintendencia Nacional de Salud. 
Los profesionales contratados fueron Yamit Juliana Tovar y Hernado Trilleros, con los cuales se realizó ajuste y socialización del Procedimiento de Gestión de Información Estadística (PRGIE) en la SNS.  
Se envió a Planeación el procedimiento PRGIE actualizado para su publicación. 
Se revisó el procedimiento de Formular y Gestionar el Plan Estadístico Institucional PESI.
Se participó en reuniones con las Delegaturas y Direcciones para revisar la calidad de los archivos tipos y su uso, para generar análisis de fortalecimiento de registros administrativos (RRAA). 
Se trabajó en la metodología para el fortalecimiento de RRAA, en la metodología para anonimización de bases de datos, y en una Propuesta de actualización del Plan estadístico institucional. 
 </t>
  </si>
  <si>
    <t>Durante el periodo evaluado se han adelantado las actvidades correspondientes para mantener actualizada la Base Única de Vigilados (grupo de valor), realizando, además, procesos de revisiones y/o actualizaciones en los sistemas de Génesis y nRVCC sobre los vigilados. 
Y se alcanzó el 100% de propuesto en la vigencia, para lo cual se ha mantenido permanente interlocución con las Delegaturas y Direccciones de la Entidad como Financiera y el Grupo de Contribución.  </t>
  </si>
  <si>
    <t xml:space="preserve">Se llevó a cabo el cumplimiento de las 4 actividades programadas para el cuarto trimestre de la siguiente manera:
Cierre de Septiembre 2025 - Octubre: 
Actividad 1:
*Se envió el 3 y el 6 de Octubre de 2025 a través de correo electrónico institucional el Informe de la Ejecución Presupuestal a cada una de las Dependencias junto con los saldos de RP al corte de Septiembre de 2025.
*Se realizó Mesa de trabajo el 8 de Octubre de 2025 con los enlaces de las dependencias que tienen asignado recursos de funcionamiento e inversión en la vigencia 2025 abordar los siguientes temas:
1. Informar la Ejecución Presupuestal de la entidad y de las dependencias al 30 de septiembre 2025
2. Reservas Presupuestales al 31 de diciembre de 2024 (Ejecutadas en 2025)
3. Lineamientos y recomendaciones para las áreas en Octubre.
De la mesa de trabajo se generó el acta GE-12073 del 8 de Octubre de 2025 por ITS Gestión, aplicativo de la entidad.
Cierre de Octubre 2025 - Noviembre:
Actividad 2:
*Se envió el 4 y 6 de noviembre de 2025 a través de correo electrónico institucional el Informe de la Ejecución Presupuestal a cada una de las Dependencias junto con los saldos de RP al corte de octubre de 2025.
*Se realizó Mesa de trabajo el 10 de noviembre de 2025 con los enlaces de las dependencias que tienen asignado recursos de funcionamiento e inversión en la vigencia 2025 abordando los siguientes temas:
1. Informar la Ejecución Presupuestal de la entidad y de las dependencias al 31 de octubre 2025.
2. Reservas Presupuestales al 31 de diciembre de 2024 (Ejecutadas en 2025).
3. Lineamientos frente a trámites presupuestales.
De la mesa de trabajo se genera el acta GE-12227 del 10-11-2025 por ITS Gestión, aplicativo de la entidad.
Es importante informar a las áreas sobre la ejecución presupuestal para que la corroboren contra el control que maneja cada uno de los enlaces y aclarar todas las dudas que puedan presentar sobre los trámites presupuestales.
Cierre de Noviembre 2025 - Diciembre:
Actividad 3:
*Se envió entre el 2 y 9 de diciembre de 2025 a través de correo electrónico institucional, el Informe de la Ejecución Presupuestal a cada una de las Dependencias junto con los saldos de RP al corte de noviembre de 2025.
*Se realizó Mesa de trabajo el 9 de diciembre de 2025 con los enlaces de las dependencias que tienen asignado recursos de funcionamiento e inversión en la vigencia 2025 abordando los siguientes temas:
1. Informar la Ejecución Presupuestal de la entidad y de las dependencias al 30 de noviembre 2025.
2. Reservas Presupuestales al 31 de diciembre de 2024 (Ejecutadas en 2025).
3. Lineamientos frente a trámites presupuestales.
De la mesa de trabajo se genera el acta mediante ITS Gestión, aplicativo de la entidad.
Es importante informar a las áreas sobre la ejecución presupuestal para que la corroboren contra el control que maneja cada uno de los enlaces y aclarar todas las dudas que puedan presentar sobre los trámites presupuestales.
Actividad 4 - Noviembre: Se realizó la segunda capacitación a las dependencias que ejecutan el presupuesto sobre los procedimientos y trámites de gestión presupuestal en la cual se abordo temas como:
-Programación Presupuestal
-Ejecución Presupuestal (CDP, Registro Presupuestal, Reserva Presupuestal, (ezago Presupuestal)
-Traslados Presupuestales y Vigencias Futuras
-Seguimiento a la Ejecución Presupuestal
Se adjuntan carpetas con evidencias de las actividades realizadas.
</t>
  </si>
  <si>
    <t xml:space="preserve">​ La apropiación asignada a la Superintendencia Nacional de Salud (SNS) para la vigencia 2025 ascendió a $316.593.914.285. De este total, se ejecutaron compromisos por la suma de $315.358.112.464, lo que representa el 99,6% de la apropiación. Este resultado es mayor al 90% al programado en los indicadores de gestión, significa que se cumple a satisfacción el indicador.
En cuanto a la ejecución presupuestal de los recursos de funcionamiento e inversión, se presenta lo siguiente:
• Recursos de funcionamiento: $231.232.090.186, lo que representa el 99,6% de la apropiación vigente de $232.066.462.183.
• Recursos de inversión: $84.126.022.278, equivalente al 99,5% de la apropiación vigente de $84.527.452.102
Es importante resaltar que la ejecución por obligaciones alcanzó los $307.679.490.143 lo que representa el 97,2%, y la ejecución por pagos fue de $287.917.019.157 equivalente al 90,9%.
Se reporta el avance con corte al 31 de diciembre de 2025, según reporte del SIIF Nación del día 09 de enero de 2026. La información está sujeta a actualización en el marco del proceso de cierre presupuestal de la vigencia 2025 que finaliza el 20 de enero de 2026.​
</t>
  </si>
  <si>
    <t xml:space="preserve">​Total por rubro de INVERSIÓN $ 724.431.179 
Total, ejecución acumulada:   = $724.231.179 a corte 31 Diciembre 2025
Teniendo en cuenta la información suministrada por la Dra Camila Andrea Mejia Tovar, encargada de proyectos de inversion financiera de la Delegatura, informa que el CDP, es por $724.431.179, y  para el ultimo trimestre de Diciembre 2025 se ejecuto un valor de $724.231.179, lo cual corresponde al 99,97% del cumplimiento de este indicador. 
</t>
  </si>
  <si>
    <t xml:space="preserve"> El Grupo de Cobro Persuasivo reporta el avance del recaudo hasta los primeros días de enero de 2026 por valor de $22.676.335.912, sobre el 20% del valor total de cartera clasificada como cobrable con corte al cierre de la vigencia 2024 ($130.809.600.838) equivalente a = $26.161.920.186, con lo cual, se reporta un 87% de avance. Lo anterior, con motivo de dificultades y/o demoras  presentadas en  aspectos logísticos de alto nivel. El grupo de cobro persuasivo y jurisdicción coactiva obtiene recaudo por pago directo, autorización directa del deudor por impulsos de cobro y acceso a recursos por actividades de cobro coactivo que incluyen embargo de cuentas bancarias. Para estas dos últimas actividades se requiere de roles de preparador y autorizador , los cuales son avalados por el señor Superintendente Nacional de Salud, y confirmados por banco agrario, lo cual, es un trámite dispendioso. Con los cambios de personal por salida de provisionales, coordinador y directivos en el último semestre de 2025 se perdió la disponibilidad de roles para plenos de operación, roles para gestionar títulos y aspectos de transferencia de conocimiento que impactaron en la operación.
Se efectuó el trámite en tres oportunidades por cambios de funcionarios vinculados (octubre, noviembre y diciembre 2025), con las validaciones de formatos de despacho y de la entidad financiera, logrando una aplicación única a finales de Noviembre y solo hasta  el 19  Diciembre 2025, una estabilidad en disponibilidad de roles de autorización avalados por SNS y por Banco Agrario.
Con esta logramos gestionar alrededor de 900 millones en aplicación en noviembre 2025 y esperábamos en diciembre 2025 impulsar una adicional de liquidaciones de aproximadamente 1.800 millones, fruto de liquidaciones de crédito y de autorizaciones de deudores en comisiones de recíprocas, con las cuales a pesar de los inconvenientes se perseguía entrar en terreno positivo del indicador , superior al 90%.
</t>
  </si>
  <si>
    <t xml:space="preserve">​Durante el tercer cuatrimestre de la vigencia 2025, se logró la conciliación de cartera con 74 entidades sin proceso concursal, enlistadas a continuación: Gobernacion amazonas
Alcaldia de leticia, Alcaldia Salamina, Saludarte Domiciliaria S.A.S, Sinapsis-Centro, Municipio de Remolino, Fundación Grupo de estudio Barranquilla, Clinica Regional Inmaculada, Cardiocenter Barraquilla, Departamento Atlantico, Universidad del Atlantico
City Optica Sas, Salud Ocupacional Horizonte, Asociación para la salud mental, Bingos Codere, Codere Colombia SA, Familia IPS Salud intergral SAS, Intersare SA, Sociedad Estetic Dent, SUBRED INTEGRADA CENTRO ORIENTE E.S.E, DENTIX COLOMBIA SAS, Keep Salud Ocupacional SAS, LUIS GUILLERMO VELEZ ATEHORTUA, Urgencias Clave 911 Ambulancias EU Asoder consultores S.A.S, Servitraumax SAS, Casa la viña LTDA, GUIAR SALUD IPS Y HSEQS EN CS, CLINICA DE ESTETICA ORAL Y ORTODONCIA ORTOESTETICA CON SIGLA ORTOESTETICA, Secretaria de salud Bogota, Fondo financiero distrital de salud, Imagenes Diagnosticas, Linda flor chavez_fusionado, COVINAL IPS TRASTORNOS SOMOS, Acer servicios_liquidada, Ambulancias Unidad Soporte Asistencial, Asmet Salud, Asociacion indigena del Cauca AIC EPS, BIO PREVENAR, COMFENALCO VALLE, Centro Neuropsiquiatrico limitada, Centro de salud Indigena del resguardo de males, Christus Sinergia salud SAS, Clinica Salud Proteccion IPS, Clinica el Treblol SAS, Cuerpo de bomberos voluntarios de Yumbo, EMPRESA SOCIAL DEL ESTADO NORTE 3, Municipio de Florencia, Fundacion Innovagen, Herrota y Asociados SAS, Homecare de la mano, Unidad Respiratoria Respirar SAS, Sinergia, Clinica Palma Real SAS, MALLAMAS, MERCADERES, Municipio Valledupar,  Asociacion cabildos indigenas guajira DUSAKAWI, Departamento Caqueta, SOS Medical Services SAS, Gobernacion Vichada, IPS DIPOSALUD, FUNDACION PARA EL DESARROLLO SOCIAL EN SALUD, EDUCACION Y VIVIENDA, Alcaldia de Nobsa, MINISTERIO DE DEFENSA, UNIVERSIDAD DEL VALLE, ESE CENTRO DE SALUD SAN PEDRO CABRERA, Fabrica de Licores y Alcoholes de Antioquia, ESE San Vicente de Paul - Salento, Departamento del Meta, HOSPITAL SAN ANTONIO DE SOATÁ, Distrito Especial de Ciencia, Tecnología e Innovación de Medellín, EMPRESA SOCIAL DEL ESTADO HOSPITAL SAN JULIAN, Logrando cumplir la meta del 100%. Se adjuntan los debidos soportes.
</t>
  </si>
  <si>
    <t xml:space="preserve">​De los 89 indicadores suceptibes de reporte en el tercer trimestre de 2025, 84 de ellos cumplieron la meta a la superaron para el periodo, lo que indica un cumplimiento del 94.4%. Es importante indicar que durante este periodo se presento la transición de personal, con el ingreso de los funcionarios de concurso, lo que por curva de aprendizaje impacto directamente en los resultados, sin embargo se vienen adelantando capacitaciones para concientizar al personal de la importancia del reporte oportuno de las actividades realizadas para el logro de los objetivos propuestos en el PAG 2025.
</t>
  </si>
  <si>
    <t xml:space="preserve">De conformidad a la programación establecida en el PAAS para la vigencia 2025 y en atención a la actividad "Ejecutar Programa Anual Seguimiento a la Gestión Institucional", alusiva al indicador "Auditorías realizadas de acuerdo con el Plan Anual de Auditorías", la Oficina de Control Interno definió reportar en el mes de diciembre el cumplimiento correspondiente al segundo semestre de la vigencia 2025; de ello, se puede precisar, que fueron presentadas ante el CICCI cuatro (4) de las dos (2) auditorías programadas; las dos adicionales se encontraban rezagadas del primer semestre referentes a los procesos de "Gestión Financiera" y "Gestión de Bienes y Servicios".
Por lo anteriormente señalado, el porcentaje de cumplimiento para el período ahora reportado obedece al 200% de ejecución de acuerdo con lo definido en el Plan Anual de Auditorías.
Al cierre de diciembre se realizaron seis (6) auditorias las cuales se encontraban programadas para realizar en la vigencia, lo que representa un cumplimiento del 100% en la ejecución del PAAS.
</t>
  </si>
  <si>
    <t xml:space="preserve">​Dentro de las actividades que realiza la Delegada en territorios en las acciones de prejornadas de conciliación , se realiza socialización de las funciones Jurisdiccional y actos conciliatorios con la normatividad que las ampara y asi se pondera de la mejor manera la presencia de la Supersalud con los actores del SGSSS involucrados en el proceso conciliatorio. Estas actividades de socializan siempre que se realizan las prejornadas y obviamente se refuerzan en las Jornadas Cociliatorias como parte de las actividades de dialogo con dichos actores.  Se anexa un informe realizado por al Coordinadora de Glosas de la Direccion Jurisdiccional donde ella siempre via teams o en su defecto con el apoyo del personal profesional de Conciliaciones realiza socializaciones de las funciones de la DFJC. Con la oferta de programas o campañas desconcentradas de promoción de derechos y acceso a la justicia en salud, se realizaron las prejornadas con el objetivo de cumplir con la finalidad del proceso y tambien con el fin de proteger y promover el cumplimiento igualitario de los derechos de las personas en el sistema general de salud, y el flujo adecuado de los recursos del SGSSS con oportunidad, eficiencia y equidad, en el marco de los conflictos derivados de las facturación en salud que presenten inconformidades ( Art.  de la Ley 1949 de 2019),  desplegando siempre la informacion para que los actores accedan a la función jurisdiccional donde se les explica a los asistentes los asuntos que conoce la función jurisdiccional, en especial la competencia consagrada en el literal f) de la Ley 1949 de 2019, cuando se suscita ese tipo deconflictos  y como se presenta la respectiva demanda ante el juez técnico de la salud.
</t>
  </si>
  <si>
    <t xml:space="preserve">​La Dirección de Talento Humano informa que el 01/12/2025 se solicito a la OAP la actualización del cronograma del Plan de Seguridad ysalud en el Trabajo - SST, actualizandolo a 18 actividades. En el aplicativo se observa una meta parcial de 21 actividades, por lo que se evidencia que no fue realizada por parte de la OAP la actualización  solicitada en este aplicativo, pero si fue ajustada en la matriz de PAG y en el cronograma del SST.
La Dirección de Talento Humano informa que, durante el cuarto trimestre del año, se tenían programadas 18 actividades en el Plan de SST, las cuales fueron ejecutadas efectivamente. Esto representa un avance del 100% respecto a la meta establecida para el periodo.
</t>
  </si>
  <si>
    <t>Se presenta información con corte a octubre y noviembre 2025, en virtud de que el periodo de reporte de insumos es 5 días hábiles mes vencido. 
Aclarado lo anterior se presenta el resultado de la aplicación de la encuesta de satisfacción realizada en el canal telefonico y presencial (Regionales, Puntos de Atención y CAC). Se identifica que para este trimestre el CAC bajo en su pordentaje bueno y exelente del indicador frente a sus historicos
Entre octubre y noviembre 2025 se recibieron 181.062 respuestas con calificación buena y exelente de un total de 202.681  respuestas las cuales correponden a un 89.33% de satisfacción</t>
  </si>
  <si>
    <t>​De las 70 actividades programadas en el cuarto trimestre se realizaron 100, lo que da un cumplimiento del 143 % frente a lo programado. Los 100 eventos se discriminan así: 48 jornadas de atención al usuario, 32 capacitaciones, 5 seminarios, 3 Conexión SuperSalud, 2 Diálogos con la SuperSalud, 3 piezas lúdicas, 3 Líder tiene la palabra y 4 acompañamientos). Este resultado obedece al fortalecimiento de las acciones de relacionamiento con la ciudadanía desarrolladas por el Grupo de Participación y Promoción.</t>
  </si>
  <si>
    <t xml:space="preserve">​Entre OCTUBRE Y DICIEMBRE 2025 se realizo 1 diálogo en donde se han recibido 17 reclamos en salud de los cuales a todos 100% se les ha realizado seguimiento, pero de estos se han cerrado 12 (70,6%) y permanecen abiertos 5 reclamos a pesar del seguimiento realizado.
</t>
  </si>
  <si>
    <t xml:space="preserve">De 5 actividades programadas se realizaron 13 en el trimestre, lo que da un cumplimiento del 260% frente a la meta programada de 5. Esto se debe a que se desarrollaron de las siguientes acciones principales:
Fortalecimiento de canales de atención: Se mantuvieron y optimizaron los canales presenciales, telefónicos y virtuales, garantizando la atención oportuna y eficaz a las solicitudes, quejas, reclamos y peticiones de la ciudadanía.
Capacitación al talento humano: Se realizaron jornadas de formación para los servidores públicos en temas de servicio al ciudadano y atención con enfoque diferencial .
Mejoras en formatos de respuestas a PQR y solicitudes de información en el marco de leguaje claro.
Actualziación de manuales: Durante la vigencia se actualizaron documentos claves del proceso de Relacionamiento con la Ciudadania y Grupos de Valor . (Manual Operativo y Manual de Protocolo)
Encuentros Sectoriales: Se gestionaron espacios de encuentros sectoriales en el marco del Modelo Integrado de Servicio al Ciudadano MISC con el Ministerio de Salud y Protección Social para fortalecer el cumplimiento de los estandares del modelo y espacios de buenas practicas.
En general, las acciones ejecutadas reflejan el compromiso institucional con la transparencia, la eficiencia y la calidad en la prestación de los servicios, contribuyendo al fortalecimiento de la confianza ciudadana en la gestión pública.
</t>
  </si>
  <si>
    <t>Durante el segundo semestre de la vigencia 2025 se efectuó un (1) seguimiento de un (1) programado en el marco del Programa de Mejoramiento Institucional al cual se encontraba adscrita la ESE Hospital San Juan de Sahagún, lo que permitió dar cumplimiento al 100% de la meta establecida para el período evaluado.   
Este Programa de Mejoramiento Institucional (PMI), es una herramienta de inspección y vigilancia que ha permitido la identificación, medición, evaluación y control de riesgos financieros y de salud, a partir de los reportes efectuados por el Ministerio de Hacienda y Crédito Público - MHCP a la Superintendencia Nacional de Salud, acerca de los incumplimientos del Programa de Saneamiento Fiscal y Financiero – PSFF por parte de las ESE, por lo cual, se aplicó un modelo de supervisión basado en riesgos, que incluyó la evaluación continua de indicadores financieros y de prestación de servicios, así como la formulación de planes de mejora, con seguimiento periódico de su ejecución. Como resultado, la gran mayoría de las instituciones bajo seguimiento lograron estabilizar sus condiciones operativas y fueron reclasificadas como entidades sin riesgo por el Ministerio de Salud y Protección Social, contribuyendo a una red pública hospitalaria más sólida y confiable.</t>
  </si>
  <si>
    <t>La Dirección de Inspección y Vigilancia para Prestadores de Servicios de Salud continuó con el seguimiento a la ejecución de dicho programa y, para el segundo semestre de la vigencia 2025, priorizó ciento dos (102) ESE, correspondientes a aquellas con mayor asignación de recursos durante la vigencia 2023. Para tal efecto, se diseñó un papel de trabajo que permite la captura sistemática de información y el monitoreo de los resultados asociados a la gestión de las ESE en relación con la implementación de los Equipos Básicos en Salud (EBS).   
Con el fin de socializar y entregar dicho instrumento, se programó la realización de diez (10) mesas técnicas a nivel nacional, organizadas por regiones, dirigidas a las ESE priorizadas. Posteriormente, se efectuó el requerimiento formal para el suministro de la información necesaria, con el propósito de adelantar el correspondiente seguimiento en el marco de las acciones de Inspección y Vigilancia a cargo de la Dirección.
Para el proceso de consolidación y análisis de la información reportada, se desarrolló una herramienta en Power BI que facilita el análisis de variables financieras y asistenciales, a partir de la cual se generará un informe técnico que actualmente se encuentra en elaboración.
En concordancia con lo anterior, se viene adelantando un ejercicio de seguimiento a la implementación de los Equipos Básicos en Salud (EBS), orientado no solo a evaluar la ejecución presupuestal de los recursos asignados, sino también a verificar el cumplimiento de su objetivo misional: garantizar el acceso equitativo, oportuno y resolutivo a los servicios de salud en los territorios priorizados. Dicho seguimiento permite establecer si las acciones desarrolladas por las entidades receptoras se encuentran alineadas con los objetivos estructurales de la estrategia EBS, concebida para fortalecer la atención primaria en salud, reducir barreras de acceso y mejorar los indicadores de salud mediante intervenciones comunitarias integrales. En este sentido, las acciones de inspección y vigilancia se enfocan en verificar la coherencia entre el uso de los recursos, la operación territorial de los equipos y el impacto efectivo en las condiciones de salud de la población atendida.</t>
  </si>
  <si>
    <t>Durante el periodo evaluado, se desarrollaron Mesas Técnicas de Fortalecimiento Territorial en las diferentes Direcciones Regionales, conforme se detalla a continuación:   
Regional Andina: Se realizaron dos (2) Mesas Técnicas de Fortalecimiento Territorial: una en el departamento de Antioquia, con participación de los distritos de Medellín y Turbo, y otra en la ciudad de Pereira, con participación de los departamentos de Risaralda, Caldas y Quindío.
Regional Nororiental: Se llevaron a cabo dos (2) Mesas Técnicas de Fortalecimiento Territorial, una en el departamento de Boyacá y otra en Santander, esta última con la participación de la Entidad Territorial de Norte de Santander y la totalidad de sus municipios.
Regional Occidental: Se realizó una (1) Mesa Técnica de Fortalecimiento Territorial en la ciudad de Santiago de Cali, con la participación de los departamentos de Valle del Cauca, Cauca y Nariño, así como de los distritos de Santiago de Cali, Buenaventura y Tumaco.
Regional Norte: Se desarrolló una (1) mesa de fortalecimiento territorial en la ciudad de Montería, con la participación de los departamentos de Córdoba y Sucre.
Regional Caribe: Se realizó una (1) Mesa Técnica de Fortalecimiento Territorial en el Distrito de Santa Marta, con la participación de los departamentos de La Guajira, Cesar y Magdalena.
Regional Sur: Se desarrolló una (1) Mesa Técnica de Fortalecimiento Territorial en la ciudad de Neiva, durante los días 26, 27 y 28 de noviembre, con la participación de los departamentos de Huila, Tolima, Caquetá y Putumayo.
Regional Orinoquía: Se llevó a cabo una (1) Mesa Técnica de Fortalecimiento Territorial en la ciudad de Villavicencio, con la participación de los departamentos de Vichada, Guainía, Vaupés, Meta, Guaviare, Casanare y Arauca.</t>
  </si>
  <si>
    <t>Para el segundo semestre de la vigencia 2025, la Dirección de IV para Prestadores de Servicios de Salud adelantó tres (3) acciones de inspección y vigilancia orientadas al monitoreo de riesgos de los Prestadores de Servicios de Salud (PSS), dando cumplimiento al 100 % de la meta establecida para el periodo, la cual contemplaba la realización de tres (3) acciones.   
Estas acciones se enmarcan en lo siguiente:
Supervisión basada en cumplimiento
• Avidanti S.A.S.: Se realizó una auditoría integral enfocada en el Sistema Integrado de Gestión de Riesgos, motivada por denuncias difundidas en medios de comunicación. Como resultado del ejercicio de inspección y vigilancia, se surtieron las etapas de planeación y elaboración del informe correspondiente (radicado No. 20254100002470031), así como el traslado de los hallazgos a las autoridades y dependencias competentes, entre ellas la Fiscalía General de la Nación (radicado No. 20254100003134241), la Dirección Territorial de Salud de Caldas (radicado No. 20254100002732801), la Delegada para Investigaciones Administrativas (radicado No. 20254100000118503) y la Delegada para Entidades de Aseguramiento (radicado No. 20254100200118433).
•Clínica La Sabana S.A.: Se efectuó un requerimiento de información relacionado con el cumplimiento de los requisitos del Oficial de Cumplimiento del SARLAFT/FPADM, a partir de una denuncia ciudadana. El requerimiento fue formulado mediante el radicado No. 20254100003152881 y, una vez analizados los soportes allegados por la entidad, se remitió el oficio con las observaciones correspondientes a través del radicado No. 20264100000042291.
Supervisión basada en riesgos / Supervisión basada en cumplimiento
•Orthoplan S.A.S.: Se adelantó un ejercicio de seguimiento y evaluación al prestador, enfocado en los subsistemas de riesgos de Lavado de Activos y Financiación del Terrorismo (LA/FT) y de Corrupción, Opacidad y Fraude (COF), así como en el cumplimiento de la normatividad legal vigente, motivado por una denuncia ciudadana. En el desarrollo de esta actuación se realizaron, entre otras, las siguientes actividades: i) requerimiento de información a la IPS (radicado No. 20254100000894641); ii) análisis de la información remitida para el diagnóstico de la entidad; iii) emisión del concepto técnico correspondiente (radicado No. 20254100003362741); y iv) traslado de los hallazgos a las instancias competentes, incluyendo el Tribunal de Ética Odontológica (radicado No. 20264100000019751), la Secretaría de Salud de Cali (radicado No. 20264100000026241) y la Delegada para Investigaciones Administrativas (radicado No. 20264100000001403).
Como resultado de las acciones adelantadas, se identificaron incumplimientos a la normatividad aplicable y alertas relevantes en materia de gestión de riesgos, las cuales constituyen insumos fundamentales para la adopción de medidas de seguimiento y, de ser procedente, la apertura de actuaciones administrativas, en el marco de las funciones de inspección, vigilancia y control de la Superintendencia Nacional de Salud.</t>
  </si>
  <si>
    <t>Para el reporte correspondientes al trimestre pasado (III), se evidenció un cumplimiento parcial de la meta, debido a que no fue posible reportar oportrunamente las acciones con aseguradores por parte de las Direcciones Regionales de Chocó y Norte. Esta situación se presentó como consecuencias de fallas técnicas que impidieron el cargue de la información dentro de los tiempos establecidos. 
No obstante, una vez superadas dichas contingencias, se registran los avances en estas dos regionales, lo que permite dar cumplimiento a la meta establecida para la vigencia, corresponidente a 2 actores del sistema de salud con acciones por parte de las Direcciones Regionales. A continuación, presenta esta información de manera detallada:
REGIONAL CHOCÓ:Mesa técnica en el marco RIAS . Mesa de PQRD FOMAG
REGIONAL NORTE: Se realizaron 3 Mesas de PQRD Cajacopi, Coosalud y Mutualser
De igual forma, se realizaron más acciones por parte de otras Direcciones Regionales, las cuales se presentan a continuación:
REGIONAL NORORIENTAL: Seguimiento mesa de contratacióncon Coosalud
REGIONAL ORINOQUIA: Mesa de contingencia de medicamentos con Nueva EPS y el Gestor Farmacéutico de MyT -  Mesa problemática de prestación de servicios con Coosalud y los prestadores Salud Renal y MyT - Mesa problemática de prestación de servicios con Sanitas y los prestadores Salud Renal y MyT - Mesa problemática de prestación de servicios con Nueva EPS y los prestadores Salud Renal y MyT
REGIONAL OCCIDENTAL SEDE AGUALONGO: Mesa problemática de prestación  de servicios  con Asmet Salud y las ESE de la Costa Pacífica.
REGIONAL CARIBE: Mesa técnica en el  marco RIAS en Valledpar, Cesar.
DIRECCIÓN REGIONAL SUR: mesa de trabajo con los Seguro Obligatorio de Accidentes de Tránsito (SOAT) y la Nueva EPS</t>
  </si>
  <si>
    <t>Durante el periodo evaluado, las Direcciones Regionales adelantaron 53 acciones  en el marco del Acuardo a Nivel de Servicios con otras Delegadas de la SNS:
Regional Caribe: Se realizó la aplicación de IVR a los gestores farmacéuticos Pharmasan S.A.S., Cafam y Audifarma en el municipio de Valledupar; Difimedicas en Aguachica (Cesar); CAFAM en Pueblo Viejo y Suplimedic en Salamina (Magdalena); y Éticos en Albania (La Guajira).
Adicionalmente, se desarrollaron actividades lúdicas en el marco de mecanismos de participación ciudadana dirigidos a niños, niñas y adolescentes en Maicao; jornadas de atención en Riohacha (La Guajira) y Ciénaga (Magdalena); así como verificación de demoras en el proceso de referencia y contrarreferencia en las ESE José David Padilla y Luis Carlos Galán (Aguachica, Cesar), Samuel Villanueva (La Guajira), La Candelaria (El Banco, Magdalena), Hospital San Rafael (Albania, La Guajira), Hospital 7 de Agosto y Hospital Fray Luis (Plato, Magdalena).
Regional Occidental – Sede Agualongo: Se realizó la aplicación de IVR a los gestores farmacéuticos FOMAG – Proinsalud y Nueva EPS – Medico Colombia, en la sede Valle del Atriz.
Regional Occidental: Se efectuó seguimiento durante los meses de octubre y noviembre a la mesa de conciliación entre gestores farmacéuticos y EPS. Asimismo, se brindó apoyo a la Defensoría del Pueblo (DPU) en jornadas de atención al usuario en Yopal, y se socializó el plan de acción relacionado con la IVR al gestor farmacéutico Colsubsidio.
Regional Norte: Se aplicó IVR a Pharmaser (Cartagena) el 15 y 16 de octubre de 2025, y a Disfarma (San Onofre) el 15 de octubre de 2025. Igualmente, se desarrolló una jornada de capacitación al usuario en el año 2025.
Regional Nororiental: Se aplicó IVR a los gestores farmacéuticos Difimedicas (Socorro), Disfarma (Cúcuta), Colsubsidio (Sogamoso) y Discolmed (Socha). Asimismo, se adelantó verificación y acompañamiento a la ESE Sansegcoop (Cúcuta).
Regional Chocó: Se realizó IVR a los gestores Humansalud, Contrafachada, Servimedic, Combate, Germis y El Descuento.
Dirección Regional Sur: Se desarrollaron acciones con los gestores farmacéuticos Audifarma (Ibagué), Comfandi (Florencia), Acevedo, Disfarma (Ibagué) y Líbano.
Adicionalmente, se realizó seguimiento al sistema de referencia y contrarreferencia del Hospital María Inmaculada y Medilaser (Florencia), así como del Hospital San Juan Bautista de Chaparral.
Se efectuaron jornadas de atención al usuario y capacitación en los municipios de Ábaco, Chaparral, Neiva, Puerto Asís, Honda y Mariquita, y se brindó apoyo a la Delegada de Aseguramiento en el seguimiento a mesas de IV para la implementación de RIAS con EPS en la ciudad de Ibagué.</t>
  </si>
  <si>
    <t xml:space="preserve">Para este reporte se cuenta con un número mayor de seguimientos, ya que para el III Trimestre se presentó un rezago en la meta establecida para ese periodo.
En el mes de octubre se realizaron 5 seguimientos en el marco del Plan Padrino a las siguientes regionales: Nororiental, Occidental, Sede Agualongo, Sur y Orinoquía.
Para los meses de noviembre y diciembre se realizaron 9 seguimientos a las siguientes Direcciones Regionales: Caribe, Andina, Chocó, Orinoquía, Norte, Sur, Sede Agualongo, Sede Insular y Nororiental.
</t>
  </si>
  <si>
    <t>Durante el cuatrimestre evaluado, las Direcciones Regionales adelantaron mesas de Inspección y Vigilancia (Mesas IV), conforme se detalla a continuación:
Regional Andina: se realizaron mesas de Inspección y Vigilancia en los municipios de Arboletes, Turbo, Anserma, Mistrató, Cañasgordas, Tarso, Risaralda y Zaragoza. 
Regional Nororiental: Se realizó una mesa de Inspección y Vigilancia en el municipio de Toledo. 
Regional Chocó: En el cuatrimestre se llevaron a cabo mesas de Inspección y Vigilancia en los municipios de Unión Panamericana, Bagadó, Bojayá y Tadó. 
Regional Caribe: Se realizaron mesas de Inspección y Vigilancia en los municipios de Maicao, Riohacha y Manaure, así como a nivel del departamento de La Guajira, conforme a lo establecido en la Circular Externa 202315100000015-5 de 2023 y en concordancia con la Sentencia T-302 de 2017. Adicionalmente, se efectuaron mesas de IV en los municipios de Albania (La Guajira) y González (Cesar).
Regional Orinoquía: se realizó una mesa de Inspección y Vigilancia en el municipio de Puerto López.
Regional Occidental – Sede Agualongo: Se desarrollaron dos (2) mesas de Inspección y Vigilancia: una en el municipio de Aldana y otra en el municipio de Policarpa, esta última con participación de la Entidad Territorial Departamental.
Regional Norte: Se realizó una mesa de Inspección y Vigilancia en el municipio de Guaranda (Sucre). Adicionalmente, en el marco de una Acción Integral en Territorio (AIT), se llevó a cabo en el mes de octubre una mesa de IV en el municipio de Magangué (Bolívar).</t>
  </si>
  <si>
    <t xml:space="preserve">​Una vez realizada la consolidación de las actividades de IV desarrolladas por los grupos internos de trabajo se indica que el cumplimiento del indicador para el cuarto trimestre correspondiente al 76 %., es decir se realizaron acciones de IV al 76% de los vigilado. Se aclara que cada grupo tienen diferentes tipos de vigilados por lo que el total de vigilados no son objeto de acciones de IV por todos los grupos internos de trabajo. Para el IV trimestre no se alcanzo la meta programada, dado que se debio priorizar las auditorias, sumado al cambio de directivos y personal de planta
</t>
  </si>
  <si>
    <t xml:space="preserve">En el marco de las acciones desarrolladas por la Dirección IV para Prestadores de Servicios de Salud, se adelanta el monitoreo de cuatro (4) indicadores financieros, calculados con base en la información reportada por las Empresas Sociales del Estado (E.S.E.) al cierre de la vigencia anterior (2024). Estos indicadores incorporan variables relacionadas con la cartera, los pasivos, en especial aquellos asociados al talento humano en salud, las pérdidas operacionales y la capacidad de recaudo frente a los ingresos causados.
Para el segundo semestre de la vigencia 2025, se estableció como meta el seguimiento y la ejecución de acciones de inspección y vigilancia sobre treinta y tres (33) Empresas Sociales del Estado, con el propósito de verificar el comportamiento de los indicadores financieros y detectar oportunamente posibles desviaciones o fallas en la gestión de los recursos.
Como resultado de estas actuaciones, se elaboraron informes de auditoría, se efectuaron traslados a las autoridades competentes y se adelantaron acciones de inspección y vigilancia asociadas al componente financiero, orientadas a mitigar los riesgos identificados y a fortalecer la sostenibilidad financiera de las entidades evaluadas.
En consecuencia, durante el segundo semestre de la vigencia 2025, se analizaron ciento treinta y dos (132) indicadores derivados del seguimiento realizado a las treinta y tres (33) E.S.E. monitoreadas, de los cuales se generaron setenta y dos (72) alertas, las cuales fueron gestionadas en su totalidad. Este resultado permitió alcanzar un 120% frente a la meta programada para el segundo semestre de la vigencia 2025, correspondiente a sesenta (60) acciones de inspección y vigilancia orientadas al monitoreo de los riesgos financieros en las Empresas Sociales del Estado priorizadas.
En ese orden de ideas, para la vigencia 2025, en específico para este indicador, se ejecutaron en su totalidad cien (100) acciones de inspección y vigilancia programadas, alcanzando un cumplimiento del 100% frente a la meta establecida, contribuyendo a la generación de controles preventivos que anticipen posibles afectaciones en la atención de los usuarios derivadas de una inadecuada gestión de los recursos.
</t>
  </si>
  <si>
    <t xml:space="preserve">Para el segundo semestre de la vigencia 2025, la Dirección de Inspección y Vigilancia para Prestadores de Servicios de Salud, si bien programó la realización de ocho (8) orientaciones técnicas, ejecutó un total de diecisiete (17), lo cual representa un nivel de cumplimiento del 213% frente a la meta establecida del 100 % para el período evaluado.   
En este sentido, las nueve (9) orientaciones técnicas adicionales a las inicialmente programadas se priorizaron en atención a la necesidad de brindar acompañamiento y seguimiento a los sujetos vigilados, derivada de la ocurrencia de eventos de interés en salud pública y de alertas asociadas a la prestación de los servicios de salud. Lo anterior evidencia la capacidad de respuesta institucional de la Superintendencia Nacional de Salud frente a situaciones críticas y prioritarias del sistema, particularmente en los siguientes aspectos:
• Mortalidad materna: En el marco del Plan de Aceleración para la Reducción de la Mortalidad Materna, se abordaron las barreras que limitan el acceso oportuno y con calidad a los servicios de salud para las gestantes, identificadas en los diferentes comités, tales como barreras administrativas, geográficas, sociales y culturales.
• Manejo integral de la desnutrición aguda, moderada y severa en niños menores de cinco (5) años: En desarrollo del Plan de Desaceleración de la Mortalidad por Desnutrición Aguda, se adelantaron acciones orientadas a incidir en la reducción de la mortalidad infantil mediante la implementación de estrategias sectoriales e intersectoriales en las entidades territoriales priorizadas, conforme a los criterios de focalización definidos.
• Atención Primaria en Salud (APS): Se reiteraron los lineamientos establecidos en la Ley 1438 de 2011 y en el Plan Decenal de Salud Pública, resaltando la coordinación intersectorial y la concurrencia de las instancias del Sistema de Protección Social y demás actores, para la intervención articulada sobre los determinantes sociales en salud, bajo las directrices del Consejo Nacional de Política Social (CONPES) y del Ministerio de Salud y Protección Social.
• Sistema de Administración del Riesgo de Lavado de Activos, Financiación del Terrorismo y Financiación de la Proliferación de Armas de Destrucción Masiva (SARLAFT): Se brindaron orientaciones conforme a lo dispuesto en la Circular Externa No. 009 de 2016 y su modificación mediante la Circular Externa No. 20211700000005-5 de 2021, relacionadas con la implementación del sistema y el reporte de información.
• Equipos básicos de salud: Se abordó la conformación y fortalecimiento de estas estructuras funcionales y organizativas del talento humano en salud, orientadas a facilitar el acceso, la continuidad y la integralidad de la atención en salud en los distintos entornos de desarrollo, en el marco de la estrategia de Atención Primaria en Salud.
</t>
  </si>
  <si>
    <t>Para el último trimestre, se programó la intervención de once (11) nuevos territorios, los cuales fueron atendidos mediante acciones preventivas y/o de inspección y vigilancia, adelantadas por las diferentes Direcciones Regionales, así:   
Regional Andina: Durante el trimestre se realizaron mesas de inspección y vigilancia en Arboletes y Turbo. Adicionalmente, se abordaron nueve (9) sentencias en Valdivia y una mesa convocada por terceros en Sabanalarga.
Regional Nororiental: Se llevó a cabo una mesa de inspección y vigilancia en el municipio de Toledo y una mesa de gobernanza en Socha.
Regional Occidental – Sede Agualongo: Se realizó una mesa de inspección y vigilancia en el municipio de Aldana.
Regional Sur: Se desarrolló una mesa de gobernanza con el municipio de Acevedo, así como una acción de inspección y vigilancia a la ejecución técnica y financiera del Plan de Intervenciones Colectivas (PIC) vigencia 2024, en los municipios de Murillo y Yondó.
Regional Occidental: Se ejecutó una Acción Integral en Territorio en el municipio de Sevilla, departamento del Valle del Cauca.
Es importante resaltar, que en algunas direcciones regionales no se pudo programar acciones de IV en nuevos territorios debido a los problemas de orden público presentados en algunas regiones del país.</t>
  </si>
  <si>
    <t>Durante el periodo evaluado, las Direcciones Regionales adelantaron las siguientes Acciones Integrales en Territorio (AIT):   
Regional Andina: Se realizó (1) Acción Integral en Territorio (AIT) en el municipio de Turbo.
Regional Nororiental: Se llevaron a cabo (2) Acciones Integrales en Territorio (AIT) en los municipios de Vélez y Villa del Rosario.
Regional Chocó: Se realizó (1) Acción Integral en Territorio (AIT) en el municipio de Istmina.
Regional Orinoquía: Se ejecutó (1) Acción Integral en Territorio (AIT) en el municipio de Puerto López.
Regional Occidental: Se desarrollaron dos (2) Acciones Integrales en Territorio, una en el municipio de Sevilla (Valle del Cauca) y otra en el municipio de Popayán (Cauca).
Regional Norte: se realizó AIT en Magangue- Bolívar
Es importante resaltar, que el aumento de las AIT reportadas para este trimestre se debe a que se buscó disminuir el rezago presentado en los primeros 2 trimestres del año.</t>
  </si>
  <si>
    <t xml:space="preserve">Para este último trimestre se realizaron 15 asistencias al desarrollo de mesas de saneamiento de cartera de Circular Conjunta 030 de 2013, de las siguientes ET: Antioquia, Barranquilla, Bogotá, Buenaventura, Cali, Cartagena, Casanare, Córdoba, Cundinamarca, Huila, Norte de Santander, San Andrés, Santander, Vaupés y Vichada. Estas asistencias se soportan a través de informes de resultados del ejercicio de acompañamiento.
Es importante resaltar que no se reportaron las 20 asistencias establecidas para este trimestre, ya que se superaron las metas en el primer y tercer trimestre. Con estas 15 asistencias alcanzamos el 100% del cumplimiento establecido para la vigencia.
</t>
  </si>
  <si>
    <t xml:space="preserve">​El sobre cumplimiento se debe a que hubo un rezago en el primer semestre el cual se esta subsanando en este periodo de reporte, junto con el cumplimiento del aumento de la meta solicitado  por la Delegada a la OAP. Para el periodo de reporte, se realizaron 11 mesas de Gobernanza en los siguientes municipios: 
1. Socha- Departamento de Boyacá (Noviembre)
2. Quibdo- Departamento del Chocó (Octubre)
3. Lloró- Departamento del Chocó (Noviembre)
4. Suan- Departamento del Atlántico (Noviembre)
5. Acevedo- Departamento del Huila (Octubre)
6. Guapi- Departamento del Cauca (Julio)
7. Becerril- Departamento del Cesar (Septiembre)
8. Fonseca- La Guajira (Agosto)
9. Salamina- Departamento del Magdalena (Septiembre)
10. Pueblo Viejo-  Departamento del Magdalena (Septiembre)
11.Remolino-  Departamento del Magdalena (Agosto)
Por su parte la Dirección de Inspección y Vigilancia para Generadores, Recaudadores y Administradores de Recursos del SGSSS, realizó 6 mesas de gobernanza sobre rentas cedidas en los siguientes departamentos:
1. Departamento de La Guajira y Cesar
2. Departamento Tolima y Caquetá
3. Departamento de Arauca
4. Departamento de Vaupés
5. Departamento de Guaviare
6. Departamento de Nariño
Se realizaron en agosto, 1 en septiembre y 2 en noviembre. Con lo anterior se da por cumplida la meta para la presente vigencia.
</t>
  </si>
  <si>
    <t>Durante el segundo semestre de la vigencia 2025, la Dirección IV para Prestadores de Servicios de Salud gestionó siete (7) solicitudes de reforma estatutaria de un total de siete (7) recibidas para trámite. De estas, tres (3) culminaron con la expedición del respectivo acto administrativo, mientras que cuatro (4) fueron tramitadas mediante la elaboración del estudio de viabilidad y la remisión a la Oficina Jurídica de los correspondientes proyectos de resolución. En consecuencia, se dio cumplimiento del 100% de la meta establecida para el periodo evaluado.   
Lo anterior se desarrolla en concordancia con lo dispuesto en el Decreto 1080 de 2021, el cual establece como función de la Superintendencia Nacional de Salud “autorizar o negar, de manera previa, a las instituciones prestadoras de servicios de salud, las operaciones relacionadas con la disminución de capital y la ampliación del objeto social a actividades no relacionadas con la prestación de los servicios de salud”</t>
  </si>
  <si>
    <t xml:space="preserve">​Durante el cuarto trimestre de 2025, se finalizaron 5 trámites de los cuales 5 fueron gestionados con estudio de viabilidad o recomendación en 140 días o menos, cumpliendo así con el 100 % de la meta programada. Para la vigencia 2025 se cumplió con la meta propuesta para este indicador, sin embargo, se presentan casos en los que no se puede cumplir con el termino estipulado por cambios de los directivos o de personal, así como en la revisión de otras dependencias. Por lo que es necesario buscar alternativas que permitan que no se afecten los tiempos para dar gestión a los trámites radicados por los vigiados.
</t>
  </si>
  <si>
    <t>​Durante el segundo semestre de la vigencia 2025, no se presentaron trámites a la Dirección IV para Prestadores de Servicios de Salud relacionados con recursos de apelación derivados de la evaluación de gerentes o de evaluaciones no satisfactorias por la no presentación del plan de gestión por parte de los gerentes de las Empresas Sociales del Estado</t>
  </si>
  <si>
    <t>OBSERVACIONES OAP</t>
  </si>
  <si>
    <t xml:space="preserve">​Total por rubro de INVERSIÓN $ 724.431.179 
Total, ejecución acumulada:   = $724.231.179 a corte 31 Diciembre 2025
Teniendo en cuenta la información suministrada por la Dra Camila Andrea Mejia Tovar, encargada de proyectos de inversion financiera de la Delegatura, informa que el CDP, es por $724.431.179, y  para el ultimo trimestre de Diciembre 2025 se ejecuto un valor de $724.231.179, lo cual corresponde al 99,97% del cumplimiento de este indicador. 
</t>
  </si>
  <si>
    <t xml:space="preserve">​Indicador a demanda, 
Solicitudes aceptadas por ANS: 143 en el semestre
Solicitudes recibidas en el semestre 222, 
Ante el porcentaje de devoluciones a las areas proveedoras, durante el ultimo trimestre 2025 se adelantaron mesas de actualizacion de ANS con todos los proveedores del proceso administrativo sancionatorio, en donde se recordaron acuerdos y areas y se resolvieron dudas, con el fin de reducir estas devoluciones a la luz de los acuerdos de nivel de servicio. 
</t>
  </si>
  <si>
    <t>https://supersalud-my.sharepoint.com/my?id=%2Fpersonal%2Fnixon%5Fgil%5Fsupersalud%5Fgov%5Fco%2FDocuments%2FSOLICITUDES%20DE%20INVESTIGACION&amp;viewid=5613f640%2D5d8a%2D4de1%2Db97e%2Dfa24ee80b93e&amp;login_hint=Nixon%2EGil%40supersalud%2Egov%2Eco&amp;source=waffle</t>
  </si>
  <si>
    <t xml:space="preserve">​En el segundo sementre del 2025 se ejecutaron las fases II y II del proyecto asi:
En la Fase II (Estructuración, elaboración y aplicación de la prueba) se definieron perfiles y categorías, se diseñó y validó el banco de preguntas por rol (interventor, liquidador, contralor), se adoptaron guías y manuales de seguridad, se aplicó la prueba con soporte logístico y técnico, y se consolidaron informes de resultados y actas finales con puntajes y justificación de respuestas. En la Fase III (Análisis integral) se ejecutó el análisis de riesgos y la verificación de autenticidad/antecedentes según anexo técnico, y se administraron los análisis de personalidad, emitiendo informes individuales con perfiles comportamentales, recomendaciones y hallazgos. Todo lo anterior se documentó y remitió al supervisor dentro de los plazos establecidos, asegurando calidad metodológica, objetividad en la valoración y trazabilidad completa del RILCO. Con Entregables análisis de Riesgo, Entregables Análisis de Personalidad, Entregables Finales.
Por lo que Se expidió la resolución 2025100000008450-6 de 16 – 09 - 2025 mediante la cual se conformó y publicó el listado definitivo de inscritos en el registro de agentes interventores, liquidadores y contralores de la Superintendencia Nacional de Salud. Delegar en la Secretaría General – Dirección Administrativa, la administración del Registro de Interventores, Liquidadores y Contralores de la Superintendencia Nacional de Salud – RILCO.
 Con lo anterior, se cumplieron las tres fases (Actividades) previstas para la convocatoria que permita fortalecer y actualizar el registro de agentes Liquidadores, Interventores y Contralores - RILCO del 2025, con un complimiento del 100% del indicador . 
</t>
  </si>
  <si>
    <t>​En el segundo sementre del 2025 se ejecutaron las fases II y II del proyecto asi:
En la Fase II (Estructuración, elaboración y aplicación de la prueba) se definieron perfiles y categorías, se diseñó y validó el banco de preguntas por rol (interventor, liquidador, contralor), se adoptaron guías y manuales de seguridad, se aplicó la prueba con soporte logístico y técnico, y se consolidaron informes de resultados y actas finales con puntajes y justificación de respuestas. En la Fase III (Análisis integral) se ejecutó el análisis de riesgos y la verificación de autenticidad/antecedentes según anexo técnico, y se administraron los análisis de personalidad, emitiendo informes individuales con perfiles comportamentales, recomendaciones y hallazgos. Todo lo anterior se documentó y remitió al supervisor dentro de los plazos establecidos, asegurando calidad metodológica, objetividad en la valoración y trazabilidad completa del RILCO. Con Entregables análisis de Riesgo, Entregables Análisis de Personalidad, Entregables Finales.
Por lo que Se expidió la resolución 2025100000008450-6 de 16 – 09 - 2025 mediante la cual se conformó y publicó el listado definitivo de inscritos en el registro de agentes interventores, liquidadores y contralores de la Superintendencia Nacional de Salud. Delegar en la Secretaría General – Dirección Administrativa, la administración del Registro de Interventores, Liquidadores y Contralores de la Superintendencia Nacional de Salud – RILCO.
 Con lo anterior, se cumplieron las tres fases (Actividades) previstas para la convocatoria que permita fortalecer y actualizar el registro de agentes Liquidadores, Interventores y Contralores - RILCO del 2025, con un complimiento del 100% del indicador . </t>
  </si>
  <si>
    <t>Que mide</t>
  </si>
  <si>
    <t>meta</t>
  </si>
  <si>
    <t>OBSERVACIONES: Se impactaron con acciones IVC 92 nuevos territorios, con cumplimiento de la meta establecida para 2025 que corresponde al 100% de cobertura de los territorios programados.
No se presentan observaciones sobre el reporte de datos realizado en el SharePoint de PAG 2025</t>
  </si>
  <si>
    <t>OBSERVACIONES: Se han realizado acciones de gestión sobre las 56 alertas generadas, dando cobertura al 100% de las alertas identificadas en 2025.
No se presentan observaciones sobre el reporte de datos realizado en el SharePoint de PAG 2025</t>
  </si>
  <si>
    <t>OBSERVACIONES: Se han realizado 80 seguimientos con cumplimiento la meta de establecida para 2025.
No se presentan observaciones sobre el reporte de datos realizado en el SharePoint de PAG 2025.</t>
  </si>
  <si>
    <t>OBSERVACIONES: Se han realizado 622 acciones en el marco de ANS con las dependencias de la entidad, con cumplimiento de la meta establecida en el cronograma de 2025.
No se presentan observaciones sobre el reporte de datos realizado en el SharePoint de PAG 2025</t>
  </si>
  <si>
    <t>OBSERVACIONES: Se han realizado 20 auditorias, con  cumplimiento de la meta establecida para 2025. 
No se presentan observaciones sobre el reporte de datos realizado en el SharePoint de PAG 2025</t>
  </si>
  <si>
    <t>OBSERVACIONES: Se han activado Red de Controladores en 15 departamentos, con un sobrecumplimiento del 150% con respecto de la meta de 10, establecida para el año 2025.
No se presentan observaciones sobre el reporte de datos realizado en el SharePoint de PAG 2025</t>
  </si>
  <si>
    <t>num</t>
  </si>
  <si>
    <t>den</t>
  </si>
  <si>
    <t>OBSERVACIONES: Se han realizado 35 seguimientos a las actividades de las Direcciones regionales, con sobrecumplimiento de 109% de la meta de 32 establecida para 2025.
No se presentan observaciones sobre el reporte de datos realizado en el SharePoint de PAG 2025</t>
  </si>
  <si>
    <t>OBSERVACIONES: Se han realizado 79 mesas de IV, con sobrecumplimiento del 113% de la meta de 70 establecida para 2025.
No se presentan observaciones sobre el reporte de datos realizado en el SharePoint de PAG 2025</t>
  </si>
  <si>
    <t>OBSERVACIONES: Se han realizado 17 acciones integrales en territorio, con sobrecumplimiento de 155%, con respecto de la meta de 11 establecida para 2025.
No se presentan observaciones sobre el reporte de datos realizado en el SharePoint de PAG 2025</t>
  </si>
  <si>
    <t>OBSERVACIONES: Se han realizado 41 mesas de gobernanza, con un sobrecumplimiento de 124%, con respecto de la meta de 33 establecida para 2025. 
No se presentan observaciones sobre el reporte de datos realizado en el SharePoint de PAG 2025.</t>
  </si>
  <si>
    <t>OBSERVACIONES: Se ejecutaron 39 auditorias con sobrecumplimiento del 117% con respecto de la meta porcentual de 85% establecida para 2025.
No se presentan observaciones sobre el reporte de datos realizado en el SharePoint de PAG 2025.</t>
  </si>
  <si>
    <t>OBSERVACIONES: Se han realizado 16 monitoreos de 17 programados, con incumplimiento la meta de establecida para 2025.
No se presentan observaciones sobre el reporte de datos realizado en el SharePoint de PAG 2025</t>
  </si>
  <si>
    <t>OBSERVACIONES: Se han evaluado 286 Planes de mejoramiento, con incumplimiento de la meta de 288 establecida para 2025. Por lo cual se deben adoptar medidas para garantizar la evaluación periódica de los planes de mejoramiento.
No se presentan observaciones sobre el reporte de datos realizado en el SharePoint de PAG 2025</t>
  </si>
  <si>
    <t>OBSERVACIONES: Se han realizado 1037 seguimientos, con cumplimiento la meta porcentual de 100% para 2025.No se presentan observaciones sobre el reporte de datos realizado en el SharePoint de PAG 2025</t>
  </si>
  <si>
    <t>OBSERVACIONES: Se gestionaron el total de las 17 solicitudes que ingresaron a la dependencia, con cumplimiento de la meta de 100% establecida para lo corrido de 2025.
No se presentan observaciones sobre el reporte de datos realizado en el SharePoint de PAG 2025</t>
  </si>
  <si>
    <t>OBSERVACIONES: Se han gestionaron 112 alertas, con un sobrecumplimiento de 112% con respecto de la meta de 100 establecida para 2025.No se presentan observaciones sobre el reporte de datos realizado en el SharePoint de PAG 2025</t>
  </si>
  <si>
    <t>OBSERVACIONES: Se han realizado 24 orientaciones técnicas, con sobrecumplimiento de 185% de la meta de 13 establecida para 2025.
No se presentan observaciones sobre el reporte de datos realizado en el SharePoint de PAG 2025.</t>
  </si>
  <si>
    <t>OBSERVACIONES: Se realizaron 4 acciones de Inspección y Vigilancia para el monitoreo de los riesgos, con cumplimiento la meta de establecida para 2025.
No se presentan observaciones sobre el reporte de datos realizado en el SharePoint de PAG 2025</t>
  </si>
  <si>
    <t>OBSERVACIONES: Se han realizado 27 seguimientos en campo, con sobrecumplimiento del 111% de la meta porcentual de 90% establecida para lo corrido de 2025.Se sugiere ajustar los porcentajes definidos en el cronograma del PAG, toda vez que la programación de cada periodo se define a demanda.</t>
  </si>
  <si>
    <t>OBSERVACIONES: Se realizaron 352 acciones de monitoreo y evaluación, con cumplimiento de la meta establecida para lo corrido de 2025.
No se presentan observaciones sobre el reporte de datos realizado en el SharePoint de PAG 2025</t>
  </si>
  <si>
    <t>OBSERVACIONES: Se registró en el aplicativo PAG 2025 un avance acumulado del 100%.
No se presentan observaciones sobre el reporte de datos realizado en el SharePoint de PAG 2025</t>
  </si>
  <si>
    <t>OBSERVACIONES: Se realizaron 2 acción de seguimiento, con cumplimiento de la meta establecida para 2025.
No se presentan observaciones sobre el reporte de datos realizado en el SharePoint de PAG 2025</t>
  </si>
  <si>
    <t>OBSERVACIONES: Se realizaron 22 acciones programadas, con cumplimiento de la meta establecida del 100% para 2025.
No se presentan observaciones sobre el reporte de datos realizado en el SharePoint de PAG 2025</t>
  </si>
  <si>
    <t>OBSERVACIONES: Se realizaron 5 eventos programados, con cumplimiento de la meta propuesta para lo corrido de 2025.
No se presentan observaciones sobre el reporte de datos realizado en el SharePoint de PAG 2025</t>
  </si>
  <si>
    <t>OBSERVACIONES: Se han realizado 340 actividades de promoción de derechos y deberes en salud, con un sobrecumplimiento de 121% con respecto de la meta de 282 establecida para 2025.
No se presentan observaciones sobre el reporte de datos realizado en el SharePoint de PAG 2025</t>
  </si>
  <si>
    <t>OBSERVACIONES: Se han realizado 41 actividades en el ámbito de la política de servicio al ciudadano, con un sobrecumplimiento del 137% con respecto de la meta de 30 establecida para 2025.
No se presentan observaciones sobre el reporte de datos realizado en el SharePoint de PAG 2025.</t>
  </si>
  <si>
    <t>OBSERVACIONES: Se han realizado 120 auditorías, con cumplimiento de la meta establecida de 100% en el cronograma 2025.
No se presentan observaciones sobre el reporte de datos realizado en el SharePoint de PAG 2025</t>
  </si>
  <si>
    <t>OBSERVACIONES: Se han recibido 569376 respuestas de la encuesta de satisfacción, donde 492741 tuvieron calificación buena y excelente lo que representa el 87%, esto equivale a un sobrecumplimiento de 102% con  respecto de la meta porcentual de 85%.
No se presentan observaciones sobre el reporte de datos realizado en el SharePoint de PAG 2025</t>
  </si>
  <si>
    <t>OBSERVACIONES: Se han realizado 23 capacitaciones, con un sobrecumplimiento de 164% con respecto de la meta de 14 establecida para 2025.
No se presentan observaciones sobre el reporte de datos realizado en el SharePoint de PAG 2025</t>
  </si>
  <si>
    <t>OBSERVACIONES: Se han gestionado el 100% de los radicados 1823127 que llegan a través de multicanal de  reclamos, con cumplimiento de la meta establecida para 2025.
No se presentan observaciones sobre el reporte de datos realizado en el SharePoint de PAG 2025</t>
  </si>
  <si>
    <t>OBSERVACIONES: Se han gestionado el total de los 359084 reclamos radicados a través de canal presencial, con cumplimiento de la meta de 100% establecida para 2025.
No se presentan observaciones sobre el reporte de datos realizado en el SharePoint de PAG 2025.</t>
  </si>
  <si>
    <t>OBSERVACIONES: Se han realizado 4 actividades de IVC a los OLTS y/o GF objeto de supervisión de los 5 programados es decir 80%, es decir un incumplimiento la meta de establecida para 2025. Se recomienda al área que se tomen medidas para la vigencia 2026 que permitan cumplir con la meta.
No se presentan observaciones sobre el reporte de datos realizado en el SharePoint de PAG 2025</t>
  </si>
  <si>
    <t>OBSERVACIONES: De los 428 solicitudes y reclamos relacionados con tecnologías en salud radicados se gestionaron 367, es decir el 86% lo que equivale a un incumplimiento de la meta establecida de 96% para2025. Se deben tomar medidas para en 2026 aumentar la eficiencia en esta gestión.
No se presentan observaciones sobre el reporte de datos realizado en el SharePoint de PAG 2025</t>
  </si>
  <si>
    <t>OBSERVACIONES: De los 1840 reclamos de salud radicados se gestionaron 1552, es decir el 84% lo que equivale a un incumplimiento de la meta establecida de 96% para 2025. Se deben tomar medidas para en 2026 aumentar la eficiencia en esta gestión.
No se presentan observaciones sobre el reporte de datos realizado en el SharePoint de PAG 2025</t>
  </si>
  <si>
    <t>OBSERVACIONES: De los 415 reclamos de salud a DOLTS-GF se trasladaron 346, es decir el 83% lo que equivale a un incumplimiento de la meta establecida de 96% para 2025. Se deben tomar medidas para en 2026 aumentar la eficiencia en esta gestión.
No se presentan observaciones sobre el reporte de datos realizado en el SharePoint de PAG 2025.</t>
  </si>
  <si>
    <t>OBSERVACIONES: Se realizaron 8 actividades de socialización, dando cumplimiento la meta de establecida para 2025.
No se presentan observaciones sobre el reporte de datos realizado en el SharePoint de PAG 2025</t>
  </si>
  <si>
    <t>OBSERVACIONES: Se han realizado 14 actividades de acompañamiento en actividades IVC, con cumplimiento la meta de establecida para 2025.
No se presentan observaciones sobre el reporte de datos realizado en el SharePoint de PAG 2025</t>
  </si>
  <si>
    <t>OBSERVACIONES: Se han realizado 8 auditorias, con cumplimiento la meta de establecida para 2025. 
No se presentan observaciones sobre el reporte de datos realizado en el SharePoint de PAG 2025</t>
  </si>
  <si>
    <t>OBSERVACIONES: Según el análisis cualitativo se realizaron 14 jornadas, con cumplimiento la meta de establecida para 2025.
En cuanto al reporte de indicadores es importante precisar que debe tenerse en cuenta las variables de la formula para ingresar adecuadamente los datos.</t>
  </si>
  <si>
    <t>OBSERVACIONES: Se realizaron 7223 de audiencias de conciliación, logrando el cumplimiento de la meta establecida para la vigencia 2025.
No se presentan observaciones sobre el reporte de datos realizado en el SharePoint de PAG 2025</t>
  </si>
  <si>
    <t>OBSERVACIONES: Se han gestionado 520 procesos, con cumplimiento la meta de establecida para lo corrido de 2025.
No se presentan observaciones sobre el reporte de datos realizado en el SharePoint de PAG 2025</t>
  </si>
  <si>
    <t>OBSERVACIONES: Se han realizado las 14 socializaciones programadas, con cumplimiento la meta de establecida para 2025.No se presentan observaciones sobre el reporte de datos realizado en el SharePoint de PAG 2025</t>
  </si>
  <si>
    <t>OBSERVACIONES: Se han gestionado 173 autos y sentencias Jurisdiccionales, con sobrecumplimiento de 115% con respecto de la meta de 150, establecida para 2025.
No se presentan observaciones sobre el reporte de datos realizado en el SharePoint de PAG 2025</t>
  </si>
  <si>
    <t>OBSERVACIONES: Se realizaron 31 seguimientos al Programa de mejoramiento institucional, con cumplimiento de la meta de 100%, establecida para 2025.
No se presentan observaciones sobre el reporte de datos realizado en el SharePoint de PAG 2025</t>
  </si>
  <si>
    <t>OBSERVACIONES: Se han realizado 843 seguimientos a 865 reclamos no cerrados por los vigilados, lo que equivale a la gestión del 97% de los reclamos, con lo cual se presenta un incumplimiento de la meta de 100% establecida para 2025.</t>
  </si>
  <si>
    <t>OBSERVACIONES: Se han realizado 630 seguimientos a acuerdos conciliatorios, logrando el cumplimiento de la meta establecida para la vigencia 2025.
Sin embargo los valores reportado no corresponden a las variables de la formula.</t>
  </si>
  <si>
    <t>OBSERVACIONES: Se gestiono en su totalidad de 1174 demandas radicadas en el periodo de seguimiento, con cumplimiento de la meta establecida para 2025
No se presentan observaciones sobre el reporte de datos realizado en el SharePoint de PAG 2025.</t>
  </si>
  <si>
    <t>OBSERVACIONES: Se logro un puntaje de 100, con  cumplimiento la meta de establecida para 2025.
No se presentan observaciones sobre el reporte de datos realizado en el SharePoint de PAG 2025</t>
  </si>
  <si>
    <t>OBSERVACIONES: Se han realizado 5 campañas, con cumplimiento la meta de establecida para 2025.</t>
  </si>
  <si>
    <t>OBSERVACIONES: Se registro el Informe de Rendición de cuentas y la Audiencia se pre grabo y se programó su trasmisión para el 18 de octubre en la Pagina YouTube de la SNS. 
No se presentan observaciones sobre el reporte de datos realizado en el SharePoint de PAG 2025</t>
  </si>
  <si>
    <t>OBSERVACIONES: Se logro el cumplimiento del 100% según lo informado por el área, sin embargo anexan adjuntos del cronograma del contrato sin embargo no se evidencia los productos generados dentro del mismo.</t>
  </si>
  <si>
    <t>OBSERVACIONES: Se gestionaron 32 solicitudes de políticas, instrumentos, guías, metodologías y lineamientos, con el cumplimiento de la meta porcentual del 100% para 2025.
No se presentan observaciones sobre el reporte de datos realizado en el SharePoint de PAG 2025.</t>
  </si>
  <si>
    <t>OBSERVACIONES: Se 123.116 requerimientos asignados a los abogados se dio respuesta a 116.850, es decir al 93,61%, incumpliendo la meta porcentual del 100% para 2025.
El reporte de los datos con especto a la evidencia presentada no es exacto.</t>
  </si>
  <si>
    <t>OBSERVACIONES: Se crearon en su totalidad los proyectos de actos administrativos del total de las 20 solicitudes de única instancia, cumplimiento con la meta propuesta para lo corrido de 2025.
No se presentan observaciones sobre el reporte de datos realizado en el SharePoint de PAG 2025</t>
  </si>
  <si>
    <t>OBSERVACIONES: Se proyectaron en su totalidad los actos administrativos de las 172 solicitudes de segunda instancia que ingresaron a la dependencia, cumplimiento con la meta del 100%, propuesta para 2025.
No se presentan observaciones sobre el reporte de datos realizado en el SharePoint de PAG 2025</t>
  </si>
  <si>
    <t>OBSERVACIONES: Se han gestionado 999 de los conceptos, derechos de petición y solicitudes del total de 1008 recibidas en el periodo, se incumplió la meta porcentual de 100% para lo corrido de 2025. 
No se presentan observaciones sobre el reporte de datos realizado en el SharePoint de PAG 2025</t>
  </si>
  <si>
    <t>OBSERVACIONES: Se publicaron 4 boletines, con cumplimiento la meta de 4 establecida para 2025.
No se presentan observaciones sobre el reporte de datos realizado en el SharePoint de PAG 2025</t>
  </si>
  <si>
    <t>OBSERVACIONES: Se tramitaron 505 de las acciones contencioso-administrativas y ordinarias, con el cumplimiento de la meta de 100% para 2025.
No se presentan observaciones sobre el reporte de datos realizado en el SharePoint de PAG 2025</t>
  </si>
  <si>
    <t>OBSERVACIONES: Se ejecutaron las 4 actividades programadas, con cumplimiento de la meta establecida para lo corrido de 2025
No se presentan observaciones sobre el reporte de datos realizado en el SharePoint de PAG 2025</t>
  </si>
  <si>
    <t>OBSERVACIONES: Se realizó el total de 6 acciones programadas para el diseño del sistema integral, con cumplimiento de la meta establecida para lo corrido de 2025.
No se presentan observaciones sobre el reporte de datos realizado en el SharePoint de PAG 2025</t>
  </si>
  <si>
    <t>OBSERVACIONES: Se ejecuto el total de 63 actividades del PEDTH, con cumplimiento la meta porcentual del 100% establecida para 2025.
No se presentan observaciones sobre el reporte de datos realizado en el SharePoint de PAG 2025.</t>
  </si>
  <si>
    <t>OBSERVACIONES: Se han ejecutado un total de 53 actividades del PIC, con cumplimiento de la meta de 100% establecida para 2025.
No se presentan observaciones sobre el reporte de datos realizado en el SharePoint de PAG 2025</t>
  </si>
  <si>
    <t>OBSERVACIONES: Se han ejecutado un total de 19 actividades de sensibilización del orden interno disciplinario, con cumplimiento la meta porcentual de 100% para 2025.
No se presentan observaciones sobre el reporte de datos realizado en el SharePoint de PAG 2025.</t>
  </si>
  <si>
    <t>OBSERVACIONES: Se han adoptado un total de 269 decisiones de fondo en etapa de instrucción del total de 352 procesos, con un sobrecumplimiento del 153% con respecto a la meta porcentual de 50% de establecida para 2025.Al igual que en el anterior indicador se sugiere que el denominador indique que es el total de procesos evaluados en etapa de instrucción en el periodo.</t>
  </si>
  <si>
    <t>OBSERVACIONES: Se han ejecutado un total de 8 socializaciones, con cumplimiento la meta para 2025.Sin embargo, se requiere el ajuste del reporte del mes de septiembre y diciembre, toda vez que según el cronograma del PAG este se mide de forma periódica sobre el número de actividades programadas que para el periodo de seguimiento y según las evidencias es 2 en todos los trimestres</t>
  </si>
  <si>
    <t>OBSERVACIONES: Se realizo el total de 63 actividades previstas en el Cronograma del SGA con cumplimiento la meta de establecida para 2025.
No se presentan observaciones sobre el reporte de datos realizado en el SharePoint de PAG 2025</t>
  </si>
  <si>
    <t>OBSERVACIONES: Si bien se manifiesta en un análisis cualitativo, en este no refleja el número de seguimientos realizados, pesé a que se indica que se cumplió con el 100% en el periodo de seguimiento, solo se refieren 4  seguimientos de los 12 que se deben registrar en el numerador. Se sugiere que el reporte siempre refleje el acumulado de los avances trimestrales.</t>
  </si>
  <si>
    <t>OBSERVACIONES: De los  487362 documentos radicados se realizó la correcta asignación a las dependencias de 483011, con un sobrecumplimiento de  101% con respecto de la meta de 98% establecida para 2025.
No se presentan observaciones sobre el reporte de datos realizado en el SharePoint de PAG 2025.</t>
  </si>
  <si>
    <t>OBSERVACIONES: Se han realizado 11 campañas de socialización de las 12 programadas para 2025, con incumplimiento el cronograma establecido.
No se presentan observaciones sobre el reporte de datos realizado en el SharePoint de PAG 2025.</t>
  </si>
  <si>
    <t>OBSERVACIONES: Se comprometieron recursos por valor de $315.358.112.464 del total apropiado para 2025 por $316.593.914.285, es decir un compromiso presupuestal del 99,6%, con sobrecumplimiento de 111% con respecto de la meta porcentual establecida de 90% para 2025.
No se presentan observaciones sobre el reporte de datos realizado en el SharePoint de PAG 2025</t>
  </si>
  <si>
    <t>Durante el mes de Diciembre, se gestionaron  829 cuentas que fueron radicadas en los tiempos estipulados de acuerdo con la Circular Interna 2022920020000026-4 de 2022, asi mismo, los documentos radicados despúes del dia 25 calendario se tramitaron en el siguiente mes (328 cuentas). Por lo cual, se cumplió con la meta del indicador del 100%, (829/829) habiendo gestionado la totalidad de las cuentas radicadas con un tiempo de gestión de 3,6 dias hábiles. Se adjunta base con relación de cuentas radicadas y gestionadas, asi como el reporte del indicador con la correspondiente gráfica.</t>
  </si>
  <si>
    <t>OBSERVACIONES: Se han realizado 14 actividades para implementación de política PyEGP, con cumplimiento la meta de establecida para 2025.No se presentan observaciones sobre el reporte de datos realizado en el SharePoint de PAG 2025.</t>
  </si>
  <si>
    <t>OBSERVACIONES: Se realizando 12 mesas de apropiación del SIG, con cumplimiento la meta de establecida para 2025.
No se presentan observaciones sobre el reporte de datos realizado en el SharePoint de PAG 2025.</t>
  </si>
  <si>
    <t xml:space="preserve">OBSERVACIONES: Solo 2 de los 4 reportes  alcanzaron la meta propuesta del 80%, lo que genera un incumplimiento para la vigencia; Por tanto para la vigencia 2026 se recomienda tomar medidas para mejorar la cobertura de acciones de IV que se logran en las mesas. </t>
  </si>
  <si>
    <t>OBSERVACIONES: Se atendió 1 recurso de apelación en el primer semestre del año el cual fue gestionado en el termino establecido dando cumplimiento de la meta de 2025.
Se reporto un valor de 1 en diciembre sin embargo este no se debe reportar toda vez que no ingreso ningún recurso de apelación en el segundo semestre del año.</t>
  </si>
  <si>
    <t>OBSERVACIONES: Se han ejecutado recursos por valor  $724.231.179 sobre la asignación de $724.431.179, lo que equivale a una ejecución presupuestal del 99,97%, lo que indica un incumplimiento con respecto de la meta del 100% establecida para la vigencia.
En cuanto a los datos reportados estos no coinciden con la información referida en el análisis cualitativo, es importante tener en cuenta la formula del indicador para el registro de datos en el aplicativo.</t>
  </si>
  <si>
    <t>OBSERVACIONES: ​El plan de cierre de brechas finalmente validado con las áreas contempló un total de 77 acciones, de las cuales 68 se gestionaron y cerraron en su totalidad que representa un 88,3% del total de las brechas. Con un sobrecumplimiento del 110% con respecto de la meta porcentual del 80% previsto para 2025.</t>
  </si>
  <si>
    <t>OBSERVACIONES: Se realizaron 5 informes con un sobrecumplimiento de 125%, con respecto a la meta de 4 para 2025.
No se presentan observaciones sobre el reporte de datos realizado en el SharePoint de PAG 2025</t>
  </si>
  <si>
    <t>OBSERVACIONES: Se han realizado 49 actividades de las 58 programadas, con incumplimiento la meta  para 2025. Se deben incluir las actividades no ejecutadas en la vigencia en dentro del PETI 2026, con el fin de cumplir el Plan previsto para el cuatrienio.</t>
  </si>
  <si>
    <t>OBSERVACIONES: De las 29 Sanciones que se remitieron en grado de consulta 28 fueron revocadas, es decir el 97%, es decir se incumplió la meta porcentual de 100% para la vigencia 2025.
No se presentan observaciones sobre el reporte de datos realizado en el SharePoint de PAG 2025</t>
  </si>
  <si>
    <t>OBSERVACIONES: Se ha realizado 12 actividades para la implementación y sostenibilidad de la política de gestión y desempeño de Defensa Jurídica, con incumplimiento la meta de 12 actividades establecida para 2025.
No se presentan observaciones sobre el reporte de datos realizado en el SharePoint de PAG 2025</t>
  </si>
  <si>
    <t>OBSERVACIONES: Se han emitido 378 autos por parte del Coordinador del Grupo de Instrucción Disciplinaria del total de noticias disciplinarias que se recibieron en lo corrido de 2025, y si bien se cumplió con el indicador es importante tener en cuenta que el número de noticias disciplinarias que llega a la dependencia es variable en cada periodo y que el cronograma del PAG indica metas en Porcentaje acumulado; para reflejar el resultado en esos términos se debe conocer el total de noticias disciplinarias que se tendrán en el año. Por tanto, se sugiere que la meta del indicador en el PAG sea del 100% en cada periodo de medición y no % acumulado, esto a partir de la formula del indicador “Número de asuntos (NRCD) con decisión adoptada en el período/Número total de asuntos (NRCD) recibidos en el periodo) * 100”, para lo cual se podrá solicitar ajuste a la OAP.</t>
  </si>
  <si>
    <t>OBSERVACIONES: Se han adoptado un total de 6 decisiones de fondo en etapa de juzgamiento de los 13 procesos evaluados, con incumplimiento la meta de establecida para 2025. 
Sin embargo se recomienda que  este indicador se mida de forma acumulada y que se reduzca la meta para la siguiente vigencia.</t>
  </si>
  <si>
    <t>OBSERVACIONES: Si bien el área indica el cumplimiento de la meta anual para 2025, se sugiere que el reporte de este indicador se realice de forma numérica en el SharePoint de PAG 2025.Según el reporte cualitativo indican un total de 38 contratos incorporó las prácticas de Abastecimiento Estratégico dirigidas a la promoción de la micro, pequeña y mediana empresa, se debería tener el valor de referencia del PAA, que indica cuales de los contratos se les aplicara practicas de abastecimiento</t>
  </si>
  <si>
    <t xml:space="preserve">OBSERVACIONES: Al interpretar el análisis cualitativo se evidencia un avance del 100% con respecto a la meta anual 2025.Sin embargo, el reporte de la totalidad de contratos suscritos por la Tienda Virtual no es evidente. Según los soportes se realizaron 13 ordenes de compra en 2025 a través de 6 contratos en los que se incorporó las prácticas de Abastecimiento Estratégico dirigidas a la promoción de la micro, pequeña y mediana empresa; </t>
  </si>
  <si>
    <t>OBSERVACIONES: Si bien se manifiesta un cumplimiento del 100% en el periodo de seguimiento, estos datos no se reflejan en las variables, que deberían ser 381 en el numerador y denominador según lo reportado en las evidencias, por otra parte es importante que en el análisis cualitativo se reporte de forma resumida no solo el total sino la desagregación al menos por tipo de contrato. En conclusión se aplican practicas de análisis de datos en los estudios de mercado de los estudios previos de OPS, Contratos interadministrativos, Mínimas cuantías, Contratación Directa, Selección abreviada.</t>
  </si>
  <si>
    <t>OBSERVACIONES: Se realizaron 2 acciones sobre proceso de notificación de actos administrativos y autorización de notificación electrónica, con cumplimiento la meta de establecida para 2025.
No se presentan observaciones sobre el reporte de datos realizado en el SharePoint de PAG 2025</t>
  </si>
  <si>
    <t>OBSERVACIONES: Se han gestionado la totalidad de las 3242 cuentas recibidas para pago en 2025, cumplimento con la meta establecida para la vigencia.
Se evidencian reportes de datos que no coinciden con las evidencias, sin embargo son errores de digitación que no afectan el análisis cualitativo realizado.</t>
  </si>
  <si>
    <t>OBSERVACIONES: Se resolvieron las 49 excepciones al mandamiento de pago y facilidades recibidas en la vigencia, con cumplimiento la meta porcentual de establecida de 100% para 2025.No se presentan observaciones sobre el reporte de datos realizado en el SharePoint de PAG 2025.</t>
  </si>
  <si>
    <t>OBSERVACIONES: Se realización las 97 conciliaciones programadas para la vigencia. con cumplimiento de la meta porcentual del 100% para 2025.
No se presentan observaciones sobre el reporte de datos realizado en el SharePoint de PAG 2025</t>
  </si>
  <si>
    <t>OBSERVACIONES: Se buscaba recaudar en 2025 $26.161.920.186 por concepto de cartera clasificada como cobrable, sin embargo se el Grupo de cobro persuasivo logro un recaudo de $22.676.335.912, es decir un 87%, con incumplimiento de la meta porcentual de 100% establecida para la vigencia., por lo que se sugiere reducir la meta para 2026, hasta que se pueda mejorar las estrategias de recaudo, en total se recupero el 17,3% de la cartera de 131.809.600.838 a cierre de 2024. 
No se presentan observaciones sobre el reporte de datos realizado en el SharePoint de PAG 2025</t>
  </si>
  <si>
    <t>OBSERVACIONES: Se obligaron recursos por valor de $78.459.265.382 (31-12-2025) de la apropiación final total de 2025 por valor de $84.527.452.102; se comprometieron recursos por valor de $81.130.515.250 es decir del 99,53% de la apropiación prevista para la vigencia y unas obligaciones por 93% con respecto a los compromisos vigentes a la fecha de corte, con sobrecumplimiento de la meta porcentual de 85% para  2025.
No se presentan observaciones sobre el reporte de datos realizado en el SharePoint de PAG 2025</t>
  </si>
  <si>
    <t xml:space="preserve">Las actividades ejecutadas para el cumplimiento del Plan de Seguridad y Privacidad de la información corresponden a: ​
1. Alcanzar un nivel de implementación del 80 % del Modelo de Seguridad y Privacidad de la Información (MSPI), fortaleciendo los controles de seguridad y privacidad de la información en la entidad.
2. Identificar  el 100 % de los activos de información de los procesos de la entidad, incluyendo su clasificación y responsables, que sirva de insumo para la gestión de riesgos de seguridad de la información.
3. Avanzar en implementación. Apropiación y madurez operativa del Programa de Gestión de Datos Pesonales
4.Avanzar con el diseño e implementación de la arquitectura de seguridad de la SNS. 
</t>
  </si>
  <si>
    <t>https://teams.microsoft.com/l/message/19:a7ea01deaa914eb4bc758f5a2f979ee5@thread.v2/1768916521434?context=%7B%22contextType%22%3A%22chat%22%7D</t>
  </si>
  <si>
    <t xml:space="preserve">Las actividades ejecutadas en el periodo evidencian un avance integral en la gestión de riesgos de seguridad digital y privacidad de la información dentro de la entidad. Se actualizaron lineamientos y políticas clave, se fortaleció la cultura institucional mediante jornadas de sensibilización y capacitación dirigidas a gestores y colaboradores, y se brindó acompañamiento técnico en la identificación, análisis y valoración de riesgos con criticidad moderada, alta y extrema, incluyendo la revisión de controles y la definición de tratamientos. Además, se formalizó la aceptación y aprobación de los riesgos identificados junto con sus planes de mejoramiento, y se publicaron los mapas de riesgos de los procesos, consolidando así un ciclo de gestión más maduro, documentado y alineado con las exigencias de seguridad digital y continuidad operativa.
</t>
  </si>
  <si>
    <t>https://supersalud.sharepoint.com/:f:/s/GrupodeSeguridadDigital/IgAqw8v4WnA1R4aivJ3-wCY6AbjlKR8g3QdCYL9VKFm4Wgk?e=hLHXy9</t>
  </si>
  <si>
    <t>OBSERVACIONES: Se han realizado 85 seguimientos en lo corrido del año, con un sobrecumplimiento con 212% con respecto a la meta de 40 establecida para 2025.
No se presentan observaciones sobre el reporte de datos realizado en el SharePoint de PAG 2025</t>
  </si>
  <si>
    <t>Respon.</t>
  </si>
  <si>
    <t>Num.</t>
  </si>
  <si>
    <t>Denom.</t>
  </si>
  <si>
    <t>Meta</t>
  </si>
  <si>
    <t>Semáforo</t>
  </si>
  <si>
    <t>CUMPLIO</t>
  </si>
  <si>
    <t>SOBRECUMPLIO</t>
  </si>
  <si>
    <t>INCUMPLIO</t>
  </si>
  <si>
    <t>Resultado %</t>
  </si>
  <si>
    <t>100% (27)</t>
  </si>
  <si>
    <t>100% (35)</t>
  </si>
  <si>
    <t>100% (60)
 2025 (60)</t>
  </si>
  <si>
    <t>OBSERVACIONES: Se ha realizaron 10 visitas de seguimiento a entidades en liquidación ordenada de la SNS, con cumplimiento de la meta de 10 para 2025.
No se presentan observaciones sobre el reporte de datos realizado en el SharePoint de PAG 2025</t>
  </si>
  <si>
    <t>OBSERVACIONES: Se realizaron 54 seguimientos y evaluaciones, con cumplimiento de 100% de la meta de 54 establecida para 2025. 
No se presentan observaciones sobre el reporte de datos realizado en el SharePoint de PAG 2025</t>
  </si>
  <si>
    <t>OBSERVACIONES: Se han realizado 40 acciones dentro del contrato 116 de 2025, para el desarrollo del programa GIN y GDyI, según reporte del área con cumplimiento la meta de establecida para 2025, sin embargo no se anexa evidencia de los productos generados en la Fase 3, Fase 4 y Fase 5.
Se presenta inconsistencias en el reporte de los datos de diciembre en el SharePoint de PAG 2025</t>
  </si>
  <si>
    <t>OBSERVACIONES: Se han realizado 10 acciones para la Gestión estadística, con cumplimiento la meta de establecida para 2025.No se presentan observaciones sobre el reporte de datos realizado en el SharePoint de PAG 2025</t>
  </si>
  <si>
    <t>OBSERVACIONES: Se han tramitado 391 solicitudes de conciliaciones del periodo de las 408 que allegaron a la dependencia es decir el 96% se tramito, con un incumplimiento en la meta porcentual de 100% para 2025.
No se presentan observaciones sobre el reporte de datos realizado en el SharePoint de PAG 2025</t>
  </si>
  <si>
    <t>OBSERVACIONES: Se han gestionado 27173 administrativos de notificación o comunicación de 28748 recibidos para notificar, en los tres primeros trimestres de 2025, que corresponde al 94,5% es decir no se alcanzo la meta prevista para 2025.
No se presentan observaciones sobre el reporte de datos realizado en el SharePoint de PAG 2025</t>
  </si>
  <si>
    <t>OBSERVACIONES: Se gestionaron 47 trámites dentro de termino 140 días de un total de 54 gestionados en ese periodo es decir un 87% de actividad, con un sobrecumplimiento de 102% con respecto a la meta porcentual de 85% establecida para 2025. No se presentan observaciones sobre el reporte de datos realizado en el SharePoint de PAG 2025</t>
  </si>
  <si>
    <t>OBSERVACIONES: Según el análisis cualitativo se realizaron 14 pre-jornadas, con cumplimiento la meta de establecida para 2025.
En cuanto al reporte de datos estos presentan inconsistencia, es importante precisar que debe tenerse en cuenta las variables de la formula para ingresar adecuadamente los datos.</t>
  </si>
  <si>
    <t>Revisar existia un rezago de 1</t>
  </si>
  <si>
    <t>OBSERVACIONES: Se realizaron 6 socializaciones, con sobrecumplimiento de la meta de 6 socializaciones para  2025.
Se presentan inconsistencias en el reporte de noviembre.</t>
  </si>
  <si>
    <t>Cuenta de Semáforo</t>
  </si>
  <si>
    <t>OBSERVACIONES: Se han realizado a la fecha 6 auditorías, con cumplimiento la meta de 6 establecida para 2025. Se deben tomar acciones para el 2026 que garanticen el cumplimiento del cronograma propuesto.</t>
  </si>
  <si>
    <t>OBSERVACIONES: Se realizaron 16 mesas técnicas con un sobrecumplimiento de 145,5%, con respecto de la meta de 11 establecida para 2025.
Presenta una inconsistencia en el reporte de datos o en el SharePoint de PAG 2025.</t>
  </si>
  <si>
    <t>OBSERVACIONES: De 598 solicitudes recibidas en 2025,  se han aceptado 332 solicitudes de investigación que cumplen con ANS, con un incumplimiento significativo de la meta establecida para  2025. Se debe procurar una campaña efectiva para garantizar una adecuada divulgación y apropiación de las ANS en las Dependencias que remiten los expedientes, además de reducir la meta del indicador pues la tasa real de cumplimiento de las ANS es significativamente menor.</t>
  </si>
  <si>
    <t>cUMPLIO</t>
  </si>
  <si>
    <t>OBSERVACIONES: Si ejecutaron 60 actividades del PASST,e 60 actividades prevista para 2025. 
No se presentan observaciones sobre el reporte de datos realizado en el SharePoint de PAG 2025</t>
  </si>
  <si>
    <t>Al 31 de diciembre de 2025, del total de recursos de inversión asignados para la presente vigencia, y una vez aplicada la reducción presupuestal (Decreto No. 1484 de 2025) que fijó la nueva apropiación en $84.527.452.102, se han comprometido $84.130.515.250, equivalentes al 99,53% de la apropiación definitiva. De este valor, se generaron obligaciones por $78.454.712.594, cifra que corresponde al 95.65% de los recursos comprometidos y al 92.81% del total de recursos asignados para la vigencia. En términos generales el nivel de compromisos fue 19 puntos porcentuales respecto al 2024, y las obligaciones superaron en 20 punto porcentuales con relación al año anterior.
La mayoría de las 18 dependencias ejecutoras registraron niveles de compromiso iguales o superiores al 85%, de las dependencias ejecutoras seis registraron niveles de compromiso iguales o superiores al 98%, destacándose varias con ejecución del 100%, como: Superintendencia Delegada de Investigaciones Administrativas, Direccion Administrativa-Grupo de Recursos Físicos, Dirección Jurídica, Dirección Administrativa – Grupo de Recursos Físicos.
Asimismo, en materia de obligacioneslos pagos suman $59.797.704.387, esto es el 70,74% de la apropiación. En términos generales el nivel de compromisos fue 17 punto porcentuales respecto al 2024, y las obligaciones superaron en 20 punto porcentuales con relación al año anterior.</t>
  </si>
  <si>
    <t>OBSERVACIONES: Se ha realizado acciones de inspección y vigilancia a 6 actores del sistema de salud, de forma acumulada; Es decir que se lleva un avance del 66%, dando cumplimiento a la cobertura de 2 actores para  2025, que corresponden a Prestadores y Aseguradores. 
No se presentan observaciones sobre el reporte de datos realizado en el SharePoint de PAG 2025.</t>
  </si>
  <si>
    <t xml:space="preserve">OBSERVACIONES: Se han actualizado 69 fichas técnicas de 51 entidades bajo medida que equivale a 85,2%, con Sobrecumplimiento de 100,2% con respecto de la meta porcentual establecida del 85% para 2025. </t>
  </si>
  <si>
    <t>OBSERVACIONES: Se han atendieron 249 solicitudes de  elaboración o actualización documental por parte del SIG, con sobrecumplimiento la meta porcentual de 90% prevista para el 2025.Sin embargo, teniendo en cuenta que no se cuenta con un número total de documentos priorizados por vigencia se sugiere el ajuste de la fórmula para que quede así “Número de documentos elaborados, modificados y/o eliminados en el periodo de seguimiento /Total de documentos con solicitud de elaboración, modificación y/o eliminación en el periodo de seguimiento*100”.</t>
  </si>
  <si>
    <t>OBSERVACIONES: Se han ejecutado un total de 87 actividades del PBIEN, con cumplimiento la meta de 100% establecida para 2025.
No se presentan observaciones sobre el reporte de datos realizado en el SharePoint de PAG 2025</t>
  </si>
  <si>
    <t>OBSERVACIONES: Se ejecutaron 51 productos del MGDA, con incumplimiento de la meta de 52 establecida en el cronograma para 2025.Sobre el reporte en el SharePoint de PAG 2025, teniendo en cuenta que tanto el cronograma del Plan como el PAG se expresa el avance en porcentaje acumulado, y por tanto se debe tener en cuenta que el denominador siempre será el número total de productos del MGDA propuestos para la vigencia 2025. Sin embargo, se encontró que al registrar las variables en el denominador del mes de marzo se registró (8) en vez de 58 para ese momento, en junio se registró adecuadamente, pero nuevamente en septiembre se registró sin considerar el denominador para ese periodo, lo que puede afectar la interpretación del avance del indicador</t>
  </si>
  <si>
    <r>
      <t xml:space="preserve">La Oficina Asesora de Planeación, solicitó el reporte de monitoreo de las actividades contempladas en la versión actual de los cronogramas del Programa de Transparencia y Ética Pública, con el objetivo de identificar oportunidades de mejora en su formulación o la necesidad de incluir nuevas acciones.
Este ejercicio de monitoreo abarca exclusivamente las actividades desarrolladas durante la vigencia actual, hasta el 31 de septiembre de 2025, en concordancia con lo establecido en la Circular CIR25-00000026 de 2025.
</t>
    </r>
    <r>
      <rPr>
        <b/>
        <sz val="10"/>
        <color theme="1"/>
        <rFont val="Arial"/>
        <family val="2"/>
      </rPr>
      <t>Resultados del monitoreo</t>
    </r>
    <r>
      <rPr>
        <sz val="10"/>
        <color theme="1"/>
        <rFont val="Arial"/>
        <family val="2"/>
      </rPr>
      <t xml:space="preserve">: De las 73 actividades planteadas en el plan, distribuidas en los diferentes componentes, 54 se cumplieron (algunas con ejecución trimestral continua), 1 presentan cumplimiento parcial, 1 no se cumplieron y 17 fueron ejecutadas en el periodo anterior evaluado. En este sentido, al considerar las 54 actividades cumplidas durante el periodo y las 17 ejecutadas previamente, se obtiene un total de 63 actividades cumplidas sobre 71, lo que corresponde a un nivel de cumplimiento del 97 %.
</t>
    </r>
  </si>
  <si>
    <t xml:space="preserve">Se realizaron juiciosa y adecuadamente las prejornadas y las jornadas de CONCILIACION , en estas se concilian los valores determinados y se llegan a acuerdos de pago que prestan merito ejecutivo y hacen transito a cosa juzgada. Una vez el documento es exigible, los actores participes del proceso conciliatorio informan si las obligaciones consignadas dentro del acta de conciliacion se cumplieron.
Para el caso en particular se observa que en el ultimo trimestre el cumplimiento de los acuerdos conciliatorios segun lo informado por los actores corresponde al 99.02% de las actas de conciliacion, por valor de 12061828243 de $12181054561   
</t>
  </si>
  <si>
    <t>OBSERVACIONES: Si bien existen 5 líneas dentro de PSyPISD con 12 actividades de las cuales a la fecha se han ejecutado 10 con un incumplimiento en el cronograma previsto para 2025. Se deben tomar acciones para el logro de la meta propuesta para la vigencia. Sin embargo, es importante revisar pues las evidencias adjuntas en junio refieren 4 actividades en el segundo Trimestre, pero el Cronograma de trabajo indica 5 para el periodo de seguimiento con un acumulado de 6 actividades. Por lo anterior se sugiere que el reporte de este indicador se realice de forma numérica en el SharePoint de PAG 2025, se acumulen las actividades realizadas y el denominador sea 12, que es el número total de actividades en las que están divididas las 5 tareas de STI.</t>
  </si>
  <si>
    <t>OBSERVACIONES: Se realizo una convocatoria que permitió fortalecer y actualizar el registro de agentes Liquidadores, Interventores y Contralores - RILCO del 2025 en tres fases las cuales se llevaron a termino; con un cumplimiento del 100% del indicador . </t>
  </si>
  <si>
    <t>OBSERVACIONES: Se realizaron 32 actividades para implementar la política de gestión y desempeño de Mejora Normativa, con cumplimiento de la meta para 2025.
Se presentan inconsistencias en el reporte de datos realizado en el SharePoint de PAG 2025, sin embargo con la validación de evidencias se ajusto el balance final.</t>
  </si>
  <si>
    <t>OBSERVACIONES: Se realizo la correcta digitalización 574.005 de un total de 575.267 documentos susceptibles de esta acción en el periodo de seguimiento es decir 99,78%, aunque falto muy poco para alcanzar la meta del 99,87% muestra el alto compromiso del área versus el volumen de trabajo que manejan.
No se presentan observaciones sobre el reporte de datos realizado en el SharePoint de PAG 2025.</t>
  </si>
  <si>
    <t xml:space="preserve">OBSERVACIONES: Se han realizado 64 auditorías, con sobrecumplimiento de 107% con respecto de la meta  establecida para 2025.
Se presentan inconsistencias en el reporte de datos en el SharePoint de PAG 2025, sin embargo a partir del análisis cualitativo permite la extracción del dato.
</t>
  </si>
  <si>
    <t>OBSERVACIONES: Se han tomado 440 decisiones sobre las 441 investigaciones administrativas con riesgo de caducidad 2025, con lo cual se presenta un incumplimiento la meta de establecida para 2025.
Se presentan inconsistencias en el reporte numerado, con embargo con el análisis cualitativo es posible deducir las valores efectivos SharePoint de PAG 2025</t>
  </si>
  <si>
    <t>OBSERVACIONES: Se realizaron 3 visitas a entidades en liquidación no ordenadas por la SNS, con cumplimiento de la meta para 2025. Pese a la inconsistencia en el reporte en el SharePoint, se pudo verificar en las evidencias que se cumplió el indicador en el segundo semestre, optimizando la única resolución.</t>
  </si>
  <si>
    <t>OBSERVACIONES: De los 128 indicadores con reporte en el aplicativo teniendo un balance de 111 indicadores con un cumplimiento mayor al 98% y 17 indicadores por debajo de este valor,. 
Se presentaron el reporte de datos tuvo inconvenientes en el registro de datos por lo menos en 30 indicadores, y se presentaba deficiencia en el detalle y análisis requerido para el reporte de indicadores, situación que debe ser mejorada para la siguiente vigencia.</t>
  </si>
  <si>
    <t>OBSERVACIONES: Se reporta un avance del 100% con respecto a la meta anual, con cumplimiento la meta para 2025. Sin embargo no es posible verificar las evidencias pues no es viable el enlace.
No se presentan observaciones sobre el reporte de datos realizado en el SharePoint de PAG 2025.</t>
  </si>
  <si>
    <t>OBSERVACIONES: Se concluyeron 4 modelos, los cuales en 2026 serán sometidos a validación por las áreas misionales para implementar el Marco integral de Supervisión, con cumplimiento la meta de establecida para 2025 enfocada en Diseño del modelo.
No se presentan observaciones sobre el reporte de datos realizado en el SharePoint de PAG 2025</t>
  </si>
  <si>
    <t xml:space="preserve">Inicialmente se programó activiar la red en un solo territorio para el primer trimestre, sin embargo se reprogramaron acciones para agilizar el tema por la importancia que reviste la red de controladores.  
En este sentido se activó la redes en 5 departamentos adelantando lo que se tenía planeado para meses siguientes.  La meta anual es de 10 departamentos con red activada.​
Se adjunta: Carpeta compartida con  subcarpetas por departamento donde se activó la red de controladores.  En cada subcarpeta pueden verse actas, listas de asistencia entre otras evidencias que enmarcan la activación de la red en cada uno de estos territorios.
La red de controladores se ha activado en 5 nuevos departamentos de acuerdo a lo planeado.  Como la meta es 10 para el año, haber avanzado con 5 este primer trimestre se considera un buen reporte.  Estos departamentos son:
* Caldas * Risaralda * Quindío * Boyacá * Guajira
Adicionalmente se adjunta evidencia de una reunión de articulación de la red a nivel nacional.
</t>
  </si>
  <si>
    <t xml:space="preserve">​Se realizan los 4 seguimientos programados para el período.  Estos se realizaron a:
* Dosquebradas  * Villavicencio  * Puerto Asís * Amazonas.  
Se adjuntan los Oficios que se radicaron a los respectivos secretarios de salud.
Frente al Oficio de Amazonas, debe tenerse en cuenta que si bien el asunto es "
"Convocatoria Mesa de Inspección y Vigilancia al Departamento de Amazonas– Secretaría Departamental de Salud.", esta mesa se hace con el propósito de "
hacer seguimiento a los incumplimientos identificados en el marco de auditoría específica y mesa de trabajo realizada frente a los componentes de salud pública, financiamiento, acceso y garantía de la calidad, y análisis y evaluación. "  
Es decir, es una mesa de inspección y vigilancioa cuyo objeto es hacer seguimiento a una auditoría.
Igualmente en los otros oficios también puede evidenciarse que se hacen los respectivos seguimeintos a las auditorías.  
Los oficios muestran que se realizaron los seguimientos.  Si se desea revisar todos los adjuntos de los mismos, esto puede hacerse en super argo con los numeros de radicado.      
</t>
  </si>
  <si>
    <t xml:space="preserve">​Los funcionarios responsables del componente ambiental del Grupo de Recursos Físicos realizaron el seguimiento y aseguraron el cumplimiento oportuno de las actividades establecidas en el cronograma de hitos ambientales del Sistema de Gestión Ambiental, con corte a diciembre de 2025. Todas las actividades programadas fueron ejecutadas con el objetivo de optimizar el desempeño del Sistema de Gestión Ambiental, conforme a los lineamientos de la norma ISO 14001:2015.
Estas acciones buscan fortalecer la implementación del Sistema de Gestión Ambiental, promoviendo su consolidación y madurez dentro de la organización. Se generaron y cargaron en el aplicativo correspondiente las evidencias de cada actividad ejecutada. En total, se llevaron a cabo las 13 actividades previstas, alcanzando un avance del 100% según la planeación establecida en el cronograma para un total de 63 actividades.
</t>
  </si>
  <si>
    <t xml:space="preserve">​Durante el cuarto trimestre, el grupo de Recursos de la Dirección Administrativa, adscrito a la Secretaría General, adelantó las siguientes acciones orientadas al fortalecimiento del cuidado y control de los bienes públicos:Socialización institucional: Se realizó una socialización mediante correo electrónico, a todos los funcionarios de la Superintendencia Nacional de Salud, enfocada en la promoción del cuidado de los bienes públicos y la responsabilidad que implica su uso adecuado.
 Adjunto:  
1. "Cuidemos los bienes públicos.pdf
2.Evidencia pieza grafica "
 Sensibilización: Se llevó a cabo una sesión de sensibilización dirigidas a funcionarios y contratistas sobre el cuidado y control de los bienes de la entidad, abordando el uso responsable de estos activos y el manejo del aplicativo "Aplica".
Adjunto: Asistencia capacitación sobre el control y cuidado de los bienes Presentación Socialización Cuidado De Bienes
Estas actividades contribuyen al fortalecimiento de la cultura institucional en torno al uso responsable de los bienes públicos, promoviendo el conocimiento y cumplimiento de las obligaciones por parte de los servidores públicos y contratistas.
</t>
  </si>
  <si>
    <t>(Corte 31-10-2025) Fecha Reporte de datos:</t>
  </si>
  <si>
    <t>OBSERVACIONES: Se expidieron 1429 actos adminsitrativos a partir de las 401 solicitudes tramitadas en la vigencia,  estableció que por cada solicitud de investigación aceptada se emiten en promedio 3 actos administrativos; al revisar la redacción de los análisis se encuentra un aparente sobrecumplimiento, sin embargo por la forma en que se formulo el indicador realmente no es concordante con la meta, se sugiere que este indicador se evalué como un índice o tasa.</t>
  </si>
  <si>
    <t>OBSERVACIONES: Se cerraron 71 de las 77 brechas identificadas en la vigencia 2025 es decir 97,3 82%, con sobrecumplimiento de121% con respecto de la meta porcentual establecida para 2025</t>
  </si>
  <si>
    <t>OBSERVACIONES: Se han realizado 8 actividades del PTRSyPI, con cumplimiento la meta de establecida para 2025.
Se presentan inconsistencia en los datos reportados que se ajusta teniendo en cuenta la evidencias aportada en el SharePoint de PAG 2025.</t>
  </si>
  <si>
    <t>OBSERVACIONES: El reporte de datos presenta inconsistencia, toda vez que debía reportarse el avance porcentual acumulado, de forma tal que se pueda evidenciar el porcentaje de implementación del Sistema de Gestión de Innovación, Se anexa un Borrador de un Programa de Gestión del Conocimiento y la innovación que no usa adecuadamente membretes de referencia de SIG.
Se presentan inconsistencia en los datos reportados que se ajusta teniendo en cuenta la evidencias aportada en el SharePoint de PAG 2025. Se indica que se cumplió el 100% de las actividades que según cronograma son 19, se reportar el dato pero no es posible validarlo</t>
  </si>
  <si>
    <t xml:space="preserve">OBSERVACIONES: Se reporto el cumplimiento del 100% del Sistema de Gestión de innovación, relacionando un total de no se evidencia un cronograma de actividades que permita verificar el avance en la implementación del “Programa de Gestión del conocimiento”. </t>
  </si>
  <si>
    <t>OBSERVACIONES: Se han ejecutado un total de 16 actividades para la implementación de la política de integridad con cumplimiento la meta porcentual de 100% para 2025.</t>
  </si>
  <si>
    <t xml:space="preserve">Oficina Liquidaciones </t>
  </si>
  <si>
    <t>OBSERVACIONES: Se han realizado 97 caracterizaciones a la fecha de Gestores farmacéuticos del componente financiero, con cumplimiento la meta de 100% establecida para 2025.
No se presentan observaciones sobre el reporte de datos realizado en el SharePoint de PAG 2025</t>
  </si>
  <si>
    <t>OBSERVACIONES: Se han generado 1640 radicados de salida en SuperArgo, con sobrecumplimiento la meta de 1600 de establecida para 2025. Se presentaron observaciones desde la OAP sobre el reporte de datos realizado en el SharePoint de PAG 2025, sin embargo el área informa de ajustes en el reporte,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</si>
</sst>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43" formatCode="_-* #,##0.00_-;\-* #,##0.00_-;_-* &quot;-&quot;??_-;_-@_-"/>
    <numFmt numFmtId="164" formatCode="_-&quot;$&quot;* #,##0.00_-;\-&quot;$&quot;* #,##0.00_-;_-&quot;$&quot;* &quot;-&quot;??_-;_-@_-"/>
    <numFmt numFmtId="165" formatCode="&quot;$&quot;#,##0"/>
    <numFmt numFmtId="166" formatCode="_-* #,##0_-;\-* #,##0_-;_-* &quot;-&quot;??_-;_-@_-"/>
    <numFmt numFmtId="167" formatCode="0.0"/>
    <numFmt numFmtId="168" formatCode="_-* #,##0.0_-;\-* #,##0.0_-;_-* &quot;-&quot;??_-;_-@_-"/>
    <numFmt numFmtId="169" formatCode="0.0%"/>
    <numFmt numFmtId="170" formatCode="_-* #,##0.0000_-;\-* #,##0.0000_-;_-* &quot;-&quot;??_-;_-@_-"/>
    <numFmt numFmtId="171" formatCode="_-* #,##0.000_-;\-* #,##0.000_-;_-* &quot;-&quot;??_-;_-@_-"/>
  </numFmts>
  <fonts count="65">
    <font>
      <sz val="11"/>
      <color indexed="8"/>
      <name val="Arial1"/>
    </font>
    <font>
      <sz val="11"/>
      <color theme="1"/>
      <name val="Calibri"/>
      <family val="2"/>
      <scheme val="minor"/>
    </font>
    <font>
      <sz val="11"/>
      <color theme="1"/>
      <name val="Calibri"/>
      <family val="2"/>
      <scheme val="minor"/>
    </font>
    <font>
      <sz val="11"/>
      <color theme="1"/>
      <name val="Calibri"/>
      <family val="2"/>
      <scheme val="minor"/>
    </font>
    <font>
      <b/>
      <sz val="10"/>
      <color indexed="8"/>
      <name val="Arial1"/>
    </font>
    <font>
      <sz val="9"/>
      <color indexed="8"/>
      <name val="Arial1"/>
    </font>
    <font>
      <sz val="10"/>
      <color indexed="8"/>
      <name val="Arial1"/>
    </font>
    <font>
      <sz val="8"/>
      <color indexed="8"/>
      <name val="Arial1"/>
    </font>
    <font>
      <b/>
      <sz val="11"/>
      <color indexed="8"/>
      <name val="Arial1"/>
    </font>
    <font>
      <b/>
      <sz val="9"/>
      <color indexed="8"/>
      <name val="Arial1"/>
    </font>
    <font>
      <b/>
      <sz val="8"/>
      <color indexed="8"/>
      <name val="Arial1"/>
    </font>
    <font>
      <b/>
      <sz val="9"/>
      <color indexed="8"/>
      <name val="Arial"/>
      <family val="2"/>
    </font>
    <font>
      <b/>
      <sz val="11"/>
      <color indexed="18"/>
      <name val="Arial1"/>
    </font>
    <font>
      <b/>
      <sz val="10"/>
      <color rgb="FF00000A"/>
      <name val="Arial1"/>
    </font>
    <font>
      <b/>
      <sz val="16"/>
      <color indexed="8"/>
      <name val="Arial1"/>
    </font>
    <font>
      <u/>
      <sz val="11"/>
      <color theme="10"/>
      <name val="Arial1"/>
    </font>
    <font>
      <sz val="11"/>
      <color theme="1"/>
      <name val="Arial1"/>
    </font>
    <font>
      <b/>
      <sz val="18"/>
      <color theme="1"/>
      <name val="Arial1"/>
    </font>
    <font>
      <b/>
      <sz val="12"/>
      <color theme="1"/>
      <name val="Arial1"/>
    </font>
    <font>
      <b/>
      <sz val="20"/>
      <color theme="1"/>
      <name val="Arial1"/>
    </font>
    <font>
      <b/>
      <sz val="12"/>
      <color indexed="8"/>
      <name val="Arial1"/>
    </font>
    <font>
      <b/>
      <sz val="12"/>
      <color theme="0"/>
      <name val="Arial"/>
      <family val="2"/>
    </font>
    <font>
      <b/>
      <sz val="12"/>
      <color indexed="8"/>
      <name val="Arial"/>
      <family val="2"/>
    </font>
    <font>
      <sz val="12"/>
      <color indexed="8"/>
      <name val="Arial"/>
      <family val="2"/>
    </font>
    <font>
      <b/>
      <sz val="12"/>
      <name val="Arial"/>
      <family val="2"/>
    </font>
    <font>
      <sz val="12"/>
      <name val="Arial"/>
      <family val="2"/>
    </font>
    <font>
      <sz val="9"/>
      <color indexed="81"/>
      <name val="Tahoma"/>
      <family val="2"/>
    </font>
    <font>
      <b/>
      <sz val="9"/>
      <color indexed="81"/>
      <name val="Tahoma"/>
      <family val="2"/>
    </font>
    <font>
      <sz val="10"/>
      <color indexed="8"/>
      <name val="Arial"/>
      <family val="2"/>
    </font>
    <font>
      <sz val="11"/>
      <color indexed="8"/>
      <name val="Arial"/>
      <family val="2"/>
    </font>
    <font>
      <sz val="9"/>
      <color indexed="8"/>
      <name val="Arial"/>
      <family val="2"/>
    </font>
    <font>
      <b/>
      <sz val="10"/>
      <color indexed="8"/>
      <name val="Arial"/>
      <family val="2"/>
    </font>
    <font>
      <b/>
      <sz val="11"/>
      <color theme="0"/>
      <name val="Arial"/>
      <family val="2"/>
    </font>
    <font>
      <b/>
      <sz val="11"/>
      <color indexed="8"/>
      <name val="Arial"/>
      <family val="2"/>
    </font>
    <font>
      <sz val="11"/>
      <color rgb="FF000000"/>
      <name val="Arial"/>
      <family val="2"/>
    </font>
    <font>
      <sz val="11"/>
      <color indexed="8"/>
      <name val="Arial1"/>
    </font>
    <font>
      <sz val="10"/>
      <color theme="1"/>
      <name val="Arial"/>
      <family val="2"/>
    </font>
    <font>
      <sz val="10"/>
      <name val="Arial"/>
      <family val="2"/>
    </font>
    <font>
      <b/>
      <sz val="10"/>
      <name val="Arial"/>
      <family val="2"/>
    </font>
    <font>
      <sz val="10"/>
      <color rgb="FF000000"/>
      <name val="Arial"/>
      <family val="2"/>
    </font>
    <font>
      <sz val="10"/>
      <color theme="0"/>
      <name val="Arial"/>
      <family val="2"/>
    </font>
    <font>
      <b/>
      <sz val="10"/>
      <color theme="1"/>
      <name val="Arial"/>
      <family val="2"/>
    </font>
    <font>
      <b/>
      <sz val="10"/>
      <color theme="0"/>
      <name val="Arial Narrow"/>
      <family val="2"/>
    </font>
    <font>
      <sz val="10"/>
      <color theme="1"/>
      <name val="Arial Narrow"/>
      <family val="2"/>
    </font>
    <font>
      <sz val="8"/>
      <name val="Arial1"/>
    </font>
    <font>
      <b/>
      <sz val="10"/>
      <color theme="1"/>
      <name val="Arial Narrow"/>
      <family val="2"/>
    </font>
    <font>
      <sz val="9"/>
      <color indexed="8"/>
      <name val="Arial Narrow"/>
      <family val="2"/>
    </font>
    <font>
      <b/>
      <sz val="9"/>
      <color indexed="8"/>
      <name val="Arial Narrow"/>
      <family val="2"/>
    </font>
    <font>
      <b/>
      <sz val="8"/>
      <color indexed="8"/>
      <name val="Arial Narrow"/>
      <family val="2"/>
    </font>
    <font>
      <sz val="8"/>
      <color indexed="8"/>
      <name val="Arial Narrow"/>
      <family val="2"/>
    </font>
    <font>
      <b/>
      <sz val="10"/>
      <color indexed="8"/>
      <name val="Arial Narrow"/>
      <family val="2"/>
    </font>
    <font>
      <sz val="10"/>
      <color indexed="8"/>
      <name val="Arial Narrow"/>
      <family val="2"/>
    </font>
    <font>
      <sz val="7.5"/>
      <color indexed="8"/>
      <name val="Arial Narrow"/>
      <family val="2"/>
    </font>
    <font>
      <sz val="9"/>
      <color rgb="FF000000"/>
      <name val="Arial"/>
      <family val="2"/>
    </font>
    <font>
      <sz val="10"/>
      <color rgb="FFFF0000"/>
      <name val="Arial"/>
      <family val="2"/>
    </font>
    <font>
      <sz val="10"/>
      <color theme="4"/>
      <name val="Arial"/>
      <family val="2"/>
    </font>
    <font>
      <sz val="8"/>
      <name val="Arial"/>
      <family val="2"/>
    </font>
    <font>
      <sz val="10"/>
      <color theme="5" tint="-0.249977111117893"/>
      <name val="Arial"/>
      <family val="2"/>
    </font>
    <font>
      <sz val="10"/>
      <color rgb="FF00B050"/>
      <name val="Arial"/>
      <family val="2"/>
    </font>
    <font>
      <b/>
      <sz val="11.5"/>
      <color rgb="FFFFFFFF"/>
      <name val="Calibri Light"/>
      <family val="2"/>
    </font>
    <font>
      <sz val="11.5"/>
      <color rgb="FF595959"/>
      <name val="Calibri Light"/>
      <family val="2"/>
    </font>
    <font>
      <sz val="10"/>
      <color rgb="FF0070C0"/>
      <name val="Arial"/>
      <family val="2"/>
    </font>
    <font>
      <sz val="9"/>
      <color theme="1"/>
      <name val="Arial"/>
      <family val="2"/>
    </font>
    <font>
      <sz val="8"/>
      <color indexed="8"/>
      <name val="Arial"/>
      <family val="2"/>
    </font>
    <font>
      <sz val="10"/>
      <color rgb="FF388600"/>
      <name val="Arial"/>
      <family val="2"/>
    </font>
  </fonts>
  <fills count="18">
    <fill>
      <patternFill patternType="none"/>
    </fill>
    <fill>
      <patternFill patternType="gray125"/>
    </fill>
    <fill>
      <patternFill patternType="solid">
        <fgColor rgb="FF92D050"/>
        <bgColor indexed="45"/>
      </patternFill>
    </fill>
    <fill>
      <patternFill patternType="solid">
        <fgColor rgb="FF92D050"/>
        <bgColor indexed="64"/>
      </patternFill>
    </fill>
    <fill>
      <patternFill patternType="solid">
        <fgColor theme="0"/>
        <bgColor indexed="64"/>
      </patternFill>
    </fill>
    <fill>
      <patternFill patternType="solid">
        <fgColor rgb="FF00723F"/>
        <bgColor indexed="45"/>
      </patternFill>
    </fill>
    <fill>
      <patternFill patternType="solid">
        <fgColor rgb="FF00723F"/>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rgb="FF32B4A8"/>
        <bgColor indexed="64"/>
      </patternFill>
    </fill>
    <fill>
      <patternFill patternType="solid">
        <fgColor rgb="FFFFFF00"/>
        <bgColor indexed="64"/>
      </patternFill>
    </fill>
    <fill>
      <patternFill patternType="solid">
        <fgColor rgb="FF227870"/>
        <bgColor indexed="64"/>
      </patternFill>
    </fill>
    <fill>
      <patternFill patternType="solid">
        <fgColor theme="0" tint="-4.9989318521683403E-2"/>
        <bgColor indexed="64"/>
      </patternFill>
    </fill>
    <fill>
      <patternFill patternType="solid">
        <fgColor rgb="FFE1E1E1"/>
        <bgColor indexed="64"/>
      </patternFill>
    </fill>
    <fill>
      <patternFill patternType="solid">
        <fgColor rgb="FFFF0000"/>
        <bgColor indexed="64"/>
      </patternFill>
    </fill>
    <fill>
      <patternFill patternType="solid">
        <fgColor theme="8"/>
        <bgColor indexed="64"/>
      </patternFill>
    </fill>
    <fill>
      <patternFill patternType="solid">
        <fgColor theme="4" tint="0.79998168889431442"/>
        <bgColor indexed="64"/>
      </patternFill>
    </fill>
    <fill>
      <patternFill patternType="solid">
        <fgColor rgb="FF00FFFF"/>
        <bgColor indexed="64"/>
      </patternFill>
    </fill>
  </fills>
  <borders count="72">
    <border>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hair">
        <color indexed="8"/>
      </right>
      <top style="medium">
        <color indexed="64"/>
      </top>
      <bottom/>
      <diagonal/>
    </border>
    <border>
      <left/>
      <right/>
      <top style="hair">
        <color indexed="8"/>
      </top>
      <bottom/>
      <diagonal/>
    </border>
    <border>
      <left/>
      <right style="hair">
        <color indexed="8"/>
      </right>
      <top/>
      <bottom style="hair">
        <color indexed="8"/>
      </bottom>
      <diagonal/>
    </border>
    <border>
      <left/>
      <right/>
      <top/>
      <bottom style="hair">
        <color indexed="8"/>
      </bottom>
      <diagonal/>
    </border>
    <border>
      <left/>
      <right style="medium">
        <color indexed="64"/>
      </right>
      <top/>
      <bottom style="hair">
        <color indexed="8"/>
      </bottom>
      <diagonal/>
    </border>
    <border>
      <left/>
      <right style="hair">
        <color indexed="8"/>
      </right>
      <top/>
      <bottom/>
      <diagonal/>
    </border>
    <border>
      <left/>
      <right style="hair">
        <color indexed="8"/>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tted">
        <color indexed="64"/>
      </left>
      <right style="dotted">
        <color indexed="64"/>
      </right>
      <top style="dotted">
        <color indexed="64"/>
      </top>
      <bottom style="dotted">
        <color indexed="64"/>
      </bottom>
      <diagonal/>
    </border>
    <border>
      <left/>
      <right style="thin">
        <color rgb="FF34B5A9"/>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s>
  <cellStyleXfs count="11">
    <xf numFmtId="0" fontId="0" fillId="0" borderId="0"/>
    <xf numFmtId="0" fontId="15" fillId="0" borderId="0" applyNumberForma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164" fontId="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854">
    <xf numFmtId="0" fontId="0" fillId="0" borderId="0" xfId="0"/>
    <xf numFmtId="0" fontId="5" fillId="0" borderId="0" xfId="0" applyFont="1"/>
    <xf numFmtId="0" fontId="9" fillId="0" borderId="46" xfId="0" applyFont="1" applyBorder="1" applyAlignment="1">
      <alignment horizontal="center" vertical="center" wrapText="1"/>
    </xf>
    <xf numFmtId="0" fontId="10" fillId="0" borderId="54" xfId="0" applyFont="1" applyBorder="1" applyAlignment="1">
      <alignment horizontal="center" vertical="center" wrapText="1"/>
    </xf>
    <xf numFmtId="1" fontId="7" fillId="0" borderId="3" xfId="0" applyNumberFormat="1" applyFont="1" applyBorder="1" applyAlignment="1" applyProtection="1">
      <alignment horizontal="center" vertical="center"/>
      <protection locked="0"/>
    </xf>
    <xf numFmtId="1" fontId="7" fillId="0" borderId="55" xfId="0" applyNumberFormat="1" applyFont="1" applyBorder="1" applyAlignment="1" applyProtection="1">
      <alignment horizontal="center" vertical="center"/>
      <protection locked="0"/>
    </xf>
    <xf numFmtId="1" fontId="7" fillId="0" borderId="44" xfId="0" applyNumberFormat="1" applyFont="1" applyBorder="1" applyAlignment="1" applyProtection="1">
      <alignment horizontal="center" vertical="center"/>
      <protection locked="0"/>
    </xf>
    <xf numFmtId="0" fontId="10" fillId="0" borderId="18" xfId="0" applyFont="1" applyBorder="1" applyAlignment="1">
      <alignment horizontal="center" vertical="center"/>
    </xf>
    <xf numFmtId="0" fontId="10" fillId="0" borderId="19" xfId="0" applyFont="1" applyBorder="1" applyAlignment="1">
      <alignment horizontal="center" wrapText="1"/>
    </xf>
    <xf numFmtId="0" fontId="7" fillId="0" borderId="22" xfId="0" applyFont="1" applyBorder="1" applyAlignment="1">
      <alignment horizontal="center" vertical="center"/>
    </xf>
    <xf numFmtId="9" fontId="7" fillId="0" borderId="3" xfId="0" applyNumberFormat="1" applyFont="1" applyBorder="1" applyAlignment="1">
      <alignment horizontal="center" vertical="center"/>
    </xf>
    <xf numFmtId="10" fontId="7" fillId="0" borderId="4" xfId="0" applyNumberFormat="1" applyFont="1" applyBorder="1" applyAlignment="1">
      <alignment horizontal="center" vertical="center"/>
    </xf>
    <xf numFmtId="0" fontId="10" fillId="0" borderId="4" xfId="0" applyFont="1" applyBorder="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6" fillId="0" borderId="0" xfId="0" applyFont="1"/>
    <xf numFmtId="0" fontId="5" fillId="0" borderId="0" xfId="0" applyFont="1" applyAlignment="1">
      <alignment horizontal="left"/>
    </xf>
    <xf numFmtId="0" fontId="9" fillId="0" borderId="0" xfId="0" applyFont="1" applyAlignment="1" applyProtection="1">
      <alignment vertical="top" wrapText="1"/>
      <protection locked="0"/>
    </xf>
    <xf numFmtId="0" fontId="7" fillId="0" borderId="4" xfId="0" applyFont="1" applyBorder="1"/>
    <xf numFmtId="1" fontId="7" fillId="0" borderId="26" xfId="0" applyNumberFormat="1" applyFont="1" applyBorder="1" applyAlignment="1" applyProtection="1">
      <alignment horizontal="center" vertical="center"/>
      <protection locked="0"/>
    </xf>
    <xf numFmtId="0" fontId="7" fillId="0" borderId="1" xfId="0" applyFont="1" applyBorder="1"/>
    <xf numFmtId="0" fontId="10" fillId="0" borderId="19" xfId="0" applyFont="1" applyBorder="1" applyAlignment="1">
      <alignment horizontal="center" vertical="center" wrapText="1"/>
    </xf>
    <xf numFmtId="0" fontId="10" fillId="0" borderId="19" xfId="0" applyFont="1" applyBorder="1" applyAlignment="1">
      <alignment horizontal="center" vertical="center"/>
    </xf>
    <xf numFmtId="0" fontId="5" fillId="4" borderId="0" xfId="0" applyFont="1" applyFill="1"/>
    <xf numFmtId="0" fontId="6" fillId="4" borderId="0" xfId="0" applyFont="1" applyFill="1"/>
    <xf numFmtId="0" fontId="5" fillId="4" borderId="0" xfId="0" applyFont="1" applyFill="1" applyAlignment="1">
      <alignment horizontal="left"/>
    </xf>
    <xf numFmtId="0" fontId="9" fillId="4" borderId="0" xfId="0" applyFont="1" applyFill="1" applyAlignment="1" applyProtection="1">
      <alignment vertical="top" wrapText="1"/>
      <protection locked="0"/>
    </xf>
    <xf numFmtId="0" fontId="7" fillId="0" borderId="51" xfId="0" applyFont="1" applyBorder="1" applyAlignment="1">
      <alignment horizontal="center" vertical="center"/>
    </xf>
    <xf numFmtId="9" fontId="7" fillId="0" borderId="63" xfId="0" applyNumberFormat="1" applyFont="1" applyBorder="1" applyAlignment="1">
      <alignment horizontal="center" vertical="center"/>
    </xf>
    <xf numFmtId="0" fontId="7" fillId="0" borderId="29" xfId="0" applyFont="1" applyBorder="1" applyAlignment="1">
      <alignment horizontal="center" vertical="center"/>
    </xf>
    <xf numFmtId="9" fontId="7" fillId="0" borderId="30" xfId="0" applyNumberFormat="1" applyFont="1" applyBorder="1" applyAlignment="1">
      <alignment horizontal="center" vertical="center"/>
    </xf>
    <xf numFmtId="9" fontId="7" fillId="0" borderId="64" xfId="0" applyNumberFormat="1" applyFont="1" applyBorder="1" applyAlignment="1">
      <alignment horizontal="center" vertical="center"/>
    </xf>
    <xf numFmtId="0" fontId="7" fillId="0" borderId="0" xfId="0" applyFont="1"/>
    <xf numFmtId="0" fontId="10" fillId="0" borderId="0" xfId="0" applyFont="1" applyAlignment="1">
      <alignment horizontal="center" vertical="center"/>
    </xf>
    <xf numFmtId="0" fontId="10" fillId="0" borderId="0" xfId="0" applyFont="1" applyAlignment="1">
      <alignment horizontal="center"/>
    </xf>
    <xf numFmtId="10" fontId="7" fillId="0" borderId="0" xfId="0" applyNumberFormat="1" applyFont="1" applyAlignment="1">
      <alignment horizontal="center" vertical="center"/>
    </xf>
    <xf numFmtId="0" fontId="0" fillId="4" borderId="0" xfId="0" applyFill="1"/>
    <xf numFmtId="0" fontId="0" fillId="4" borderId="0" xfId="0" applyFill="1" applyAlignment="1">
      <alignment vertical="center"/>
    </xf>
    <xf numFmtId="0" fontId="0" fillId="4" borderId="6" xfId="0" applyFill="1" applyBorder="1"/>
    <xf numFmtId="0" fontId="0" fillId="4" borderId="1" xfId="0" applyFill="1" applyBorder="1"/>
    <xf numFmtId="0" fontId="0" fillId="4" borderId="2" xfId="0" applyFill="1" applyBorder="1"/>
    <xf numFmtId="0" fontId="0" fillId="4" borderId="7" xfId="0" applyFill="1" applyBorder="1"/>
    <xf numFmtId="0" fontId="0" fillId="4" borderId="8" xfId="0" applyFill="1" applyBorder="1"/>
    <xf numFmtId="0" fontId="0" fillId="4" borderId="9" xfId="0" applyFill="1" applyBorder="1"/>
    <xf numFmtId="0" fontId="0" fillId="4" borderId="4" xfId="0" applyFill="1" applyBorder="1"/>
    <xf numFmtId="0" fontId="0" fillId="4" borderId="5" xfId="0" applyFill="1" applyBorder="1"/>
    <xf numFmtId="0" fontId="0" fillId="4" borderId="7" xfId="0" applyFill="1" applyBorder="1" applyAlignment="1">
      <alignment vertical="center"/>
    </xf>
    <xf numFmtId="0" fontId="0" fillId="4" borderId="8" xfId="0" applyFill="1" applyBorder="1" applyAlignment="1">
      <alignment vertical="center"/>
    </xf>
    <xf numFmtId="0" fontId="16" fillId="4" borderId="0" xfId="0" applyFont="1" applyFill="1"/>
    <xf numFmtId="0" fontId="16" fillId="4" borderId="1" xfId="0" applyFont="1" applyFill="1" applyBorder="1"/>
    <xf numFmtId="0" fontId="18" fillId="4" borderId="0" xfId="1" applyFont="1" applyFill="1" applyBorder="1" applyAlignment="1">
      <alignment vertical="center" wrapText="1"/>
    </xf>
    <xf numFmtId="0" fontId="0" fillId="4" borderId="0" xfId="0" applyFill="1" applyAlignment="1">
      <alignment horizontal="left"/>
    </xf>
    <xf numFmtId="0" fontId="0" fillId="4" borderId="1" xfId="0" applyFill="1" applyBorder="1" applyAlignment="1">
      <alignment horizontal="left"/>
    </xf>
    <xf numFmtId="0" fontId="14" fillId="4" borderId="0" xfId="0" applyFont="1" applyFill="1" applyAlignment="1">
      <alignment horizontal="left"/>
    </xf>
    <xf numFmtId="0" fontId="0" fillId="4" borderId="4" xfId="0" applyFill="1" applyBorder="1" applyAlignment="1">
      <alignment horizontal="left"/>
    </xf>
    <xf numFmtId="0" fontId="0" fillId="0" borderId="0" xfId="0" applyAlignment="1">
      <alignment horizontal="left"/>
    </xf>
    <xf numFmtId="0" fontId="15" fillId="4" borderId="66" xfId="1" applyFill="1" applyBorder="1" applyAlignment="1">
      <alignment horizontal="center" vertical="center"/>
    </xf>
    <xf numFmtId="0" fontId="30" fillId="0" borderId="0" xfId="0" applyFont="1"/>
    <xf numFmtId="0" fontId="28" fillId="0" borderId="0" xfId="0" applyFont="1"/>
    <xf numFmtId="0" fontId="30" fillId="0" borderId="0" xfId="0" applyFont="1" applyAlignment="1">
      <alignment horizontal="left"/>
    </xf>
    <xf numFmtId="0" fontId="0" fillId="7" borderId="66" xfId="0" applyFill="1" applyBorder="1" applyAlignment="1">
      <alignment vertical="center" wrapText="1"/>
    </xf>
    <xf numFmtId="0" fontId="0" fillId="7" borderId="66" xfId="0" applyFill="1" applyBorder="1" applyAlignment="1">
      <alignment wrapText="1"/>
    </xf>
    <xf numFmtId="0" fontId="0" fillId="4" borderId="67" xfId="0" applyFill="1" applyBorder="1" applyAlignment="1">
      <alignment vertical="center"/>
    </xf>
    <xf numFmtId="0" fontId="17" fillId="4" borderId="0" xfId="0" applyFont="1" applyFill="1" applyAlignment="1">
      <alignment wrapText="1"/>
    </xf>
    <xf numFmtId="0" fontId="16" fillId="4" borderId="0" xfId="0" applyFont="1" applyFill="1" applyAlignment="1">
      <alignment wrapText="1"/>
    </xf>
    <xf numFmtId="0" fontId="16" fillId="4" borderId="0" xfId="0" applyFont="1" applyFill="1" applyAlignment="1">
      <alignment vertical="center" wrapText="1"/>
    </xf>
    <xf numFmtId="0" fontId="18" fillId="8" borderId="65" xfId="1" applyFont="1" applyFill="1" applyBorder="1" applyAlignment="1">
      <alignment vertical="center" wrapText="1"/>
    </xf>
    <xf numFmtId="0" fontId="0" fillId="4" borderId="42" xfId="0" applyFill="1" applyBorder="1"/>
    <xf numFmtId="0" fontId="28" fillId="0" borderId="0" xfId="0" applyFont="1" applyAlignment="1">
      <alignment vertical="top"/>
    </xf>
    <xf numFmtId="0" fontId="42" fillId="9" borderId="3" xfId="0" applyFont="1" applyFill="1" applyBorder="1" applyAlignment="1">
      <alignment vertical="top" wrapText="1"/>
    </xf>
    <xf numFmtId="44" fontId="42" fillId="9" borderId="68" xfId="4" applyFont="1" applyFill="1" applyBorder="1" applyAlignment="1" applyProtection="1">
      <alignment vertical="top" wrapText="1"/>
    </xf>
    <xf numFmtId="0" fontId="43" fillId="0" borderId="0" xfId="0" applyFont="1" applyAlignment="1">
      <alignment vertical="top"/>
    </xf>
    <xf numFmtId="0" fontId="42" fillId="9" borderId="3" xfId="0" applyFont="1" applyFill="1" applyBorder="1" applyAlignment="1">
      <alignment horizontal="center" vertical="top" wrapText="1"/>
    </xf>
    <xf numFmtId="44" fontId="42" fillId="9" borderId="3" xfId="4" applyFont="1" applyFill="1" applyBorder="1" applyAlignment="1" applyProtection="1">
      <alignment vertical="top" wrapText="1"/>
    </xf>
    <xf numFmtId="44" fontId="42" fillId="9" borderId="3" xfId="4" applyFont="1" applyFill="1" applyBorder="1" applyAlignment="1" applyProtection="1">
      <alignment horizontal="center" vertical="top" wrapText="1"/>
    </xf>
    <xf numFmtId="0" fontId="36" fillId="0" borderId="3" xfId="0" applyFont="1" applyBorder="1" applyAlignment="1" applyProtection="1">
      <alignment horizontal="center" vertical="top" wrapText="1"/>
      <protection locked="0"/>
    </xf>
    <xf numFmtId="0" fontId="37" fillId="0" borderId="3" xfId="0" applyFont="1" applyBorder="1" applyAlignment="1" applyProtection="1">
      <alignment horizontal="center" vertical="top" wrapText="1"/>
      <protection locked="0"/>
    </xf>
    <xf numFmtId="0" fontId="37" fillId="0" borderId="3" xfId="0" applyFont="1" applyBorder="1" applyAlignment="1">
      <alignment horizontal="center" vertical="top" wrapText="1"/>
    </xf>
    <xf numFmtId="9" fontId="37" fillId="0" borderId="3" xfId="0" applyNumberFormat="1" applyFont="1" applyBorder="1" applyAlignment="1">
      <alignment horizontal="center" vertical="top" wrapText="1"/>
    </xf>
    <xf numFmtId="9" fontId="37" fillId="0" borderId="3" xfId="0" applyNumberFormat="1" applyFont="1" applyBorder="1" applyAlignment="1" applyProtection="1">
      <alignment horizontal="center" vertical="top" wrapText="1"/>
      <protection locked="0"/>
    </xf>
    <xf numFmtId="9" fontId="37" fillId="0" borderId="3" xfId="2" applyFont="1" applyFill="1" applyBorder="1" applyAlignment="1" applyProtection="1">
      <alignment horizontal="center" vertical="top" wrapText="1"/>
      <protection locked="0"/>
    </xf>
    <xf numFmtId="1" fontId="37" fillId="0" borderId="3" xfId="0" applyNumberFormat="1" applyFont="1" applyBorder="1" applyAlignment="1" applyProtection="1">
      <alignment horizontal="center" vertical="top" wrapText="1"/>
      <protection locked="0"/>
    </xf>
    <xf numFmtId="0" fontId="37" fillId="0" borderId="3" xfId="0" applyFont="1" applyBorder="1" applyAlignment="1" applyProtection="1">
      <alignment horizontal="center" vertical="top"/>
      <protection locked="0"/>
    </xf>
    <xf numFmtId="0" fontId="37" fillId="0" borderId="0" xfId="0" applyFont="1" applyAlignment="1" applyProtection="1">
      <alignment horizontal="center" vertical="top"/>
      <protection locked="0"/>
    </xf>
    <xf numFmtId="0" fontId="36" fillId="0" borderId="3" xfId="0" applyFont="1" applyBorder="1" applyAlignment="1">
      <alignment horizontal="center" vertical="top" wrapText="1"/>
    </xf>
    <xf numFmtId="1" fontId="37" fillId="0" borderId="3" xfId="2" applyNumberFormat="1" applyFont="1" applyFill="1" applyBorder="1" applyAlignment="1" applyProtection="1">
      <alignment horizontal="center" vertical="top" wrapText="1"/>
      <protection locked="0"/>
    </xf>
    <xf numFmtId="0" fontId="37" fillId="0" borderId="3" xfId="0" applyFont="1" applyBorder="1" applyAlignment="1" applyProtection="1">
      <alignment vertical="top" wrapText="1"/>
      <protection locked="0"/>
    </xf>
    <xf numFmtId="44" fontId="37" fillId="0" borderId="3" xfId="4" applyFont="1" applyFill="1" applyBorder="1" applyAlignment="1" applyProtection="1">
      <alignment horizontal="center" vertical="top"/>
      <protection locked="0"/>
    </xf>
    <xf numFmtId="0" fontId="37" fillId="0" borderId="3" xfId="0" applyFont="1" applyBorder="1" applyAlignment="1">
      <alignment horizontal="center" vertical="top"/>
    </xf>
    <xf numFmtId="44" fontId="39" fillId="0" borderId="3" xfId="4" applyFont="1" applyFill="1" applyBorder="1" applyAlignment="1" applyProtection="1">
      <alignment horizontal="center" vertical="top"/>
      <protection locked="0"/>
    </xf>
    <xf numFmtId="165" fontId="37" fillId="0" borderId="3" xfId="0" applyNumberFormat="1" applyFont="1" applyBorder="1" applyAlignment="1" applyProtection="1">
      <alignment horizontal="center" vertical="top" wrapText="1"/>
      <protection locked="0"/>
    </xf>
    <xf numFmtId="0" fontId="39" fillId="0" borderId="3" xfId="0" applyFont="1" applyBorder="1" applyAlignment="1" applyProtection="1">
      <alignment horizontal="center" vertical="top" wrapText="1"/>
      <protection locked="0"/>
    </xf>
    <xf numFmtId="0" fontId="37" fillId="0" borderId="3" xfId="2" applyNumberFormat="1" applyFont="1" applyFill="1" applyBorder="1" applyAlignment="1" applyProtection="1">
      <alignment horizontal="center" vertical="top" wrapText="1"/>
      <protection locked="0"/>
    </xf>
    <xf numFmtId="44" fontId="37" fillId="0" borderId="3" xfId="4" applyFont="1" applyFill="1" applyBorder="1" applyAlignment="1">
      <alignment horizontal="center" vertical="top" wrapText="1"/>
    </xf>
    <xf numFmtId="44" fontId="37" fillId="0" borderId="3" xfId="4" applyFont="1" applyFill="1" applyBorder="1" applyAlignment="1" applyProtection="1">
      <alignment horizontal="center" vertical="top" wrapText="1"/>
      <protection locked="0"/>
    </xf>
    <xf numFmtId="9" fontId="37" fillId="0" borderId="3" xfId="2" applyFont="1" applyFill="1" applyBorder="1" applyAlignment="1" applyProtection="1">
      <alignment horizontal="center" vertical="top"/>
      <protection locked="0"/>
    </xf>
    <xf numFmtId="44" fontId="39" fillId="0" borderId="3" xfId="4" applyFont="1" applyFill="1" applyBorder="1" applyAlignment="1" applyProtection="1">
      <alignment horizontal="center" vertical="top" wrapText="1"/>
      <protection locked="0"/>
    </xf>
    <xf numFmtId="0" fontId="39" fillId="0" borderId="3" xfId="0" applyFont="1" applyBorder="1" applyAlignment="1">
      <alignment horizontal="center" vertical="top" wrapText="1"/>
    </xf>
    <xf numFmtId="0" fontId="37" fillId="0" borderId="3" xfId="0" applyFont="1" applyBorder="1" applyAlignment="1">
      <alignment vertical="top" wrapText="1"/>
    </xf>
    <xf numFmtId="44" fontId="37" fillId="0" borderId="3" xfId="4" applyFont="1" applyFill="1" applyBorder="1" applyAlignment="1">
      <alignment vertical="top"/>
    </xf>
    <xf numFmtId="44" fontId="37" fillId="0" borderId="3" xfId="4" applyFont="1" applyFill="1" applyBorder="1" applyAlignment="1">
      <alignment horizontal="center" vertical="top"/>
    </xf>
    <xf numFmtId="0" fontId="36" fillId="0" borderId="3" xfId="0" applyFont="1" applyBorder="1" applyAlignment="1">
      <alignment horizontal="center" vertical="top"/>
    </xf>
    <xf numFmtId="9" fontId="36" fillId="0" borderId="3" xfId="0" applyNumberFormat="1" applyFont="1" applyBorder="1" applyAlignment="1">
      <alignment horizontal="center" vertical="top"/>
    </xf>
    <xf numFmtId="2" fontId="37" fillId="0" borderId="3" xfId="0" applyNumberFormat="1" applyFont="1" applyBorder="1" applyAlignment="1" applyProtection="1">
      <alignment horizontal="center" vertical="top" wrapText="1"/>
      <protection locked="0"/>
    </xf>
    <xf numFmtId="10" fontId="37" fillId="0" borderId="3" xfId="0" applyNumberFormat="1" applyFont="1" applyBorder="1" applyAlignment="1" applyProtection="1">
      <alignment horizontal="center" vertical="top" wrapText="1"/>
      <protection locked="0"/>
    </xf>
    <xf numFmtId="44" fontId="39" fillId="0" borderId="3" xfId="4" applyFont="1" applyFill="1" applyBorder="1" applyAlignment="1">
      <alignment horizontal="center" vertical="top"/>
    </xf>
    <xf numFmtId="49" fontId="37" fillId="0" borderId="3" xfId="0" applyNumberFormat="1" applyFont="1" applyBorder="1" applyAlignment="1" applyProtection="1">
      <alignment horizontal="center" vertical="top" wrapText="1"/>
      <protection locked="0"/>
    </xf>
    <xf numFmtId="44" fontId="36" fillId="0" borderId="3" xfId="4" applyFont="1" applyFill="1" applyBorder="1" applyAlignment="1" applyProtection="1">
      <alignment horizontal="center" vertical="top"/>
      <protection locked="0"/>
    </xf>
    <xf numFmtId="9" fontId="37" fillId="0" borderId="3" xfId="0" applyNumberFormat="1" applyFont="1" applyBorder="1" applyAlignment="1">
      <alignment horizontal="center" vertical="top"/>
    </xf>
    <xf numFmtId="3" fontId="37" fillId="0" borderId="3" xfId="0" applyNumberFormat="1" applyFont="1" applyBorder="1" applyAlignment="1">
      <alignment horizontal="center" vertical="top"/>
    </xf>
    <xf numFmtId="9" fontId="36" fillId="0" borderId="3" xfId="0" applyNumberFormat="1" applyFont="1" applyBorder="1" applyAlignment="1" applyProtection="1">
      <alignment horizontal="center" vertical="top" wrapText="1"/>
      <protection locked="0"/>
    </xf>
    <xf numFmtId="0" fontId="36" fillId="0" borderId="3" xfId="0" applyFont="1" applyBorder="1" applyAlignment="1" applyProtection="1">
      <alignment horizontal="center" vertical="top"/>
      <protection locked="0"/>
    </xf>
    <xf numFmtId="1" fontId="37" fillId="0" borderId="3" xfId="2" applyNumberFormat="1" applyFont="1" applyFill="1" applyBorder="1" applyAlignment="1" applyProtection="1">
      <alignment vertical="top" wrapText="1"/>
      <protection locked="0"/>
    </xf>
    <xf numFmtId="0" fontId="37" fillId="0" borderId="3" xfId="0" applyFont="1" applyBorder="1" applyAlignment="1" applyProtection="1">
      <alignment vertical="top"/>
      <protection locked="0"/>
    </xf>
    <xf numFmtId="165" fontId="37" fillId="0" borderId="3" xfId="5" applyNumberFormat="1" applyFont="1" applyFill="1" applyBorder="1" applyAlignment="1" applyProtection="1">
      <alignment horizontal="center" vertical="top"/>
      <protection locked="0"/>
    </xf>
    <xf numFmtId="44" fontId="39" fillId="0" borderId="3" xfId="4" applyFont="1" applyFill="1" applyBorder="1" applyAlignment="1" applyProtection="1">
      <alignment vertical="top"/>
      <protection locked="0"/>
    </xf>
    <xf numFmtId="9" fontId="40" fillId="0" borderId="3" xfId="0" applyNumberFormat="1" applyFont="1" applyBorder="1" applyAlignment="1" applyProtection="1">
      <alignment horizontal="center" vertical="top" wrapText="1"/>
      <protection locked="0"/>
    </xf>
    <xf numFmtId="44" fontId="37" fillId="0" borderId="3" xfId="4" applyFont="1" applyFill="1" applyBorder="1" applyAlignment="1" applyProtection="1">
      <alignment vertical="top"/>
      <protection locked="0"/>
    </xf>
    <xf numFmtId="0" fontId="36" fillId="0" borderId="3" xfId="0" applyFont="1" applyBorder="1" applyAlignment="1">
      <alignment horizontal="center" vertical="top" wrapText="1" readingOrder="1"/>
    </xf>
    <xf numFmtId="9" fontId="37" fillId="0" borderId="3" xfId="2" applyFont="1" applyFill="1" applyBorder="1" applyAlignment="1" applyProtection="1">
      <alignment vertical="top" wrapText="1"/>
      <protection locked="0"/>
    </xf>
    <xf numFmtId="9" fontId="37" fillId="0" borderId="3" xfId="0" applyNumberFormat="1" applyFont="1" applyBorder="1" applyAlignment="1" applyProtection="1">
      <alignment vertical="top" wrapText="1"/>
      <protection locked="0"/>
    </xf>
    <xf numFmtId="1" fontId="36" fillId="0" borderId="3" xfId="3" applyNumberFormat="1" applyFont="1" applyFill="1" applyBorder="1" applyAlignment="1" applyProtection="1">
      <alignment horizontal="center" vertical="top" wrapText="1"/>
      <protection locked="0"/>
    </xf>
    <xf numFmtId="166" fontId="36" fillId="0" borderId="3" xfId="3" applyNumberFormat="1" applyFont="1" applyFill="1" applyBorder="1" applyAlignment="1" applyProtection="1">
      <alignment horizontal="center" vertical="top" wrapText="1"/>
      <protection locked="0"/>
    </xf>
    <xf numFmtId="1" fontId="36" fillId="0" borderId="3" xfId="2" applyNumberFormat="1" applyFont="1" applyFill="1" applyBorder="1" applyAlignment="1" applyProtection="1">
      <alignment horizontal="center" vertical="top" wrapText="1"/>
      <protection locked="0"/>
    </xf>
    <xf numFmtId="9" fontId="36" fillId="0" borderId="3" xfId="0" applyNumberFormat="1" applyFont="1" applyBorder="1" applyAlignment="1">
      <alignment horizontal="center" vertical="top" wrapText="1"/>
    </xf>
    <xf numFmtId="10" fontId="36" fillId="0" borderId="3" xfId="0" applyNumberFormat="1" applyFont="1" applyBorder="1" applyAlignment="1" applyProtection="1">
      <alignment horizontal="center" vertical="top" wrapText="1"/>
      <protection locked="0"/>
    </xf>
    <xf numFmtId="0" fontId="37" fillId="10" borderId="3" xfId="0" applyFont="1" applyFill="1" applyBorder="1" applyAlignment="1" applyProtection="1">
      <alignment horizontal="center" vertical="top" wrapText="1"/>
      <protection locked="0"/>
    </xf>
    <xf numFmtId="0" fontId="30" fillId="0" borderId="0" xfId="0" applyFont="1" applyAlignment="1">
      <alignment wrapText="1"/>
    </xf>
    <xf numFmtId="0" fontId="30" fillId="4" borderId="0" xfId="0" applyFont="1" applyFill="1" applyProtection="1">
      <protection hidden="1"/>
    </xf>
    <xf numFmtId="0" fontId="30" fillId="0" borderId="0" xfId="0" applyFont="1" applyProtection="1">
      <protection hidden="1"/>
    </xf>
    <xf numFmtId="0" fontId="28" fillId="4" borderId="0" xfId="0" applyFont="1" applyFill="1" applyProtection="1">
      <protection hidden="1"/>
    </xf>
    <xf numFmtId="0" fontId="28" fillId="0" borderId="0" xfId="0" applyFont="1" applyProtection="1">
      <protection hidden="1"/>
    </xf>
    <xf numFmtId="1" fontId="29" fillId="0" borderId="3" xfId="0" applyNumberFormat="1" applyFont="1" applyBorder="1" applyAlignment="1" applyProtection="1">
      <alignment horizontal="center" vertical="center"/>
      <protection hidden="1"/>
    </xf>
    <xf numFmtId="1" fontId="29" fillId="0" borderId="55" xfId="0" applyNumberFormat="1" applyFont="1" applyBorder="1" applyAlignment="1" applyProtection="1">
      <alignment horizontal="center" vertical="center"/>
      <protection hidden="1"/>
    </xf>
    <xf numFmtId="0" fontId="22" fillId="0" borderId="19" xfId="0" applyFont="1" applyBorder="1" applyAlignment="1" applyProtection="1">
      <alignment horizontal="center" vertical="center"/>
      <protection hidden="1"/>
    </xf>
    <xf numFmtId="0" fontId="22" fillId="0" borderId="19" xfId="0" applyFont="1" applyBorder="1" applyAlignment="1" applyProtection="1">
      <alignment vertical="center"/>
      <protection hidden="1"/>
    </xf>
    <xf numFmtId="0" fontId="22" fillId="0" borderId="19" xfId="0" applyFont="1" applyBorder="1" applyAlignment="1" applyProtection="1">
      <alignment horizontal="center" vertical="center" wrapText="1"/>
      <protection hidden="1"/>
    </xf>
    <xf numFmtId="0" fontId="22" fillId="0" borderId="19" xfId="0" applyFont="1" applyBorder="1" applyAlignment="1" applyProtection="1">
      <alignment vertical="center" wrapText="1"/>
      <protection hidden="1"/>
    </xf>
    <xf numFmtId="0" fontId="22" fillId="0" borderId="54" xfId="0" applyFont="1" applyBorder="1" applyAlignment="1" applyProtection="1">
      <alignment horizontal="center" vertical="center" wrapText="1"/>
      <protection hidden="1"/>
    </xf>
    <xf numFmtId="1" fontId="29" fillId="0" borderId="35" xfId="0" applyNumberFormat="1" applyFont="1" applyBorder="1" applyAlignment="1" applyProtection="1">
      <alignment horizontal="center" vertical="center"/>
      <protection hidden="1"/>
    </xf>
    <xf numFmtId="1" fontId="29" fillId="0" borderId="26" xfId="0" applyNumberFormat="1" applyFont="1" applyBorder="1" applyAlignment="1" applyProtection="1">
      <alignment horizontal="center" vertical="center"/>
      <protection hidden="1"/>
    </xf>
    <xf numFmtId="1" fontId="29" fillId="0" borderId="44" xfId="0" applyNumberFormat="1" applyFont="1" applyBorder="1" applyAlignment="1" applyProtection="1">
      <alignment horizontal="center" vertical="center"/>
      <protection hidden="1"/>
    </xf>
    <xf numFmtId="0" fontId="22" fillId="0" borderId="18" xfId="0" applyFont="1" applyBorder="1" applyAlignment="1" applyProtection="1">
      <alignment horizontal="center" vertical="center"/>
      <protection hidden="1"/>
    </xf>
    <xf numFmtId="0" fontId="22" fillId="0" borderId="19" xfId="0" applyFont="1" applyBorder="1" applyAlignment="1" applyProtection="1">
      <alignment horizontal="center" wrapText="1"/>
      <protection hidden="1"/>
    </xf>
    <xf numFmtId="0" fontId="23" fillId="0" borderId="1" xfId="0" applyFont="1" applyBorder="1" applyProtection="1">
      <protection hidden="1"/>
    </xf>
    <xf numFmtId="0" fontId="29" fillId="0" borderId="22" xfId="0" applyFont="1" applyBorder="1" applyAlignment="1" applyProtection="1">
      <alignment horizontal="center" vertical="center" wrapText="1"/>
      <protection hidden="1"/>
    </xf>
    <xf numFmtId="9" fontId="29" fillId="0" borderId="3" xfId="0" applyNumberFormat="1" applyFont="1" applyBorder="1" applyAlignment="1" applyProtection="1">
      <alignment horizontal="center" vertical="center" wrapText="1"/>
      <protection hidden="1"/>
    </xf>
    <xf numFmtId="0" fontId="23" fillId="0" borderId="0" xfId="0" applyFont="1" applyAlignment="1" applyProtection="1">
      <alignment wrapText="1"/>
      <protection hidden="1"/>
    </xf>
    <xf numFmtId="0" fontId="30" fillId="4" borderId="0" xfId="0" applyFont="1" applyFill="1" applyAlignment="1" applyProtection="1">
      <alignment wrapText="1"/>
      <protection hidden="1"/>
    </xf>
    <xf numFmtId="0" fontId="30" fillId="0" borderId="0" xfId="0" applyFont="1" applyAlignment="1" applyProtection="1">
      <alignment wrapText="1"/>
      <protection hidden="1"/>
    </xf>
    <xf numFmtId="0" fontId="29" fillId="0" borderId="51" xfId="0" applyFont="1" applyBorder="1" applyAlignment="1" applyProtection="1">
      <alignment horizontal="center" vertical="center" wrapText="1"/>
      <protection hidden="1"/>
    </xf>
    <xf numFmtId="9" fontId="29" fillId="0" borderId="63" xfId="0" applyNumberFormat="1" applyFont="1" applyBorder="1" applyAlignment="1" applyProtection="1">
      <alignment horizontal="center" vertical="center" wrapText="1"/>
      <protection hidden="1"/>
    </xf>
    <xf numFmtId="0" fontId="23" fillId="0" borderId="29" xfId="0" applyFont="1" applyBorder="1" applyAlignment="1" applyProtection="1">
      <alignment horizontal="center" vertical="center" wrapText="1"/>
      <protection hidden="1"/>
    </xf>
    <xf numFmtId="9" fontId="23" fillId="0" borderId="30" xfId="0" applyNumberFormat="1" applyFont="1" applyBorder="1" applyAlignment="1" applyProtection="1">
      <alignment horizontal="center" vertical="center" wrapText="1"/>
      <protection hidden="1"/>
    </xf>
    <xf numFmtId="0" fontId="23" fillId="0" borderId="4" xfId="0" applyFont="1" applyBorder="1" applyAlignment="1" applyProtection="1">
      <alignment wrapText="1"/>
      <protection hidden="1"/>
    </xf>
    <xf numFmtId="0" fontId="30" fillId="4" borderId="0" xfId="0" applyFont="1" applyFill="1" applyAlignment="1" applyProtection="1">
      <alignment horizontal="left"/>
      <protection hidden="1"/>
    </xf>
    <xf numFmtId="0" fontId="30" fillId="0" borderId="0" xfId="0" applyFont="1" applyAlignment="1" applyProtection="1">
      <alignment horizontal="left"/>
      <protection hidden="1"/>
    </xf>
    <xf numFmtId="0" fontId="30" fillId="0" borderId="0" xfId="0" applyFont="1" applyAlignment="1" applyProtection="1">
      <alignment vertical="center"/>
      <protection hidden="1"/>
    </xf>
    <xf numFmtId="9" fontId="37" fillId="0" borderId="3" xfId="2" applyFont="1" applyBorder="1" applyAlignment="1">
      <alignment horizontal="center" vertical="top" wrapText="1"/>
    </xf>
    <xf numFmtId="9" fontId="37" fillId="0" borderId="3" xfId="2" applyFont="1" applyBorder="1" applyAlignment="1" applyProtection="1">
      <alignment horizontal="center" vertical="top" wrapText="1"/>
      <protection locked="0"/>
    </xf>
    <xf numFmtId="9" fontId="36" fillId="0" borderId="3" xfId="2" applyFont="1" applyBorder="1" applyAlignment="1" applyProtection="1">
      <alignment horizontal="center" vertical="top" wrapText="1"/>
      <protection locked="0"/>
    </xf>
    <xf numFmtId="168" fontId="29" fillId="0" borderId="3" xfId="3" applyNumberFormat="1" applyFont="1" applyBorder="1" applyAlignment="1" applyProtection="1">
      <alignment horizontal="center" vertical="center" wrapText="1"/>
      <protection hidden="1"/>
    </xf>
    <xf numFmtId="168" fontId="29" fillId="0" borderId="63" xfId="3" applyNumberFormat="1" applyFont="1" applyBorder="1" applyAlignment="1" applyProtection="1">
      <alignment horizontal="center" vertical="center" wrapText="1"/>
      <protection hidden="1"/>
    </xf>
    <xf numFmtId="43" fontId="23" fillId="0" borderId="30" xfId="3" applyFont="1" applyBorder="1" applyAlignment="1" applyProtection="1">
      <alignment horizontal="center" vertical="center" wrapText="1"/>
      <protection hidden="1"/>
    </xf>
    <xf numFmtId="168" fontId="23" fillId="0" borderId="30" xfId="3" applyNumberFormat="1" applyFont="1" applyBorder="1" applyAlignment="1" applyProtection="1">
      <alignment horizontal="center" vertical="center" wrapText="1"/>
      <protection hidden="1"/>
    </xf>
    <xf numFmtId="0" fontId="16" fillId="4" borderId="4" xfId="0" applyFont="1" applyFill="1" applyBorder="1" applyAlignment="1">
      <alignment horizontal="right"/>
    </xf>
    <xf numFmtId="0" fontId="37" fillId="0" borderId="3" xfId="0" applyFont="1" applyBorder="1" applyAlignment="1" applyProtection="1">
      <alignment horizontal="center" vertical="top" wrapText="1"/>
      <protection hidden="1"/>
    </xf>
    <xf numFmtId="1" fontId="37" fillId="0" borderId="3" xfId="3" applyNumberFormat="1" applyFont="1" applyFill="1" applyBorder="1" applyAlignment="1" applyProtection="1">
      <alignment horizontal="center" vertical="top" wrapText="1"/>
      <protection locked="0"/>
    </xf>
    <xf numFmtId="9" fontId="36" fillId="0" borderId="3" xfId="0" applyNumberFormat="1" applyFont="1" applyBorder="1" applyAlignment="1" applyProtection="1">
      <alignment vertical="top" wrapText="1"/>
      <protection locked="0"/>
    </xf>
    <xf numFmtId="0" fontId="29" fillId="0" borderId="3" xfId="0" applyFont="1" applyBorder="1" applyAlignment="1" applyProtection="1">
      <alignment vertical="center" wrapText="1"/>
      <protection locked="0"/>
    </xf>
    <xf numFmtId="0" fontId="46" fillId="4" borderId="0" xfId="0" applyFont="1" applyFill="1" applyProtection="1">
      <protection hidden="1"/>
    </xf>
    <xf numFmtId="0" fontId="46" fillId="0" borderId="0" xfId="0" applyFont="1" applyProtection="1">
      <protection hidden="1"/>
    </xf>
    <xf numFmtId="0" fontId="46" fillId="0" borderId="0" xfId="0" applyFont="1"/>
    <xf numFmtId="1" fontId="49" fillId="0" borderId="3" xfId="0" applyNumberFormat="1" applyFont="1" applyBorder="1" applyAlignment="1" applyProtection="1">
      <alignment horizontal="center" vertical="center"/>
      <protection hidden="1"/>
    </xf>
    <xf numFmtId="1" fontId="49" fillId="0" borderId="35" xfId="0" applyNumberFormat="1" applyFont="1" applyBorder="1" applyAlignment="1" applyProtection="1">
      <alignment horizontal="center" vertical="center"/>
      <protection hidden="1"/>
    </xf>
    <xf numFmtId="1" fontId="49" fillId="0" borderId="55" xfId="0" applyNumberFormat="1" applyFont="1" applyBorder="1" applyAlignment="1" applyProtection="1">
      <alignment horizontal="center" vertical="center"/>
      <protection hidden="1"/>
    </xf>
    <xf numFmtId="0" fontId="49" fillId="4" borderId="0" xfId="0" applyFont="1" applyFill="1" applyProtection="1">
      <protection hidden="1"/>
    </xf>
    <xf numFmtId="0" fontId="49" fillId="0" borderId="0" xfId="0" applyFont="1" applyProtection="1">
      <protection hidden="1"/>
    </xf>
    <xf numFmtId="0" fontId="49" fillId="0" borderId="0" xfId="0" applyFont="1"/>
    <xf numFmtId="1" fontId="49" fillId="0" borderId="26" xfId="0" applyNumberFormat="1" applyFont="1" applyBorder="1" applyAlignment="1" applyProtection="1">
      <alignment horizontal="center" vertical="center"/>
      <protection hidden="1"/>
    </xf>
    <xf numFmtId="1" fontId="49" fillId="0" borderId="44" xfId="0" applyNumberFormat="1" applyFont="1" applyBorder="1" applyAlignment="1" applyProtection="1">
      <alignment horizontal="center" vertical="center"/>
      <protection hidden="1"/>
    </xf>
    <xf numFmtId="167" fontId="29" fillId="0" borderId="3" xfId="0" applyNumberFormat="1" applyFont="1" applyBorder="1" applyAlignment="1" applyProtection="1">
      <alignment horizontal="center" vertical="center"/>
      <protection hidden="1"/>
    </xf>
    <xf numFmtId="167" fontId="29" fillId="0" borderId="35" xfId="0" applyNumberFormat="1" applyFont="1" applyBorder="1" applyAlignment="1" applyProtection="1">
      <alignment horizontal="center" vertical="center"/>
      <protection hidden="1"/>
    </xf>
    <xf numFmtId="167" fontId="29" fillId="0" borderId="55" xfId="0" applyNumberFormat="1" applyFont="1" applyBorder="1" applyAlignment="1" applyProtection="1">
      <alignment horizontal="center" vertical="center"/>
      <protection hidden="1"/>
    </xf>
    <xf numFmtId="167" fontId="29" fillId="0" borderId="26" xfId="0" applyNumberFormat="1" applyFont="1" applyBorder="1" applyAlignment="1" applyProtection="1">
      <alignment horizontal="center" vertical="center"/>
      <protection hidden="1"/>
    </xf>
    <xf numFmtId="167" fontId="29" fillId="0" borderId="44" xfId="0" applyNumberFormat="1" applyFont="1" applyBorder="1" applyAlignment="1" applyProtection="1">
      <alignment horizontal="center" vertical="center"/>
      <protection hidden="1"/>
    </xf>
    <xf numFmtId="43" fontId="29" fillId="0" borderId="3" xfId="3" applyFont="1" applyBorder="1" applyAlignment="1" applyProtection="1">
      <alignment horizontal="center" vertical="center" wrapText="1"/>
      <protection hidden="1"/>
    </xf>
    <xf numFmtId="43" fontId="29" fillId="0" borderId="63" xfId="3" applyFont="1" applyBorder="1" applyAlignment="1" applyProtection="1">
      <alignment horizontal="center" vertical="center" wrapText="1"/>
      <protection hidden="1"/>
    </xf>
    <xf numFmtId="1" fontId="51" fillId="0" borderId="3" xfId="0" applyNumberFormat="1" applyFont="1" applyBorder="1" applyAlignment="1" applyProtection="1">
      <alignment horizontal="center" vertical="center"/>
      <protection hidden="1"/>
    </xf>
    <xf numFmtId="1" fontId="51" fillId="0" borderId="35" xfId="0" applyNumberFormat="1" applyFont="1" applyBorder="1" applyAlignment="1" applyProtection="1">
      <alignment horizontal="center" vertical="center"/>
      <protection hidden="1"/>
    </xf>
    <xf numFmtId="1" fontId="51" fillId="0" borderId="55" xfId="0" applyNumberFormat="1" applyFont="1" applyBorder="1" applyAlignment="1" applyProtection="1">
      <alignment horizontal="center" vertical="center"/>
      <protection hidden="1"/>
    </xf>
    <xf numFmtId="0" fontId="51" fillId="4" borderId="0" xfId="0" applyFont="1" applyFill="1" applyProtection="1">
      <protection hidden="1"/>
    </xf>
    <xf numFmtId="0" fontId="51" fillId="0" borderId="0" xfId="0" applyFont="1" applyProtection="1">
      <protection hidden="1"/>
    </xf>
    <xf numFmtId="0" fontId="51" fillId="0" borderId="0" xfId="0" applyFont="1"/>
    <xf numFmtId="1" fontId="51" fillId="0" borderId="26" xfId="0" applyNumberFormat="1" applyFont="1" applyBorder="1" applyAlignment="1" applyProtection="1">
      <alignment horizontal="center" vertical="center"/>
      <protection hidden="1"/>
    </xf>
    <xf numFmtId="1" fontId="51" fillId="0" borderId="44" xfId="0" applyNumberFormat="1" applyFont="1" applyBorder="1" applyAlignment="1" applyProtection="1">
      <alignment horizontal="center" vertical="center"/>
      <protection hidden="1"/>
    </xf>
    <xf numFmtId="9" fontId="37" fillId="10" borderId="3" xfId="0" applyNumberFormat="1" applyFont="1" applyFill="1" applyBorder="1" applyAlignment="1" applyProtection="1">
      <alignment horizontal="center" vertical="top" wrapText="1"/>
      <protection locked="0"/>
    </xf>
    <xf numFmtId="43" fontId="29" fillId="0" borderId="3" xfId="3" applyFont="1" applyBorder="1" applyAlignment="1" applyProtection="1">
      <alignment horizontal="center" vertical="center"/>
      <protection hidden="1"/>
    </xf>
    <xf numFmtId="43" fontId="29" fillId="0" borderId="26" xfId="3" applyFont="1" applyBorder="1" applyAlignment="1" applyProtection="1">
      <alignment horizontal="center" vertical="center"/>
      <protection hidden="1"/>
    </xf>
    <xf numFmtId="9" fontId="29" fillId="0" borderId="3" xfId="2" applyFont="1" applyBorder="1" applyAlignment="1" applyProtection="1">
      <alignment horizontal="center" vertical="center"/>
      <protection hidden="1"/>
    </xf>
    <xf numFmtId="9" fontId="29" fillId="0" borderId="35" xfId="2" applyFont="1" applyBorder="1" applyAlignment="1" applyProtection="1">
      <alignment horizontal="center" vertical="center"/>
      <protection hidden="1"/>
    </xf>
    <xf numFmtId="9" fontId="29" fillId="0" borderId="55" xfId="2" applyFont="1" applyBorder="1" applyAlignment="1" applyProtection="1">
      <alignment horizontal="center" vertical="center"/>
      <protection hidden="1"/>
    </xf>
    <xf numFmtId="9" fontId="29" fillId="0" borderId="26" xfId="2" applyFont="1" applyBorder="1" applyAlignment="1" applyProtection="1">
      <alignment horizontal="center" vertical="center"/>
      <protection hidden="1"/>
    </xf>
    <xf numFmtId="9" fontId="29" fillId="0" borderId="44" xfId="2" applyFont="1" applyBorder="1" applyAlignment="1" applyProtection="1">
      <alignment horizontal="center" vertical="center"/>
      <protection hidden="1"/>
    </xf>
    <xf numFmtId="43" fontId="29" fillId="0" borderId="35" xfId="3" applyFont="1" applyBorder="1" applyAlignment="1" applyProtection="1">
      <alignment horizontal="center" vertical="center"/>
      <protection hidden="1"/>
    </xf>
    <xf numFmtId="43" fontId="29" fillId="0" borderId="55" xfId="3" applyFont="1" applyBorder="1" applyAlignment="1" applyProtection="1">
      <alignment horizontal="center" vertical="center"/>
      <protection hidden="1"/>
    </xf>
    <xf numFmtId="43" fontId="29" fillId="0" borderId="44" xfId="3" applyFont="1" applyBorder="1" applyAlignment="1" applyProtection="1">
      <alignment horizontal="center" vertical="center"/>
      <protection hidden="1"/>
    </xf>
    <xf numFmtId="9" fontId="29" fillId="0" borderId="3" xfId="2" applyFont="1" applyBorder="1" applyAlignment="1" applyProtection="1">
      <alignment horizontal="center" vertical="center" wrapText="1"/>
      <protection hidden="1"/>
    </xf>
    <xf numFmtId="9" fontId="23" fillId="0" borderId="30" xfId="2" applyFont="1" applyBorder="1" applyAlignment="1" applyProtection="1">
      <alignment horizontal="center" vertical="center" wrapText="1"/>
      <protection hidden="1"/>
    </xf>
    <xf numFmtId="0" fontId="36" fillId="0" borderId="0" xfId="0" applyFont="1" applyAlignment="1">
      <alignment vertical="top" wrapText="1"/>
    </xf>
    <xf numFmtId="0" fontId="28" fillId="0" borderId="0" xfId="0" applyFont="1" applyAlignment="1">
      <alignment horizontal="left" vertical="top" wrapText="1"/>
    </xf>
    <xf numFmtId="0" fontId="36" fillId="0" borderId="0" xfId="0" applyFont="1" applyAlignment="1">
      <alignment horizontal="left" vertical="top" wrapText="1"/>
    </xf>
    <xf numFmtId="0" fontId="43" fillId="0" borderId="0" xfId="0" applyFont="1" applyAlignment="1">
      <alignment horizontal="left" vertical="top" wrapText="1"/>
    </xf>
    <xf numFmtId="0" fontId="42" fillId="11" borderId="3" xfId="0" applyFont="1" applyFill="1" applyBorder="1" applyAlignment="1">
      <alignment horizontal="left" vertical="top" wrapText="1"/>
    </xf>
    <xf numFmtId="0" fontId="37" fillId="0" borderId="3" xfId="0" applyFont="1" applyBorder="1" applyAlignment="1" applyProtection="1">
      <alignment horizontal="left" vertical="top" wrapText="1"/>
      <protection locked="0"/>
    </xf>
    <xf numFmtId="0" fontId="28" fillId="0" borderId="3" xfId="0" applyFont="1" applyBorder="1" applyAlignment="1">
      <alignment horizontal="left" vertical="top" wrapText="1"/>
    </xf>
    <xf numFmtId="1" fontId="52" fillId="0" borderId="3" xfId="0" applyNumberFormat="1" applyFont="1" applyBorder="1" applyAlignment="1" applyProtection="1">
      <alignment horizontal="center" vertical="center"/>
      <protection hidden="1"/>
    </xf>
    <xf numFmtId="1" fontId="52" fillId="0" borderId="35" xfId="0" applyNumberFormat="1" applyFont="1" applyBorder="1" applyAlignment="1" applyProtection="1">
      <alignment horizontal="center" vertical="center"/>
      <protection hidden="1"/>
    </xf>
    <xf numFmtId="1" fontId="52" fillId="0" borderId="55" xfId="0" applyNumberFormat="1" applyFont="1" applyBorder="1" applyAlignment="1" applyProtection="1">
      <alignment horizontal="center" vertical="center"/>
      <protection hidden="1"/>
    </xf>
    <xf numFmtId="1" fontId="52" fillId="0" borderId="26" xfId="0" applyNumberFormat="1" applyFont="1" applyBorder="1" applyAlignment="1" applyProtection="1">
      <alignment horizontal="center" vertical="center"/>
      <protection hidden="1"/>
    </xf>
    <xf numFmtId="1" fontId="52" fillId="0" borderId="44" xfId="0" applyNumberFormat="1" applyFont="1" applyBorder="1" applyAlignment="1" applyProtection="1">
      <alignment horizontal="center" vertical="center"/>
      <protection hidden="1"/>
    </xf>
    <xf numFmtId="167" fontId="28" fillId="0" borderId="0" xfId="0" applyNumberFormat="1" applyFont="1" applyAlignment="1">
      <alignment vertical="top"/>
    </xf>
    <xf numFmtId="167" fontId="42" fillId="9" borderId="3" xfId="0" applyNumberFormat="1" applyFont="1" applyFill="1" applyBorder="1" applyAlignment="1">
      <alignment vertical="top" wrapText="1"/>
    </xf>
    <xf numFmtId="167" fontId="42" fillId="11" borderId="3" xfId="0" applyNumberFormat="1" applyFont="1" applyFill="1" applyBorder="1" applyAlignment="1">
      <alignment vertical="top"/>
    </xf>
    <xf numFmtId="167" fontId="42" fillId="11" borderId="3" xfId="0" applyNumberFormat="1" applyFont="1" applyFill="1" applyBorder="1" applyAlignment="1">
      <alignment vertical="top" wrapText="1"/>
    </xf>
    <xf numFmtId="167" fontId="42" fillId="11" borderId="3" xfId="0" applyNumberFormat="1" applyFont="1" applyFill="1" applyBorder="1" applyAlignment="1">
      <alignment horizontal="center" vertical="top" wrapText="1"/>
    </xf>
    <xf numFmtId="167" fontId="37" fillId="0" borderId="3" xfId="0" applyNumberFormat="1" applyFont="1" applyBorder="1" applyAlignment="1" applyProtection="1">
      <alignment horizontal="center" vertical="top"/>
      <protection locked="0"/>
    </xf>
    <xf numFmtId="9" fontId="37" fillId="0" borderId="0" xfId="2" applyFont="1" applyAlignment="1" applyProtection="1">
      <alignment horizontal="center" vertical="top"/>
      <protection locked="0"/>
    </xf>
    <xf numFmtId="9" fontId="37" fillId="0" borderId="3" xfId="2" applyFont="1" applyBorder="1" applyAlignment="1" applyProtection="1">
      <alignment vertical="top" wrapText="1"/>
      <protection locked="0"/>
    </xf>
    <xf numFmtId="9" fontId="37" fillId="0" borderId="3" xfId="2" applyFont="1" applyFill="1" applyBorder="1" applyAlignment="1">
      <alignment horizontal="center" vertical="top" wrapText="1"/>
    </xf>
    <xf numFmtId="9" fontId="37" fillId="0" borderId="3" xfId="2" applyFont="1" applyBorder="1" applyAlignment="1" applyProtection="1">
      <alignment horizontal="center" vertical="top"/>
      <protection locked="0"/>
    </xf>
    <xf numFmtId="9" fontId="37" fillId="0" borderId="3" xfId="2" applyFont="1" applyBorder="1" applyAlignment="1" applyProtection="1">
      <alignment horizontal="left" vertical="top" wrapText="1"/>
      <protection locked="0"/>
    </xf>
    <xf numFmtId="9" fontId="29" fillId="4" borderId="3" xfId="2" applyFont="1" applyFill="1" applyBorder="1" applyAlignment="1" applyProtection="1">
      <alignment horizontal="center" vertical="center"/>
      <protection hidden="1"/>
    </xf>
    <xf numFmtId="9" fontId="29" fillId="4" borderId="26" xfId="2" applyFont="1" applyFill="1" applyBorder="1" applyAlignment="1" applyProtection="1">
      <alignment horizontal="center" vertical="center"/>
      <protection hidden="1"/>
    </xf>
    <xf numFmtId="0" fontId="41" fillId="12" borderId="0" xfId="0" applyFont="1" applyFill="1" applyAlignment="1">
      <alignment vertical="top" wrapText="1"/>
    </xf>
    <xf numFmtId="0" fontId="36" fillId="12" borderId="0" xfId="0" applyFont="1" applyFill="1" applyAlignment="1">
      <alignment vertical="top" wrapText="1"/>
    </xf>
    <xf numFmtId="0" fontId="16" fillId="0" borderId="0" xfId="0" applyFont="1" applyAlignment="1">
      <alignment horizontal="left" vertical="top" wrapText="1"/>
    </xf>
    <xf numFmtId="0" fontId="45" fillId="9" borderId="3" xfId="0" applyFont="1" applyFill="1" applyBorder="1" applyAlignment="1">
      <alignment horizontal="left" vertical="top" wrapText="1"/>
    </xf>
    <xf numFmtId="44" fontId="45" fillId="9" borderId="3" xfId="4" applyFont="1" applyFill="1" applyBorder="1" applyAlignment="1" applyProtection="1">
      <alignment horizontal="left" vertical="top" wrapText="1"/>
    </xf>
    <xf numFmtId="49" fontId="36" fillId="0" borderId="0" xfId="0" applyNumberFormat="1" applyFont="1" applyAlignment="1">
      <alignment horizontal="left" vertical="top" wrapText="1"/>
    </xf>
    <xf numFmtId="167" fontId="16" fillId="0" borderId="0" xfId="0" applyNumberFormat="1" applyFont="1" applyAlignment="1">
      <alignment horizontal="left" vertical="top" wrapText="1"/>
    </xf>
    <xf numFmtId="0" fontId="41" fillId="0" borderId="0" xfId="0" applyFont="1" applyAlignment="1">
      <alignment horizontal="left" vertical="top" wrapText="1"/>
    </xf>
    <xf numFmtId="168" fontId="16" fillId="0" borderId="0" xfId="3" applyNumberFormat="1" applyFont="1" applyAlignment="1">
      <alignment horizontal="left" vertical="top" wrapText="1"/>
    </xf>
    <xf numFmtId="0" fontId="36" fillId="0" borderId="0" xfId="0" applyFont="1" applyAlignment="1">
      <alignment horizontal="center" vertical="top" wrapText="1"/>
    </xf>
    <xf numFmtId="168" fontId="36" fillId="0" borderId="0" xfId="3" applyNumberFormat="1" applyFont="1" applyAlignment="1">
      <alignment vertical="top" wrapText="1"/>
    </xf>
    <xf numFmtId="0" fontId="37" fillId="10" borderId="0" xfId="0" applyFont="1" applyFill="1" applyAlignment="1" applyProtection="1">
      <alignment horizontal="center" vertical="top"/>
      <protection locked="0"/>
    </xf>
    <xf numFmtId="0" fontId="37" fillId="4" borderId="0" xfId="0" applyFont="1" applyFill="1" applyAlignment="1" applyProtection="1">
      <alignment horizontal="center" vertical="top"/>
      <protection locked="0"/>
    </xf>
    <xf numFmtId="9" fontId="30" fillId="0" borderId="0" xfId="2" applyFont="1"/>
    <xf numFmtId="9" fontId="28" fillId="0" borderId="3" xfId="2" applyFont="1" applyFill="1" applyBorder="1" applyAlignment="1">
      <alignment horizontal="left" vertical="top" wrapText="1"/>
    </xf>
    <xf numFmtId="166" fontId="31" fillId="0" borderId="0" xfId="3" applyNumberFormat="1" applyFont="1" applyAlignment="1">
      <alignment vertical="top"/>
    </xf>
    <xf numFmtId="166" fontId="28" fillId="0" borderId="0" xfId="3" applyNumberFormat="1" applyFont="1" applyAlignment="1">
      <alignment vertical="top"/>
    </xf>
    <xf numFmtId="166" fontId="28" fillId="0" borderId="0" xfId="3" applyNumberFormat="1" applyFont="1" applyAlignment="1">
      <alignment horizontal="left" vertical="top" wrapText="1"/>
    </xf>
    <xf numFmtId="166" fontId="36" fillId="0" borderId="0" xfId="3" applyNumberFormat="1" applyFont="1" applyAlignment="1">
      <alignment vertical="top"/>
    </xf>
    <xf numFmtId="166" fontId="41" fillId="0" borderId="35" xfId="3" applyNumberFormat="1" applyFont="1" applyBorder="1" applyAlignment="1">
      <alignment vertical="top"/>
    </xf>
    <xf numFmtId="166" fontId="41" fillId="0" borderId="36" xfId="3" applyNumberFormat="1" applyFont="1" applyBorder="1" applyAlignment="1">
      <alignment vertical="top" wrapText="1"/>
    </xf>
    <xf numFmtId="166" fontId="41" fillId="0" borderId="39" xfId="3" applyNumberFormat="1" applyFont="1" applyBorder="1" applyAlignment="1">
      <alignment vertical="top" wrapText="1"/>
    </xf>
    <xf numFmtId="166" fontId="41" fillId="4" borderId="39" xfId="3" applyNumberFormat="1" applyFont="1" applyFill="1" applyBorder="1" applyAlignment="1">
      <alignment vertical="top"/>
    </xf>
    <xf numFmtId="166" fontId="41" fillId="4" borderId="36" xfId="3" applyNumberFormat="1" applyFont="1" applyFill="1" applyBorder="1" applyAlignment="1">
      <alignment vertical="top"/>
    </xf>
    <xf numFmtId="166" fontId="41" fillId="4" borderId="35" xfId="3" applyNumberFormat="1" applyFont="1" applyFill="1" applyBorder="1" applyAlignment="1">
      <alignment vertical="top" wrapText="1"/>
    </xf>
    <xf numFmtId="166" fontId="41" fillId="4" borderId="36" xfId="3" applyNumberFormat="1" applyFont="1" applyFill="1" applyBorder="1" applyAlignment="1">
      <alignment vertical="top" wrapText="1"/>
    </xf>
    <xf numFmtId="166" fontId="41" fillId="4" borderId="39" xfId="3" applyNumberFormat="1" applyFont="1" applyFill="1" applyBorder="1" applyAlignment="1">
      <alignment vertical="top" wrapText="1"/>
    </xf>
    <xf numFmtId="166" fontId="41" fillId="4" borderId="3" xfId="3" applyNumberFormat="1" applyFont="1" applyFill="1" applyBorder="1" applyAlignment="1">
      <alignment vertical="top"/>
    </xf>
    <xf numFmtId="166" fontId="41" fillId="4" borderId="35" xfId="3" applyNumberFormat="1" applyFont="1" applyFill="1" applyBorder="1" applyAlignment="1">
      <alignment vertical="top"/>
    </xf>
    <xf numFmtId="166" fontId="41" fillId="4" borderId="63" xfId="3" applyNumberFormat="1" applyFont="1" applyFill="1" applyBorder="1" applyAlignment="1">
      <alignment vertical="top" wrapText="1"/>
    </xf>
    <xf numFmtId="166" fontId="41" fillId="0" borderId="63" xfId="3" applyNumberFormat="1" applyFont="1" applyBorder="1" applyAlignment="1">
      <alignment vertical="top" wrapText="1"/>
    </xf>
    <xf numFmtId="166" fontId="36" fillId="0" borderId="15" xfId="3" applyNumberFormat="1" applyFont="1" applyBorder="1" applyAlignment="1">
      <alignment vertical="top"/>
    </xf>
    <xf numFmtId="166" fontId="36" fillId="0" borderId="16" xfId="3" applyNumberFormat="1" applyFont="1" applyBorder="1" applyAlignment="1">
      <alignment vertical="top"/>
    </xf>
    <xf numFmtId="0" fontId="36" fillId="12" borderId="0" xfId="0" applyFont="1" applyFill="1" applyAlignment="1">
      <alignment horizontal="center" vertical="top" wrapText="1"/>
    </xf>
    <xf numFmtId="168" fontId="36" fillId="12" borderId="0" xfId="3" applyNumberFormat="1" applyFont="1" applyFill="1" applyAlignment="1">
      <alignment horizontal="center" vertical="top" wrapText="1"/>
    </xf>
    <xf numFmtId="0" fontId="16" fillId="0" borderId="0" xfId="0" applyFont="1" applyAlignment="1">
      <alignment vertical="top" wrapText="1"/>
    </xf>
    <xf numFmtId="168" fontId="16" fillId="0" borderId="0" xfId="3" applyNumberFormat="1" applyFont="1" applyAlignment="1">
      <alignment vertical="top" wrapText="1"/>
    </xf>
    <xf numFmtId="0" fontId="45" fillId="0" borderId="0" xfId="0" applyFont="1" applyAlignment="1">
      <alignment vertical="top"/>
    </xf>
    <xf numFmtId="0" fontId="0" fillId="0" borderId="0" xfId="0" applyAlignment="1">
      <alignment vertical="top" wrapText="1"/>
    </xf>
    <xf numFmtId="0" fontId="37" fillId="0" borderId="0" xfId="0" applyFont="1" applyAlignment="1" applyProtection="1">
      <alignment vertical="top" wrapText="1"/>
      <protection locked="0"/>
    </xf>
    <xf numFmtId="0" fontId="36" fillId="0" borderId="0" xfId="0" applyFont="1" applyAlignment="1">
      <alignment horizontal="right" vertical="top" wrapText="1"/>
    </xf>
    <xf numFmtId="0" fontId="37" fillId="0" borderId="0" xfId="0" applyFont="1" applyAlignment="1" applyProtection="1">
      <alignment horizontal="right" vertical="top" wrapText="1"/>
      <protection locked="0"/>
    </xf>
    <xf numFmtId="0" fontId="37" fillId="4" borderId="0" xfId="0" applyFont="1" applyFill="1" applyAlignment="1" applyProtection="1">
      <alignment horizontal="right" vertical="top" wrapText="1"/>
      <protection locked="0"/>
    </xf>
    <xf numFmtId="0" fontId="37" fillId="10" borderId="0" xfId="0" applyFont="1" applyFill="1" applyAlignment="1" applyProtection="1">
      <alignment horizontal="right" vertical="top" wrapText="1"/>
      <protection locked="0"/>
    </xf>
    <xf numFmtId="9" fontId="37" fillId="0" borderId="0" xfId="2" applyFont="1" applyAlignment="1" applyProtection="1">
      <alignment horizontal="right" vertical="top" wrapText="1"/>
      <protection locked="0"/>
    </xf>
    <xf numFmtId="0" fontId="36" fillId="12" borderId="0" xfId="0" applyFont="1" applyFill="1" applyAlignment="1">
      <alignment horizontal="right" vertical="top" wrapText="1"/>
    </xf>
    <xf numFmtId="0" fontId="0" fillId="0" borderId="0" xfId="0" applyAlignment="1">
      <alignment horizontal="right" vertical="top" wrapText="1"/>
    </xf>
    <xf numFmtId="0" fontId="37" fillId="10" borderId="3" xfId="2" applyNumberFormat="1" applyFont="1" applyFill="1" applyBorder="1" applyAlignment="1" applyProtection="1">
      <alignment horizontal="center" vertical="top" wrapText="1"/>
      <protection locked="0"/>
    </xf>
    <xf numFmtId="3" fontId="37" fillId="10" borderId="3" xfId="0" applyNumberFormat="1" applyFont="1" applyFill="1" applyBorder="1" applyAlignment="1">
      <alignment horizontal="center" vertical="top"/>
    </xf>
    <xf numFmtId="9" fontId="37" fillId="10" borderId="3" xfId="2" applyFont="1" applyFill="1" applyBorder="1" applyAlignment="1" applyProtection="1">
      <alignment vertical="top" wrapText="1"/>
      <protection locked="0"/>
    </xf>
    <xf numFmtId="0" fontId="2" fillId="0" borderId="0" xfId="0" applyFont="1" applyAlignment="1">
      <alignment vertical="top" wrapText="1"/>
    </xf>
    <xf numFmtId="0" fontId="41" fillId="0" borderId="0" xfId="0" applyFont="1" applyAlignment="1">
      <alignment vertical="top" wrapText="1"/>
    </xf>
    <xf numFmtId="0" fontId="41" fillId="0" borderId="0" xfId="0" applyFont="1" applyAlignment="1">
      <alignment horizontal="center" vertical="top" wrapText="1"/>
    </xf>
    <xf numFmtId="10" fontId="41" fillId="0" borderId="0" xfId="2" applyNumberFormat="1" applyFont="1" applyFill="1" applyAlignment="1">
      <alignment horizontal="center" vertical="top" wrapText="1"/>
    </xf>
    <xf numFmtId="10" fontId="36" fillId="0" borderId="0" xfId="2" applyNumberFormat="1" applyFont="1" applyFill="1" applyAlignment="1">
      <alignment horizontal="left" vertical="top" wrapText="1"/>
    </xf>
    <xf numFmtId="9" fontId="36" fillId="0" borderId="0" xfId="2" applyFont="1" applyFill="1" applyAlignment="1">
      <alignment horizontal="left" vertical="top" wrapText="1"/>
    </xf>
    <xf numFmtId="10" fontId="36" fillId="0" borderId="0" xfId="2" applyNumberFormat="1" applyFont="1" applyFill="1" applyAlignment="1">
      <alignment horizontal="center" vertical="top" wrapText="1"/>
    </xf>
    <xf numFmtId="0" fontId="16" fillId="0" borderId="0" xfId="0" pivotButton="1" applyFont="1" applyAlignment="1">
      <alignment vertical="top" wrapText="1"/>
    </xf>
    <xf numFmtId="9" fontId="37" fillId="10" borderId="3" xfId="0" applyNumberFormat="1" applyFont="1" applyFill="1" applyBorder="1" applyAlignment="1">
      <alignment horizontal="center" vertical="top" wrapText="1"/>
    </xf>
    <xf numFmtId="0" fontId="37" fillId="10" borderId="3" xfId="0" applyFont="1" applyFill="1" applyBorder="1" applyAlignment="1">
      <alignment horizontal="center" vertical="top" wrapText="1"/>
    </xf>
    <xf numFmtId="166" fontId="28" fillId="0" borderId="0" xfId="3" applyNumberFormat="1" applyFont="1" applyAlignment="1">
      <alignment horizontal="center" vertical="center"/>
    </xf>
    <xf numFmtId="166" fontId="41" fillId="4" borderId="3" xfId="3" applyNumberFormat="1" applyFont="1" applyFill="1" applyBorder="1" applyAlignment="1">
      <alignment horizontal="center" vertical="center"/>
    </xf>
    <xf numFmtId="44" fontId="42" fillId="9" borderId="3" xfId="4" applyFont="1" applyFill="1" applyBorder="1" applyAlignment="1" applyProtection="1">
      <alignment horizontal="center" vertical="center" wrapText="1"/>
    </xf>
    <xf numFmtId="9" fontId="37" fillId="0" borderId="3" xfId="2" applyFont="1" applyBorder="1" applyAlignment="1">
      <alignment horizontal="center" vertical="center" wrapText="1"/>
    </xf>
    <xf numFmtId="0" fontId="37" fillId="0" borderId="3" xfId="0" applyFont="1" applyBorder="1" applyAlignment="1">
      <alignment horizontal="center" vertical="center" wrapText="1"/>
    </xf>
    <xf numFmtId="0" fontId="37" fillId="0" borderId="3" xfId="0" applyFont="1" applyBorder="1" applyAlignment="1" applyProtection="1">
      <alignment horizontal="center" vertical="center" wrapText="1"/>
      <protection locked="0"/>
    </xf>
    <xf numFmtId="9" fontId="37" fillId="0" borderId="3" xfId="2" applyFont="1" applyBorder="1" applyAlignment="1" applyProtection="1">
      <alignment horizontal="center" vertical="center" wrapText="1"/>
      <protection locked="0"/>
    </xf>
    <xf numFmtId="1" fontId="37" fillId="0" borderId="3" xfId="0" applyNumberFormat="1" applyFont="1" applyBorder="1" applyAlignment="1" applyProtection="1">
      <alignment horizontal="center" vertical="center" wrapText="1"/>
      <protection locked="0"/>
    </xf>
    <xf numFmtId="9" fontId="37" fillId="7" borderId="3" xfId="2" applyFont="1" applyFill="1" applyBorder="1" applyAlignment="1" applyProtection="1">
      <alignment horizontal="center" vertical="center" wrapText="1"/>
      <protection locked="0"/>
    </xf>
    <xf numFmtId="9" fontId="37" fillId="0" borderId="3" xfId="2" applyFont="1" applyFill="1" applyBorder="1" applyAlignment="1" applyProtection="1">
      <alignment horizontal="center" vertical="center" wrapText="1"/>
      <protection locked="0"/>
    </xf>
    <xf numFmtId="9" fontId="37" fillId="7" borderId="3" xfId="2" applyFont="1" applyFill="1" applyBorder="1" applyAlignment="1">
      <alignment horizontal="center" vertical="center" wrapText="1"/>
    </xf>
    <xf numFmtId="9" fontId="36" fillId="0" borderId="3" xfId="2" applyFont="1" applyBorder="1" applyAlignment="1">
      <alignment horizontal="center" vertical="center"/>
    </xf>
    <xf numFmtId="1" fontId="37" fillId="10" borderId="3" xfId="0" applyNumberFormat="1" applyFont="1" applyFill="1" applyBorder="1" applyAlignment="1" applyProtection="1">
      <alignment horizontal="center" vertical="center" wrapText="1"/>
      <protection locked="0"/>
    </xf>
    <xf numFmtId="0" fontId="37" fillId="10" borderId="3" xfId="2" applyNumberFormat="1" applyFont="1" applyFill="1" applyBorder="1" applyAlignment="1" applyProtection="1">
      <alignment horizontal="center" vertical="center" wrapText="1"/>
      <protection locked="0"/>
    </xf>
    <xf numFmtId="0" fontId="37" fillId="0" borderId="3" xfId="2" applyNumberFormat="1" applyFont="1" applyFill="1" applyBorder="1" applyAlignment="1" applyProtection="1">
      <alignment horizontal="center" vertical="center" wrapText="1"/>
      <protection locked="0"/>
    </xf>
    <xf numFmtId="9" fontId="37" fillId="0" borderId="3" xfId="2" applyFont="1" applyBorder="1" applyAlignment="1">
      <alignment horizontal="center" vertical="center"/>
    </xf>
    <xf numFmtId="3" fontId="37" fillId="0" borderId="3" xfId="0" applyNumberFormat="1" applyFont="1" applyBorder="1" applyAlignment="1">
      <alignment horizontal="center" vertical="center"/>
    </xf>
    <xf numFmtId="9" fontId="36" fillId="0" borderId="3" xfId="2" applyFont="1" applyBorder="1" applyAlignment="1" applyProtection="1">
      <alignment horizontal="center" vertical="center" wrapText="1"/>
      <protection locked="0"/>
    </xf>
    <xf numFmtId="1" fontId="37" fillId="0" borderId="3" xfId="2" applyNumberFormat="1" applyFont="1" applyFill="1" applyBorder="1" applyAlignment="1" applyProtection="1">
      <alignment horizontal="center" vertical="center" wrapText="1"/>
      <protection locked="0"/>
    </xf>
    <xf numFmtId="9" fontId="37" fillId="10" borderId="3" xfId="2" applyFont="1" applyFill="1" applyBorder="1" applyAlignment="1" applyProtection="1">
      <alignment horizontal="center" vertical="center" wrapText="1"/>
      <protection locked="0"/>
    </xf>
    <xf numFmtId="9" fontId="36" fillId="7" borderId="3" xfId="2" applyFont="1" applyFill="1" applyBorder="1" applyAlignment="1" applyProtection="1">
      <alignment horizontal="center" vertical="center" wrapText="1"/>
      <protection locked="0"/>
    </xf>
    <xf numFmtId="0" fontId="36" fillId="0" borderId="3" xfId="0" applyFont="1" applyBorder="1" applyAlignment="1">
      <alignment horizontal="center" vertical="center" wrapText="1"/>
    </xf>
    <xf numFmtId="9" fontId="36" fillId="0" borderId="3" xfId="2" applyFont="1" applyBorder="1" applyAlignment="1">
      <alignment horizontal="center" vertical="center" wrapText="1"/>
    </xf>
    <xf numFmtId="0" fontId="36" fillId="0" borderId="3" xfId="0" applyFont="1" applyBorder="1" applyAlignment="1" applyProtection="1">
      <alignment horizontal="center" vertical="center" wrapText="1"/>
      <protection locked="0"/>
    </xf>
    <xf numFmtId="3" fontId="37" fillId="0" borderId="3" xfId="0" applyNumberFormat="1" applyFont="1" applyBorder="1" applyAlignment="1" applyProtection="1">
      <alignment horizontal="center" vertical="center" wrapText="1"/>
      <protection locked="0"/>
    </xf>
    <xf numFmtId="0" fontId="28" fillId="0" borderId="0" xfId="0" applyFont="1" applyAlignment="1">
      <alignment horizontal="center" vertical="center"/>
    </xf>
    <xf numFmtId="9" fontId="37" fillId="0" borderId="3" xfId="2" applyFont="1" applyBorder="1" applyAlignment="1">
      <alignment horizontal="center" vertical="top"/>
    </xf>
    <xf numFmtId="9" fontId="36" fillId="0" borderId="0" xfId="2" applyFont="1" applyAlignment="1">
      <alignment horizontal="left" vertical="top" wrapText="1"/>
    </xf>
    <xf numFmtId="167" fontId="41" fillId="0" borderId="0" xfId="3" applyNumberFormat="1" applyFont="1" applyFill="1" applyAlignment="1">
      <alignment horizontal="right" vertical="top" wrapText="1"/>
    </xf>
    <xf numFmtId="167" fontId="36" fillId="0" borderId="0" xfId="3" applyNumberFormat="1" applyFont="1" applyFill="1" applyAlignment="1">
      <alignment horizontal="right" vertical="top" wrapText="1"/>
    </xf>
    <xf numFmtId="9" fontId="36" fillId="0" borderId="0" xfId="2" applyFont="1" applyFill="1" applyAlignment="1">
      <alignment horizontal="right" vertical="top" wrapText="1"/>
    </xf>
    <xf numFmtId="167" fontId="36" fillId="0" borderId="0" xfId="2" applyNumberFormat="1" applyFont="1" applyFill="1" applyAlignment="1">
      <alignment horizontal="right" vertical="top" wrapText="1"/>
    </xf>
    <xf numFmtId="43" fontId="36" fillId="0" borderId="0" xfId="3" applyFont="1" applyFill="1" applyAlignment="1">
      <alignment horizontal="right" vertical="top" wrapText="1"/>
    </xf>
    <xf numFmtId="9" fontId="37" fillId="0" borderId="0" xfId="0" applyNumberFormat="1" applyFont="1" applyAlignment="1" applyProtection="1">
      <alignment horizontal="center" vertical="top" wrapText="1"/>
      <protection locked="0"/>
    </xf>
    <xf numFmtId="168" fontId="37" fillId="10" borderId="0" xfId="0" applyNumberFormat="1" applyFont="1" applyFill="1" applyAlignment="1" applyProtection="1">
      <alignment horizontal="left" vertical="top" wrapText="1"/>
      <protection locked="0"/>
    </xf>
    <xf numFmtId="0" fontId="54" fillId="0" borderId="0" xfId="0" applyFont="1" applyAlignment="1" applyProtection="1">
      <alignment horizontal="center" vertical="top"/>
      <protection locked="0"/>
    </xf>
    <xf numFmtId="0" fontId="54" fillId="0" borderId="3" xfId="0" applyFont="1" applyBorder="1" applyAlignment="1" applyProtection="1">
      <alignment horizontal="center" vertical="top" wrapText="1"/>
      <protection locked="0"/>
    </xf>
    <xf numFmtId="0" fontId="54" fillId="0" borderId="3" xfId="0" applyFont="1" applyBorder="1" applyAlignment="1">
      <alignment horizontal="center" vertical="top" wrapText="1"/>
    </xf>
    <xf numFmtId="1" fontId="54" fillId="0" borderId="3" xfId="0" applyNumberFormat="1" applyFont="1" applyBorder="1" applyAlignment="1" applyProtection="1">
      <alignment horizontal="center" vertical="top" wrapText="1"/>
      <protection locked="0"/>
    </xf>
    <xf numFmtId="9" fontId="54" fillId="7" borderId="3" xfId="2" applyFont="1" applyFill="1" applyBorder="1" applyAlignment="1" applyProtection="1">
      <alignment horizontal="center" vertical="center" wrapText="1"/>
      <protection locked="0"/>
    </xf>
    <xf numFmtId="9" fontId="54" fillId="0" borderId="3" xfId="0" applyNumberFormat="1" applyFont="1" applyBorder="1" applyAlignment="1">
      <alignment horizontal="center" vertical="top" wrapText="1"/>
    </xf>
    <xf numFmtId="0" fontId="54" fillId="0" borderId="3" xfId="0" applyFont="1" applyBorder="1" applyAlignment="1" applyProtection="1">
      <alignment horizontal="center" vertical="top"/>
      <protection locked="0"/>
    </xf>
    <xf numFmtId="167" fontId="54" fillId="0" borderId="3" xfId="0" applyNumberFormat="1" applyFont="1" applyBorder="1" applyAlignment="1" applyProtection="1">
      <alignment horizontal="center" vertical="top"/>
      <protection locked="0"/>
    </xf>
    <xf numFmtId="0" fontId="54" fillId="0" borderId="3" xfId="0" applyFont="1" applyBorder="1" applyAlignment="1" applyProtection="1">
      <alignment horizontal="left" vertical="top" wrapText="1"/>
      <protection locked="0"/>
    </xf>
    <xf numFmtId="0" fontId="54" fillId="0" borderId="3" xfId="0" applyFont="1" applyBorder="1" applyAlignment="1">
      <alignment horizontal="left" vertical="top" wrapText="1"/>
    </xf>
    <xf numFmtId="0" fontId="54" fillId="0" borderId="0" xfId="0" applyFont="1" applyAlignment="1" applyProtection="1">
      <alignment horizontal="left" vertical="top" wrapText="1"/>
      <protection locked="0"/>
    </xf>
    <xf numFmtId="168" fontId="54" fillId="10" borderId="0" xfId="0" applyNumberFormat="1" applyFont="1" applyFill="1" applyAlignment="1" applyProtection="1">
      <alignment horizontal="left" vertical="top" wrapText="1"/>
      <protection locked="0"/>
    </xf>
    <xf numFmtId="44" fontId="37" fillId="0" borderId="3" xfId="4" applyFont="1" applyBorder="1" applyAlignment="1" applyProtection="1">
      <alignment horizontal="center" vertical="top"/>
      <protection locked="0"/>
    </xf>
    <xf numFmtId="0" fontId="56" fillId="0" borderId="3" xfId="0" applyFont="1" applyBorder="1" applyAlignment="1" applyProtection="1">
      <alignment horizontal="left" vertical="top" wrapText="1"/>
      <protection locked="0"/>
    </xf>
    <xf numFmtId="169" fontId="37" fillId="0" borderId="0" xfId="0" applyNumberFormat="1" applyFont="1" applyAlignment="1" applyProtection="1">
      <alignment horizontal="center" vertical="top" wrapText="1"/>
      <protection locked="0"/>
    </xf>
    <xf numFmtId="167" fontId="37" fillId="10" borderId="3" xfId="0" applyNumberFormat="1" applyFont="1" applyFill="1" applyBorder="1" applyAlignment="1" applyProtection="1">
      <alignment horizontal="center" vertical="top"/>
      <protection locked="0"/>
    </xf>
    <xf numFmtId="0" fontId="37" fillId="10" borderId="3" xfId="0" applyFont="1" applyFill="1" applyBorder="1" applyAlignment="1" applyProtection="1">
      <alignment horizontal="left" vertical="top" wrapText="1"/>
      <protection locked="0"/>
    </xf>
    <xf numFmtId="0" fontId="54" fillId="10" borderId="0" xfId="0" applyFont="1" applyFill="1" applyAlignment="1" applyProtection="1">
      <alignment horizontal="left" vertical="top" wrapText="1"/>
      <protection locked="0"/>
    </xf>
    <xf numFmtId="0" fontId="41" fillId="0" borderId="0" xfId="0" applyFont="1" applyAlignment="1">
      <alignment vertical="top"/>
    </xf>
    <xf numFmtId="0" fontId="36" fillId="0" borderId="0" xfId="0" applyFont="1" applyAlignment="1">
      <alignment horizontal="left" vertical="top"/>
    </xf>
    <xf numFmtId="0" fontId="36" fillId="0" borderId="0" xfId="0" applyFont="1" applyAlignment="1">
      <alignment vertical="top"/>
    </xf>
    <xf numFmtId="0" fontId="0" fillId="0" borderId="0" xfId="0" applyAlignment="1">
      <alignment wrapText="1"/>
    </xf>
    <xf numFmtId="0" fontId="0" fillId="0" borderId="0" xfId="0" applyAlignment="1">
      <alignment vertical="top"/>
    </xf>
    <xf numFmtId="169" fontId="28" fillId="0" borderId="0" xfId="0" applyNumberFormat="1" applyFont="1" applyAlignment="1">
      <alignment vertical="top"/>
    </xf>
    <xf numFmtId="168" fontId="28" fillId="0" borderId="0" xfId="3" applyNumberFormat="1" applyFont="1" applyFill="1" applyAlignment="1">
      <alignment vertical="top"/>
    </xf>
    <xf numFmtId="168" fontId="36" fillId="0" borderId="0" xfId="3" applyNumberFormat="1" applyFont="1" applyFill="1" applyAlignment="1">
      <alignment vertical="top"/>
    </xf>
    <xf numFmtId="168" fontId="43" fillId="0" borderId="0" xfId="0" applyNumberFormat="1" applyFont="1" applyAlignment="1">
      <alignment vertical="top"/>
    </xf>
    <xf numFmtId="9" fontId="43" fillId="0" borderId="0" xfId="2" applyFont="1" applyFill="1" applyAlignment="1">
      <alignment vertical="top"/>
    </xf>
    <xf numFmtId="168" fontId="45" fillId="0" borderId="0" xfId="3" applyNumberFormat="1" applyFont="1" applyFill="1" applyBorder="1" applyAlignment="1">
      <alignment horizontal="center" vertical="center" wrapText="1"/>
    </xf>
    <xf numFmtId="168" fontId="57" fillId="0" borderId="0" xfId="0" applyNumberFormat="1" applyFont="1" applyAlignment="1" applyProtection="1">
      <alignment horizontal="left" vertical="top" wrapText="1"/>
      <protection locked="0"/>
    </xf>
    <xf numFmtId="168" fontId="37" fillId="0" borderId="0" xfId="0" applyNumberFormat="1" applyFont="1" applyAlignment="1" applyProtection="1">
      <alignment horizontal="left" vertical="top" wrapText="1"/>
      <protection locked="0"/>
    </xf>
    <xf numFmtId="168" fontId="54" fillId="0" borderId="0" xfId="0" applyNumberFormat="1" applyFont="1" applyAlignment="1" applyProtection="1">
      <alignment horizontal="left" vertical="top" wrapText="1"/>
      <protection locked="0"/>
    </xf>
    <xf numFmtId="168" fontId="55" fillId="0" borderId="0" xfId="0" applyNumberFormat="1" applyFont="1" applyAlignment="1" applyProtection="1">
      <alignment horizontal="left" vertical="top" wrapText="1"/>
      <protection locked="0"/>
    </xf>
    <xf numFmtId="168" fontId="28" fillId="0" borderId="0" xfId="0" applyNumberFormat="1" applyFont="1" applyAlignment="1">
      <alignment vertical="top"/>
    </xf>
    <xf numFmtId="2" fontId="37" fillId="10" borderId="3" xfId="0" applyNumberFormat="1" applyFont="1" applyFill="1" applyBorder="1" applyAlignment="1" applyProtection="1">
      <alignment horizontal="center" vertical="top"/>
      <protection locked="0"/>
    </xf>
    <xf numFmtId="2" fontId="28" fillId="0" borderId="0" xfId="3" applyNumberFormat="1" applyFont="1" applyAlignment="1">
      <alignment vertical="top"/>
    </xf>
    <xf numFmtId="2" fontId="36" fillId="0" borderId="16" xfId="3" applyNumberFormat="1" applyFont="1" applyBorder="1" applyAlignment="1">
      <alignment vertical="top"/>
    </xf>
    <xf numFmtId="2" fontId="36" fillId="0" borderId="15" xfId="3" applyNumberFormat="1" applyFont="1" applyBorder="1" applyAlignment="1">
      <alignment vertical="top"/>
    </xf>
    <xf numFmtId="2" fontId="42" fillId="9" borderId="3" xfId="0" applyNumberFormat="1" applyFont="1" applyFill="1" applyBorder="1" applyAlignment="1">
      <alignment vertical="top"/>
    </xf>
    <xf numFmtId="2" fontId="42" fillId="9" borderId="3" xfId="0" applyNumberFormat="1" applyFont="1" applyFill="1" applyBorder="1" applyAlignment="1">
      <alignment vertical="top" wrapText="1"/>
    </xf>
    <xf numFmtId="2" fontId="42" fillId="9" borderId="3" xfId="0" applyNumberFormat="1" applyFont="1" applyFill="1" applyBorder="1" applyAlignment="1">
      <alignment horizontal="center" vertical="top" wrapText="1"/>
    </xf>
    <xf numFmtId="2" fontId="37" fillId="0" borderId="3" xfId="0" applyNumberFormat="1" applyFont="1" applyBorder="1" applyAlignment="1" applyProtection="1">
      <alignment horizontal="center" vertical="top"/>
      <protection locked="0"/>
    </xf>
    <xf numFmtId="2" fontId="54" fillId="0" borderId="3" xfId="0" applyNumberFormat="1" applyFont="1" applyBorder="1" applyAlignment="1" applyProtection="1">
      <alignment horizontal="center" vertical="top"/>
      <protection locked="0"/>
    </xf>
    <xf numFmtId="2" fontId="28" fillId="0" borderId="0" xfId="0" applyNumberFormat="1" applyFont="1" applyAlignment="1">
      <alignment vertical="top"/>
    </xf>
    <xf numFmtId="0" fontId="58" fillId="0" borderId="0" xfId="0" applyFont="1" applyAlignment="1" applyProtection="1">
      <alignment horizontal="left" vertical="top" wrapText="1"/>
      <protection locked="0"/>
    </xf>
    <xf numFmtId="0" fontId="58" fillId="10" borderId="0" xfId="0" applyFont="1" applyFill="1" applyAlignment="1" applyProtection="1">
      <alignment horizontal="left" vertical="top" wrapText="1"/>
      <protection locked="0"/>
    </xf>
    <xf numFmtId="0" fontId="59" fillId="9" borderId="70" xfId="0" applyFont="1" applyFill="1" applyBorder="1" applyAlignment="1">
      <alignment horizontal="center" vertical="center" wrapText="1" readingOrder="1"/>
    </xf>
    <xf numFmtId="0" fontId="60" fillId="13" borderId="71" xfId="0" applyFont="1" applyFill="1" applyBorder="1" applyAlignment="1">
      <alignment horizontal="center" vertical="center" wrapText="1" readingOrder="1"/>
    </xf>
    <xf numFmtId="9" fontId="60" fillId="13" borderId="71" xfId="0" applyNumberFormat="1" applyFont="1" applyFill="1" applyBorder="1" applyAlignment="1">
      <alignment horizontal="center" vertical="center" wrapText="1" readingOrder="1"/>
    </xf>
    <xf numFmtId="0" fontId="60" fillId="12" borderId="71" xfId="0" applyFont="1" applyFill="1" applyBorder="1" applyAlignment="1">
      <alignment horizontal="center" vertical="center" wrapText="1" readingOrder="1"/>
    </xf>
    <xf numFmtId="9" fontId="60" fillId="12" borderId="71" xfId="0" applyNumberFormat="1" applyFont="1" applyFill="1" applyBorder="1" applyAlignment="1">
      <alignment horizontal="center" vertical="center" wrapText="1" readingOrder="1"/>
    </xf>
    <xf numFmtId="9" fontId="37" fillId="0" borderId="0" xfId="0" applyNumberFormat="1" applyFont="1" applyAlignment="1" applyProtection="1">
      <alignment horizontal="center" vertical="top"/>
      <protection locked="0"/>
    </xf>
    <xf numFmtId="0" fontId="37" fillId="0" borderId="0" xfId="0" applyFont="1" applyAlignment="1" applyProtection="1">
      <alignment horizontal="center" vertical="top" wrapText="1"/>
      <protection locked="0"/>
    </xf>
    <xf numFmtId="9" fontId="37" fillId="0" borderId="0" xfId="2" applyFont="1" applyAlignment="1" applyProtection="1">
      <alignment horizontal="center" vertical="top" wrapText="1"/>
      <protection locked="0"/>
    </xf>
    <xf numFmtId="9" fontId="54" fillId="0" borderId="0" xfId="2" applyFont="1" applyAlignment="1" applyProtection="1">
      <alignment horizontal="center" vertical="top" wrapText="1"/>
      <protection locked="0"/>
    </xf>
    <xf numFmtId="169" fontId="37" fillId="0" borderId="3" xfId="2" applyNumberFormat="1" applyFont="1" applyBorder="1" applyAlignment="1">
      <alignment horizontal="center" vertical="center" wrapText="1"/>
    </xf>
    <xf numFmtId="0" fontId="28" fillId="0" borderId="0" xfId="3" applyNumberFormat="1" applyFont="1" applyAlignment="1">
      <alignment vertical="top"/>
    </xf>
    <xf numFmtId="0" fontId="36" fillId="0" borderId="0" xfId="3" applyNumberFormat="1" applyFont="1" applyAlignment="1">
      <alignment vertical="top"/>
    </xf>
    <xf numFmtId="9" fontId="60" fillId="12" borderId="71" xfId="2" applyFont="1" applyFill="1" applyBorder="1" applyAlignment="1">
      <alignment horizontal="center" vertical="center" wrapText="1" readingOrder="1"/>
    </xf>
    <xf numFmtId="9" fontId="60" fillId="13" borderId="71" xfId="2" applyFont="1" applyFill="1" applyBorder="1" applyAlignment="1">
      <alignment horizontal="center" vertical="center" wrapText="1" readingOrder="1"/>
    </xf>
    <xf numFmtId="166" fontId="60" fillId="13" borderId="71" xfId="0" applyNumberFormat="1" applyFont="1" applyFill="1" applyBorder="1" applyAlignment="1">
      <alignment horizontal="center" vertical="center" wrapText="1" readingOrder="1"/>
    </xf>
    <xf numFmtId="166" fontId="60" fillId="12" borderId="71" xfId="0" applyNumberFormat="1" applyFont="1" applyFill="1" applyBorder="1" applyAlignment="1">
      <alignment horizontal="center" vertical="center" wrapText="1" readingOrder="1"/>
    </xf>
    <xf numFmtId="9" fontId="37" fillId="10" borderId="0" xfId="0" applyNumberFormat="1" applyFont="1" applyFill="1" applyAlignment="1" applyProtection="1">
      <alignment horizontal="center" vertical="top" wrapText="1"/>
      <protection locked="0"/>
    </xf>
    <xf numFmtId="2" fontId="37" fillId="10" borderId="3" xfId="0" applyNumberFormat="1" applyFont="1" applyFill="1" applyBorder="1" applyAlignment="1">
      <alignment horizontal="center" vertical="top" wrapText="1"/>
    </xf>
    <xf numFmtId="9" fontId="37" fillId="10" borderId="0" xfId="2" applyFont="1" applyFill="1" applyAlignment="1" applyProtection="1">
      <alignment horizontal="center" vertical="top" wrapText="1"/>
      <protection locked="0"/>
    </xf>
    <xf numFmtId="169" fontId="37" fillId="10" borderId="0" xfId="0" applyNumberFormat="1" applyFont="1" applyFill="1" applyAlignment="1" applyProtection="1">
      <alignment horizontal="center" vertical="top" wrapText="1"/>
      <protection locked="0"/>
    </xf>
    <xf numFmtId="0" fontId="37" fillId="10" borderId="0" xfId="0" applyFont="1" applyFill="1" applyAlignment="1" applyProtection="1">
      <alignment horizontal="center" vertical="top" wrapText="1"/>
      <protection locked="0"/>
    </xf>
    <xf numFmtId="0" fontId="37" fillId="0" borderId="0" xfId="2" applyNumberFormat="1" applyFont="1" applyAlignment="1" applyProtection="1">
      <alignment horizontal="center" vertical="top" wrapText="1"/>
      <protection locked="0"/>
    </xf>
    <xf numFmtId="169" fontId="37" fillId="0" borderId="0" xfId="2" applyNumberFormat="1" applyFont="1" applyAlignment="1" applyProtection="1">
      <alignment horizontal="center" vertical="top" wrapText="1"/>
      <protection locked="0"/>
    </xf>
    <xf numFmtId="10" fontId="36" fillId="0" borderId="3" xfId="2" applyNumberFormat="1" applyFont="1" applyBorder="1" applyAlignment="1" applyProtection="1">
      <alignment horizontal="center" vertical="center" wrapText="1"/>
      <protection locked="0"/>
    </xf>
    <xf numFmtId="10" fontId="37" fillId="10" borderId="0" xfId="2" applyNumberFormat="1" applyFont="1" applyFill="1" applyAlignment="1" applyProtection="1">
      <alignment horizontal="center" vertical="top" wrapText="1"/>
      <protection locked="0"/>
    </xf>
    <xf numFmtId="169" fontId="37" fillId="10" borderId="0" xfId="2" applyNumberFormat="1" applyFont="1" applyFill="1" applyAlignment="1" applyProtection="1">
      <alignment horizontal="center" vertical="top" wrapText="1"/>
      <protection locked="0"/>
    </xf>
    <xf numFmtId="169" fontId="37" fillId="7" borderId="3" xfId="2" applyNumberFormat="1" applyFont="1" applyFill="1" applyBorder="1" applyAlignment="1" applyProtection="1">
      <alignment horizontal="center" vertical="center" wrapText="1"/>
      <protection locked="0"/>
    </xf>
    <xf numFmtId="169" fontId="54" fillId="10" borderId="0" xfId="2" applyNumberFormat="1" applyFont="1" applyFill="1" applyAlignment="1" applyProtection="1">
      <alignment horizontal="center" vertical="top" wrapText="1"/>
      <protection locked="0"/>
    </xf>
    <xf numFmtId="9" fontId="54" fillId="10" borderId="0" xfId="0" applyNumberFormat="1" applyFont="1" applyFill="1" applyAlignment="1" applyProtection="1">
      <alignment horizontal="center" vertical="top" wrapText="1"/>
      <protection locked="0"/>
    </xf>
    <xf numFmtId="9" fontId="57" fillId="0" borderId="0" xfId="2" applyFont="1" applyFill="1" applyAlignment="1" applyProtection="1">
      <alignment horizontal="left" vertical="top" wrapText="1"/>
      <protection locked="0"/>
    </xf>
    <xf numFmtId="170" fontId="60" fillId="12" borderId="71" xfId="0" applyNumberFormat="1" applyFont="1" applyFill="1" applyBorder="1" applyAlignment="1">
      <alignment horizontal="center" vertical="center" wrapText="1" readingOrder="1"/>
    </xf>
    <xf numFmtId="10" fontId="60" fillId="13" borderId="71" xfId="2" applyNumberFormat="1" applyFont="1" applyFill="1" applyBorder="1" applyAlignment="1">
      <alignment horizontal="center" vertical="center" wrapText="1" readingOrder="1"/>
    </xf>
    <xf numFmtId="9" fontId="36" fillId="14" borderId="0" xfId="0" applyNumberFormat="1" applyFont="1" applyFill="1" applyAlignment="1" applyProtection="1">
      <alignment horizontal="center" vertical="top" wrapText="1"/>
      <protection locked="0"/>
    </xf>
    <xf numFmtId="0" fontId="37" fillId="0" borderId="0" xfId="0" applyFont="1" applyAlignment="1" applyProtection="1">
      <alignment horizontal="center"/>
      <protection locked="0"/>
    </xf>
    <xf numFmtId="166" fontId="28" fillId="0" borderId="0" xfId="3" applyNumberFormat="1" applyFont="1" applyAlignment="1">
      <alignment vertical="top" wrapText="1"/>
    </xf>
    <xf numFmtId="166" fontId="36" fillId="0" borderId="0" xfId="3" applyNumberFormat="1" applyFont="1" applyAlignment="1">
      <alignment vertical="top" wrapText="1"/>
    </xf>
    <xf numFmtId="0" fontId="0" fillId="0" borderId="0" xfId="0" pivotButton="1" applyAlignment="1">
      <alignment vertical="top" wrapText="1"/>
    </xf>
    <xf numFmtId="0" fontId="0" fillId="0" borderId="0" xfId="0" pivotButton="1" applyAlignment="1">
      <alignment wrapText="1"/>
    </xf>
    <xf numFmtId="0" fontId="0" fillId="0" borderId="0" xfId="0" applyAlignment="1">
      <alignment horizontal="left" vertical="top" wrapText="1"/>
    </xf>
    <xf numFmtId="0" fontId="54" fillId="0" borderId="0" xfId="0" applyFont="1" applyAlignment="1" applyProtection="1">
      <alignment horizontal="center" vertical="top" wrapText="1"/>
      <protection locked="0"/>
    </xf>
    <xf numFmtId="0" fontId="28" fillId="0" borderId="0" xfId="0" applyFont="1" applyAlignment="1">
      <alignment vertical="top" wrapText="1"/>
    </xf>
    <xf numFmtId="10" fontId="37" fillId="0" borderId="0" xfId="2" applyNumberFormat="1" applyFont="1" applyAlignment="1" applyProtection="1">
      <alignment horizontal="center" vertical="top" wrapText="1"/>
      <protection locked="0"/>
    </xf>
    <xf numFmtId="9" fontId="57" fillId="10" borderId="0" xfId="2" applyFont="1" applyFill="1" applyAlignment="1" applyProtection="1">
      <alignment horizontal="left" vertical="top" wrapText="1"/>
      <protection locked="0"/>
    </xf>
    <xf numFmtId="9" fontId="36" fillId="15" borderId="0" xfId="2" applyFont="1" applyFill="1" applyAlignment="1" applyProtection="1">
      <alignment horizontal="center" vertical="top" wrapText="1"/>
      <protection locked="0"/>
    </xf>
    <xf numFmtId="9" fontId="36" fillId="15" borderId="0" xfId="0" applyNumberFormat="1" applyFont="1" applyFill="1" applyAlignment="1" applyProtection="1">
      <alignment horizontal="center" vertical="top" wrapText="1"/>
      <protection locked="0"/>
    </xf>
    <xf numFmtId="0" fontId="61" fillId="0" borderId="0" xfId="0" applyFont="1" applyAlignment="1" applyProtection="1">
      <alignment horizontal="left" vertical="top" wrapText="1"/>
      <protection locked="0"/>
    </xf>
    <xf numFmtId="10" fontId="37" fillId="0" borderId="0" xfId="0" applyNumberFormat="1" applyFont="1" applyAlignment="1" applyProtection="1">
      <alignment horizontal="center" vertical="top" wrapText="1"/>
      <protection locked="0"/>
    </xf>
    <xf numFmtId="0" fontId="54" fillId="15" borderId="0" xfId="0" applyFont="1" applyFill="1" applyAlignment="1" applyProtection="1">
      <alignment horizontal="left" vertical="top" wrapText="1"/>
      <protection locked="0"/>
    </xf>
    <xf numFmtId="0" fontId="61" fillId="10" borderId="0" xfId="0" applyFont="1" applyFill="1" applyAlignment="1" applyProtection="1">
      <alignment horizontal="left" vertical="top" wrapText="1"/>
      <protection locked="0"/>
    </xf>
    <xf numFmtId="168" fontId="36" fillId="14" borderId="0" xfId="0" applyNumberFormat="1" applyFont="1" applyFill="1" applyAlignment="1" applyProtection="1">
      <alignment horizontal="left" vertical="top" wrapText="1"/>
      <protection locked="0"/>
    </xf>
    <xf numFmtId="9" fontId="36" fillId="14" borderId="0" xfId="2" applyFont="1" applyFill="1" applyAlignment="1" applyProtection="1">
      <alignment horizontal="center" vertical="top" wrapText="1"/>
      <protection locked="0"/>
    </xf>
    <xf numFmtId="9" fontId="36" fillId="0" borderId="0" xfId="0" applyNumberFormat="1" applyFont="1" applyAlignment="1" applyProtection="1">
      <alignment horizontal="center" vertical="top" wrapText="1"/>
      <protection locked="0"/>
    </xf>
    <xf numFmtId="169" fontId="36" fillId="15" borderId="0" xfId="2" applyNumberFormat="1" applyFont="1" applyFill="1" applyAlignment="1" applyProtection="1">
      <alignment horizontal="center" vertical="top" wrapText="1"/>
      <protection locked="0"/>
    </xf>
    <xf numFmtId="0" fontId="37" fillId="16" borderId="3" xfId="0" applyFont="1" applyFill="1" applyBorder="1" applyAlignment="1" applyProtection="1">
      <alignment horizontal="center" vertical="top" wrapText="1"/>
      <protection locked="0"/>
    </xf>
    <xf numFmtId="9" fontId="37" fillId="16" borderId="3" xfId="0" applyNumberFormat="1" applyFont="1" applyFill="1" applyBorder="1" applyAlignment="1">
      <alignment horizontal="center" vertical="top" wrapText="1"/>
    </xf>
    <xf numFmtId="0" fontId="37" fillId="16" borderId="3" xfId="0" applyFont="1" applyFill="1" applyBorder="1" applyAlignment="1">
      <alignment horizontal="center" vertical="top" wrapText="1"/>
    </xf>
    <xf numFmtId="171" fontId="36" fillId="15" borderId="0" xfId="0" applyNumberFormat="1" applyFont="1" applyFill="1" applyAlignment="1" applyProtection="1">
      <alignment horizontal="left" vertical="top" wrapText="1"/>
      <protection locked="0"/>
    </xf>
    <xf numFmtId="169" fontId="23" fillId="0" borderId="30" xfId="0" applyNumberFormat="1" applyFont="1" applyBorder="1" applyAlignment="1" applyProtection="1">
      <alignment horizontal="center" vertical="center" wrapText="1"/>
      <protection hidden="1"/>
    </xf>
    <xf numFmtId="167" fontId="36" fillId="10" borderId="0" xfId="3" applyNumberFormat="1" applyFont="1" applyFill="1" applyAlignment="1">
      <alignment horizontal="right" vertical="top" wrapText="1"/>
    </xf>
    <xf numFmtId="9" fontId="36" fillId="10" borderId="0" xfId="2" applyFont="1" applyFill="1" applyAlignment="1">
      <alignment horizontal="right" vertical="top" wrapText="1"/>
    </xf>
    <xf numFmtId="9" fontId="41" fillId="0" borderId="0" xfId="2" applyFont="1" applyFill="1" applyAlignment="1">
      <alignment horizontal="right" vertical="top" wrapText="1"/>
    </xf>
    <xf numFmtId="44" fontId="36" fillId="0" borderId="0" xfId="4" applyFont="1" applyFill="1" applyAlignment="1">
      <alignment horizontal="right" vertical="top" wrapText="1"/>
    </xf>
    <xf numFmtId="0" fontId="0" fillId="10" borderId="0" xfId="0" applyFill="1"/>
    <xf numFmtId="0" fontId="37" fillId="17" borderId="3" xfId="0" applyFont="1" applyFill="1" applyBorder="1" applyAlignment="1" applyProtection="1">
      <alignment horizontal="center" vertical="top" wrapText="1"/>
      <protection locked="0"/>
    </xf>
    <xf numFmtId="168" fontId="37" fillId="10" borderId="0" xfId="8" applyNumberFormat="1" applyFont="1" applyFill="1" applyAlignment="1" applyProtection="1">
      <alignment horizontal="left" vertical="top" wrapText="1"/>
      <protection locked="0"/>
    </xf>
    <xf numFmtId="0" fontId="36" fillId="0" borderId="0" xfId="2" applyNumberFormat="1" applyFont="1" applyFill="1" applyAlignment="1">
      <alignment horizontal="right" vertical="top" wrapText="1"/>
    </xf>
    <xf numFmtId="10" fontId="23" fillId="0" borderId="30" xfId="0" applyNumberFormat="1" applyFont="1" applyBorder="1" applyAlignment="1" applyProtection="1">
      <alignment horizontal="center" vertical="center" wrapText="1"/>
      <protection hidden="1"/>
    </xf>
    <xf numFmtId="166" fontId="28" fillId="0" borderId="0" xfId="3" applyNumberFormat="1" applyFont="1" applyAlignment="1">
      <alignment horizontal="left" vertical="top"/>
    </xf>
    <xf numFmtId="166" fontId="36" fillId="0" borderId="16" xfId="3" applyNumberFormat="1" applyFont="1" applyBorder="1" applyAlignment="1">
      <alignment horizontal="left" vertical="top"/>
    </xf>
    <xf numFmtId="166" fontId="36" fillId="0" borderId="15" xfId="3" applyNumberFormat="1" applyFont="1" applyBorder="1" applyAlignment="1">
      <alignment horizontal="left" vertical="top"/>
    </xf>
    <xf numFmtId="166" fontId="36" fillId="0" borderId="0" xfId="3" applyNumberFormat="1" applyFont="1" applyAlignment="1">
      <alignment horizontal="left" vertical="top"/>
    </xf>
    <xf numFmtId="166" fontId="43" fillId="0" borderId="0" xfId="3" applyNumberFormat="1" applyFont="1" applyAlignment="1">
      <alignment horizontal="left" vertical="top" wrapText="1"/>
    </xf>
    <xf numFmtId="0" fontId="43" fillId="0" borderId="0" xfId="0" applyFont="1" applyAlignment="1">
      <alignment horizontal="left" vertical="top"/>
    </xf>
    <xf numFmtId="166" fontId="42" fillId="11" borderId="3" xfId="3" applyNumberFormat="1" applyFont="1" applyFill="1" applyBorder="1" applyAlignment="1">
      <alignment horizontal="left" vertical="top" wrapText="1"/>
    </xf>
    <xf numFmtId="166" fontId="37" fillId="0" borderId="3" xfId="3" applyNumberFormat="1" applyFont="1" applyBorder="1" applyAlignment="1" applyProtection="1">
      <alignment horizontal="left" vertical="top" wrapText="1"/>
      <protection locked="0"/>
    </xf>
    <xf numFmtId="166" fontId="54" fillId="0" borderId="3" xfId="3" applyNumberFormat="1" applyFont="1" applyBorder="1" applyAlignment="1" applyProtection="1">
      <alignment horizontal="left" vertical="top" wrapText="1"/>
      <protection locked="0"/>
    </xf>
    <xf numFmtId="0" fontId="28" fillId="0" borderId="0" xfId="0" applyFont="1" applyAlignment="1">
      <alignment horizontal="left" vertical="top"/>
    </xf>
    <xf numFmtId="1" fontId="63" fillId="0" borderId="3" xfId="0" applyNumberFormat="1" applyFont="1" applyBorder="1" applyAlignment="1" applyProtection="1">
      <alignment horizontal="center" vertical="center"/>
      <protection hidden="1"/>
    </xf>
    <xf numFmtId="1" fontId="63" fillId="0" borderId="35" xfId="0" applyNumberFormat="1" applyFont="1" applyBorder="1" applyAlignment="1" applyProtection="1">
      <alignment horizontal="center" vertical="center"/>
      <protection hidden="1"/>
    </xf>
    <xf numFmtId="1" fontId="63" fillId="0" borderId="55" xfId="0" applyNumberFormat="1" applyFont="1" applyBorder="1" applyAlignment="1" applyProtection="1">
      <alignment horizontal="center" vertical="center"/>
      <protection hidden="1"/>
    </xf>
    <xf numFmtId="1" fontId="63" fillId="0" borderId="26" xfId="0" applyNumberFormat="1" applyFont="1" applyBorder="1" applyAlignment="1" applyProtection="1">
      <alignment horizontal="center" vertical="center"/>
      <protection hidden="1"/>
    </xf>
    <xf numFmtId="1" fontId="63" fillId="0" borderId="44" xfId="0" applyNumberFormat="1" applyFont="1" applyBorder="1" applyAlignment="1" applyProtection="1">
      <alignment horizontal="center" vertical="center"/>
      <protection hidden="1"/>
    </xf>
    <xf numFmtId="9" fontId="36" fillId="0" borderId="0" xfId="2" applyFont="1" applyAlignment="1">
      <alignment vertical="top"/>
    </xf>
    <xf numFmtId="9" fontId="37" fillId="0" borderId="0" xfId="2" applyFont="1" applyAlignment="1" applyProtection="1">
      <alignment horizontal="left" vertical="top" wrapText="1"/>
      <protection locked="0"/>
    </xf>
    <xf numFmtId="0" fontId="64" fillId="0" borderId="0" xfId="0" applyFont="1" applyAlignment="1" applyProtection="1">
      <alignment horizontal="left" vertical="top" wrapText="1"/>
      <protection locked="0"/>
    </xf>
    <xf numFmtId="0" fontId="9" fillId="0" borderId="7"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8" xfId="0" applyFont="1" applyBorder="1" applyAlignment="1" applyProtection="1">
      <alignment horizontal="left" vertical="top" wrapText="1"/>
      <protection locked="0"/>
    </xf>
    <xf numFmtId="0" fontId="9" fillId="0" borderId="34" xfId="0" applyFont="1" applyBorder="1" applyAlignment="1" applyProtection="1">
      <alignment horizontal="left" vertical="top" wrapText="1"/>
      <protection locked="0"/>
    </xf>
    <xf numFmtId="0" fontId="9" fillId="0" borderId="16" xfId="0" applyFont="1" applyBorder="1" applyAlignment="1" applyProtection="1">
      <alignment horizontal="left" vertical="top" wrapText="1"/>
      <protection locked="0"/>
    </xf>
    <xf numFmtId="0" fontId="9" fillId="0" borderId="23" xfId="0" applyFont="1" applyBorder="1" applyAlignment="1" applyProtection="1">
      <alignment horizontal="left" vertical="top" wrapText="1"/>
      <protection locked="0"/>
    </xf>
    <xf numFmtId="0" fontId="9" fillId="0" borderId="6" xfId="0" applyFont="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0" fontId="9" fillId="0" borderId="2" xfId="0" applyFont="1" applyBorder="1" applyAlignment="1" applyProtection="1">
      <alignment horizontal="left" vertical="top" wrapText="1"/>
      <protection locked="0"/>
    </xf>
    <xf numFmtId="0" fontId="5" fillId="0" borderId="7" xfId="0" applyFont="1" applyBorder="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5" fillId="0" borderId="8" xfId="0" applyFont="1" applyBorder="1" applyAlignment="1" applyProtection="1">
      <alignment horizontal="left" vertical="top" wrapText="1"/>
      <protection locked="0"/>
    </xf>
    <xf numFmtId="0" fontId="5" fillId="0" borderId="9" xfId="0" applyFont="1" applyBorder="1" applyAlignment="1" applyProtection="1">
      <alignment horizontal="left" vertical="top" wrapText="1"/>
      <protection locked="0"/>
    </xf>
    <xf numFmtId="0" fontId="5" fillId="0" borderId="4" xfId="0" applyFont="1" applyBorder="1" applyAlignment="1" applyProtection="1">
      <alignment horizontal="left" vertical="top" wrapText="1"/>
      <protection locked="0"/>
    </xf>
    <xf numFmtId="0" fontId="5" fillId="0" borderId="5" xfId="0" applyFont="1" applyBorder="1" applyAlignment="1" applyProtection="1">
      <alignment horizontal="left" vertical="top" wrapText="1"/>
      <protection locked="0"/>
    </xf>
    <xf numFmtId="0" fontId="8" fillId="0" borderId="7" xfId="0" applyFont="1" applyBorder="1" applyAlignment="1" applyProtection="1">
      <alignment horizontal="left" vertical="top"/>
      <protection locked="0"/>
    </xf>
    <xf numFmtId="0" fontId="9" fillId="0" borderId="0" xfId="0" applyFont="1" applyAlignment="1" applyProtection="1">
      <alignment horizontal="left" vertical="top"/>
      <protection locked="0"/>
    </xf>
    <xf numFmtId="0" fontId="9" fillId="0" borderId="8" xfId="0" applyFont="1" applyBorder="1" applyAlignment="1" applyProtection="1">
      <alignment horizontal="left" vertical="top"/>
      <protection locked="0"/>
    </xf>
    <xf numFmtId="0" fontId="9" fillId="0" borderId="7" xfId="0" applyFont="1" applyBorder="1" applyAlignment="1" applyProtection="1">
      <alignment horizontal="left" vertical="top"/>
      <protection locked="0"/>
    </xf>
    <xf numFmtId="0" fontId="9" fillId="0" borderId="9" xfId="0" applyFont="1" applyBorder="1" applyAlignment="1" applyProtection="1">
      <alignment horizontal="left" vertical="top"/>
      <protection locked="0"/>
    </xf>
    <xf numFmtId="0" fontId="9" fillId="0" borderId="4" xfId="0" applyFont="1" applyBorder="1" applyAlignment="1" applyProtection="1">
      <alignment horizontal="left" vertical="top"/>
      <protection locked="0"/>
    </xf>
    <xf numFmtId="0" fontId="9" fillId="0" borderId="5" xfId="0" applyFont="1" applyBorder="1" applyAlignment="1" applyProtection="1">
      <alignment horizontal="left" vertical="top"/>
      <protection locked="0"/>
    </xf>
    <xf numFmtId="0" fontId="9" fillId="0" borderId="9" xfId="0" applyFont="1" applyBorder="1" applyAlignment="1" applyProtection="1">
      <alignment horizontal="left" vertical="top" wrapText="1"/>
      <protection locked="0"/>
    </xf>
    <xf numFmtId="0" fontId="9" fillId="0" borderId="4" xfId="0" applyFont="1" applyBorder="1" applyAlignment="1" applyProtection="1">
      <alignment horizontal="left" vertical="top" wrapText="1"/>
      <protection locked="0"/>
    </xf>
    <xf numFmtId="0" fontId="9" fillId="0" borderId="5" xfId="0" applyFont="1" applyBorder="1" applyAlignment="1" applyProtection="1">
      <alignment horizontal="left" vertical="top" wrapText="1"/>
      <protection locked="0"/>
    </xf>
    <xf numFmtId="0" fontId="9" fillId="0" borderId="7" xfId="0" applyFont="1" applyBorder="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9" fillId="0" borderId="8" xfId="0" applyFont="1" applyBorder="1" applyAlignment="1" applyProtection="1">
      <alignment horizontal="center" vertical="top" wrapText="1"/>
      <protection locked="0"/>
    </xf>
    <xf numFmtId="0" fontId="7" fillId="0" borderId="4" xfId="0" applyFont="1" applyBorder="1"/>
    <xf numFmtId="0" fontId="8" fillId="3" borderId="6"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2" xfId="0" applyFont="1" applyFill="1" applyBorder="1" applyAlignment="1">
      <alignment horizontal="center" vertical="center"/>
    </xf>
    <xf numFmtId="0" fontId="7" fillId="0" borderId="0" xfId="0" applyFont="1"/>
    <xf numFmtId="1" fontId="7" fillId="0" borderId="26" xfId="0" applyNumberFormat="1" applyFont="1" applyBorder="1" applyAlignment="1" applyProtection="1">
      <alignment horizontal="center" vertical="center"/>
      <protection locked="0"/>
    </xf>
    <xf numFmtId="0" fontId="8" fillId="2" borderId="45" xfId="0" applyFont="1" applyFill="1" applyBorder="1" applyAlignment="1">
      <alignment horizontal="center" vertical="center"/>
    </xf>
    <xf numFmtId="0" fontId="8" fillId="2" borderId="32" xfId="0" applyFont="1" applyFill="1" applyBorder="1" applyAlignment="1">
      <alignment horizontal="center" vertical="center"/>
    </xf>
    <xf numFmtId="0" fontId="8" fillId="2" borderId="33" xfId="0" applyFont="1" applyFill="1" applyBorder="1" applyAlignment="1">
      <alignment horizontal="center" vertical="center"/>
    </xf>
    <xf numFmtId="0" fontId="7" fillId="0" borderId="1" xfId="0" applyFont="1" applyBorder="1"/>
    <xf numFmtId="0" fontId="7" fillId="0" borderId="57" xfId="0" applyFont="1" applyBorder="1"/>
    <xf numFmtId="0" fontId="7" fillId="0" borderId="56" xfId="0" applyFont="1" applyBorder="1"/>
    <xf numFmtId="0" fontId="7" fillId="0" borderId="2" xfId="0" applyFont="1" applyBorder="1"/>
    <xf numFmtId="0" fontId="7" fillId="0" borderId="58" xfId="0" applyFont="1" applyBorder="1"/>
    <xf numFmtId="0" fontId="7" fillId="0" borderId="59" xfId="0" applyFont="1" applyBorder="1"/>
    <xf numFmtId="0" fontId="7" fillId="0" borderId="60" xfId="0" applyFont="1" applyBorder="1"/>
    <xf numFmtId="0" fontId="7" fillId="0" borderId="61" xfId="0" applyFont="1" applyBorder="1"/>
    <xf numFmtId="0" fontId="7" fillId="0" borderId="8" xfId="0" applyFont="1" applyBorder="1"/>
    <xf numFmtId="0" fontId="7" fillId="0" borderId="62" xfId="0" applyFont="1" applyBorder="1"/>
    <xf numFmtId="0" fontId="7" fillId="0" borderId="5" xfId="0" applyFont="1" applyBorder="1"/>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10" fillId="0" borderId="19" xfId="0" applyFont="1" applyBorder="1" applyAlignment="1">
      <alignment horizontal="center" vertical="center" wrapText="1"/>
    </xf>
    <xf numFmtId="0" fontId="10" fillId="0" borderId="22" xfId="0" applyFont="1" applyBorder="1" applyAlignment="1">
      <alignment horizontal="left" vertical="center" wrapText="1"/>
    </xf>
    <xf numFmtId="0" fontId="10" fillId="0" borderId="3" xfId="0" applyFont="1" applyBorder="1" applyAlignment="1">
      <alignment horizontal="left" vertical="center" wrapText="1"/>
    </xf>
    <xf numFmtId="1" fontId="7" fillId="0" borderId="35" xfId="0" applyNumberFormat="1" applyFont="1" applyBorder="1" applyAlignment="1" applyProtection="1">
      <alignment horizontal="center" vertical="center"/>
      <protection locked="0"/>
    </xf>
    <xf numFmtId="1" fontId="7" fillId="0" borderId="36" xfId="0" applyNumberFormat="1" applyFont="1" applyBorder="1" applyAlignment="1" applyProtection="1">
      <alignment horizontal="center" vertical="center"/>
      <protection locked="0"/>
    </xf>
    <xf numFmtId="1" fontId="7" fillId="0" borderId="39" xfId="0" applyNumberFormat="1" applyFont="1" applyBorder="1" applyAlignment="1" applyProtection="1">
      <alignment horizontal="center" vertical="center"/>
      <protection locked="0"/>
    </xf>
    <xf numFmtId="0" fontId="12" fillId="0" borderId="45"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33" xfId="0" applyFont="1" applyBorder="1" applyAlignment="1" applyProtection="1">
      <alignment horizontal="center" vertical="center" wrapText="1"/>
      <protection locked="0"/>
    </xf>
    <xf numFmtId="0" fontId="10" fillId="0" borderId="18" xfId="0" applyFont="1" applyBorder="1" applyAlignment="1">
      <alignment horizontal="left" vertical="center" wrapText="1"/>
    </xf>
    <xf numFmtId="0" fontId="10" fillId="0" borderId="19" xfId="0" applyFont="1" applyBorder="1" applyAlignment="1">
      <alignment horizontal="left" vertical="center" wrapText="1"/>
    </xf>
    <xf numFmtId="0" fontId="10" fillId="0" borderId="19"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27"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9" fillId="0" borderId="3" xfId="0" applyFont="1" applyBorder="1" applyAlignment="1">
      <alignment horizontal="center" vertical="center" wrapText="1"/>
    </xf>
    <xf numFmtId="0" fontId="5" fillId="0" borderId="35" xfId="0" applyFont="1" applyBorder="1" applyAlignment="1" applyProtection="1">
      <alignment horizontal="center" vertical="center" wrapText="1"/>
      <protection locked="0"/>
    </xf>
    <xf numFmtId="0" fontId="5" fillId="0" borderId="36" xfId="0" applyFont="1" applyBorder="1" applyAlignment="1" applyProtection="1">
      <alignment horizontal="center" vertical="center" wrapText="1"/>
      <protection locked="0"/>
    </xf>
    <xf numFmtId="0" fontId="5" fillId="0" borderId="39" xfId="0" applyFont="1" applyBorder="1" applyAlignment="1" applyProtection="1">
      <alignment horizontal="center" vertical="center" wrapText="1"/>
      <protection locked="0"/>
    </xf>
    <xf numFmtId="0" fontId="9" fillId="0" borderId="26" xfId="0" applyFont="1" applyBorder="1" applyAlignment="1">
      <alignment horizontal="center" vertical="center" wrapText="1"/>
    </xf>
    <xf numFmtId="0" fontId="5" fillId="0" borderId="41" xfId="0" applyFont="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0" fontId="5" fillId="0" borderId="43" xfId="0" applyFont="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5" fillId="0" borderId="51" xfId="0" applyFont="1" applyBorder="1" applyAlignment="1" applyProtection="1">
      <alignment horizontal="center" vertical="center"/>
      <protection locked="0"/>
    </xf>
    <xf numFmtId="0" fontId="5" fillId="0" borderId="52" xfId="0" applyFont="1" applyBorder="1" applyAlignment="1" applyProtection="1">
      <alignment horizontal="center" vertical="center"/>
      <protection locked="0"/>
    </xf>
    <xf numFmtId="0" fontId="5" fillId="0" borderId="53" xfId="0" applyFont="1" applyBorder="1" applyAlignment="1" applyProtection="1">
      <alignment horizontal="center" vertical="center"/>
      <protection locked="0"/>
    </xf>
    <xf numFmtId="9" fontId="5" fillId="0" borderId="10" xfId="0" applyNumberFormat="1" applyFont="1" applyBorder="1" applyAlignment="1" applyProtection="1">
      <alignment horizontal="center" vertical="center"/>
      <protection locked="0"/>
    </xf>
    <xf numFmtId="9" fontId="5" fillId="0" borderId="12" xfId="0" applyNumberFormat="1" applyFont="1" applyBorder="1" applyAlignment="1" applyProtection="1">
      <alignment horizontal="center" vertical="center"/>
      <protection locked="0"/>
    </xf>
    <xf numFmtId="9" fontId="5" fillId="0" borderId="13" xfId="0" applyNumberFormat="1" applyFont="1" applyBorder="1" applyAlignment="1" applyProtection="1">
      <alignment horizontal="center" vertical="center"/>
      <protection locked="0"/>
    </xf>
    <xf numFmtId="9" fontId="5" fillId="0" borderId="14" xfId="0" applyNumberFormat="1" applyFont="1" applyBorder="1" applyAlignment="1" applyProtection="1">
      <alignment horizontal="center" vertical="center"/>
      <protection locked="0"/>
    </xf>
    <xf numFmtId="9" fontId="5" fillId="0" borderId="27" xfId="0" applyNumberFormat="1" applyFont="1" applyBorder="1" applyAlignment="1" applyProtection="1">
      <alignment horizontal="center" vertical="center"/>
      <protection locked="0"/>
    </xf>
    <xf numFmtId="9" fontId="5" fillId="0" borderId="28" xfId="0" applyNumberFormat="1" applyFont="1" applyBorder="1" applyAlignment="1" applyProtection="1">
      <alignment horizontal="center" vertical="center"/>
      <protection locked="0"/>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5" fillId="0" borderId="14" xfId="0" applyFont="1" applyBorder="1" applyAlignment="1">
      <alignment horizontal="left" vertical="center" wrapText="1"/>
    </xf>
    <xf numFmtId="0" fontId="5" fillId="0" borderId="27" xfId="0" applyFont="1" applyBorder="1" applyAlignment="1">
      <alignment horizontal="left" vertical="center" wrapText="1"/>
    </xf>
    <xf numFmtId="0" fontId="5" fillId="0" borderId="4" xfId="0" applyFont="1" applyBorder="1" applyAlignment="1">
      <alignment horizontal="left" vertical="center" wrapText="1"/>
    </xf>
    <xf numFmtId="0" fontId="5" fillId="0" borderId="28" xfId="0" applyFont="1" applyBorder="1" applyAlignment="1">
      <alignment horizontal="left"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9" xfId="0" applyFont="1" applyBorder="1" applyAlignment="1">
      <alignment horizontal="center" vertical="center"/>
    </xf>
    <xf numFmtId="0" fontId="9" fillId="0" borderId="47" xfId="0" applyFont="1" applyBorder="1" applyAlignment="1">
      <alignment horizontal="center" vertical="center"/>
    </xf>
    <xf numFmtId="0" fontId="9" fillId="0" borderId="48" xfId="0" applyFont="1" applyBorder="1" applyAlignment="1">
      <alignment horizontal="center" vertical="center"/>
    </xf>
    <xf numFmtId="0" fontId="9" fillId="0" borderId="49" xfId="0" applyFont="1" applyBorder="1" applyAlignment="1">
      <alignment horizontal="center" vertical="center"/>
    </xf>
    <xf numFmtId="0" fontId="9" fillId="0" borderId="47"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3" xfId="0" applyFont="1" applyBorder="1" applyAlignment="1">
      <alignment horizontal="center" vertical="center" wrapText="1"/>
    </xf>
    <xf numFmtId="0" fontId="11" fillId="0" borderId="3" xfId="0" applyFont="1" applyBorder="1" applyAlignment="1">
      <alignment horizontal="center"/>
    </xf>
    <xf numFmtId="0" fontId="5" fillId="0" borderId="26" xfId="0" applyFont="1" applyBorder="1" applyAlignment="1" applyProtection="1">
      <alignment horizontal="left" vertical="center" wrapText="1"/>
      <protection locked="0"/>
    </xf>
    <xf numFmtId="9" fontId="5" fillId="0" borderId="41" xfId="0" applyNumberFormat="1" applyFont="1" applyBorder="1" applyAlignment="1" applyProtection="1">
      <alignment horizontal="center" vertical="center"/>
      <protection locked="0"/>
    </xf>
    <xf numFmtId="9" fontId="5" fillId="0" borderId="42" xfId="0" applyNumberFormat="1" applyFont="1" applyBorder="1" applyAlignment="1" applyProtection="1">
      <alignment horizontal="center" vertical="center"/>
      <protection locked="0"/>
    </xf>
    <xf numFmtId="9" fontId="5" fillId="0" borderId="43" xfId="0" applyNumberFormat="1" applyFont="1" applyBorder="1" applyAlignment="1" applyProtection="1">
      <alignment horizontal="center" vertical="center"/>
      <protection locked="0"/>
    </xf>
    <xf numFmtId="0" fontId="9" fillId="0" borderId="41" xfId="0" applyFont="1" applyBorder="1" applyAlignment="1" applyProtection="1">
      <alignment horizontal="center" vertical="center"/>
      <protection locked="0"/>
    </xf>
    <xf numFmtId="0" fontId="9" fillId="0" borderId="42" xfId="0" applyFont="1" applyBorder="1" applyAlignment="1" applyProtection="1">
      <alignment horizontal="center" vertical="center"/>
      <protection locked="0"/>
    </xf>
    <xf numFmtId="0" fontId="9" fillId="0" borderId="43" xfId="0" applyFont="1" applyBorder="1" applyAlignment="1" applyProtection="1">
      <alignment horizontal="center" vertical="center"/>
      <protection locked="0"/>
    </xf>
    <xf numFmtId="1" fontId="5" fillId="0" borderId="26" xfId="0" applyNumberFormat="1" applyFont="1" applyBorder="1" applyAlignment="1" applyProtection="1">
      <alignment horizontal="center" vertical="center"/>
      <protection locked="0"/>
    </xf>
    <xf numFmtId="1" fontId="5" fillId="0" borderId="41" xfId="0" applyNumberFormat="1" applyFont="1" applyBorder="1" applyAlignment="1" applyProtection="1">
      <alignment horizontal="center" vertical="center"/>
      <protection locked="0"/>
    </xf>
    <xf numFmtId="1" fontId="5" fillId="0" borderId="44" xfId="0" applyNumberFormat="1" applyFont="1" applyBorder="1" applyAlignment="1" applyProtection="1">
      <alignment horizontal="center" vertical="center"/>
      <protection locked="0"/>
    </xf>
    <xf numFmtId="0" fontId="5" fillId="0" borderId="32" xfId="0" applyFont="1" applyBorder="1" applyAlignment="1">
      <alignment horizontal="center" vertical="center"/>
    </xf>
    <xf numFmtId="0" fontId="8" fillId="2" borderId="29" xfId="0" applyFont="1" applyFill="1" applyBorder="1" applyAlignment="1" applyProtection="1">
      <alignment horizontal="center" vertical="center"/>
      <protection locked="0"/>
    </xf>
    <xf numFmtId="0" fontId="8" fillId="2" borderId="30" xfId="0" applyFont="1" applyFill="1" applyBorder="1" applyAlignment="1" applyProtection="1">
      <alignment horizontal="center" vertical="center"/>
      <protection locked="0"/>
    </xf>
    <xf numFmtId="0" fontId="8" fillId="2" borderId="31" xfId="0" applyFont="1" applyFill="1" applyBorder="1" applyAlignment="1" applyProtection="1">
      <alignment horizontal="left" vertical="center" wrapText="1"/>
      <protection locked="0"/>
    </xf>
    <xf numFmtId="0" fontId="8" fillId="2" borderId="32" xfId="0" applyFont="1" applyFill="1" applyBorder="1" applyAlignment="1" applyProtection="1">
      <alignment horizontal="left" vertical="center" wrapText="1"/>
      <protection locked="0"/>
    </xf>
    <xf numFmtId="0" fontId="8" fillId="2" borderId="33" xfId="0" applyFont="1" applyFill="1" applyBorder="1" applyAlignment="1" applyProtection="1">
      <alignment horizontal="left" vertical="center" wrapText="1"/>
      <protection locked="0"/>
    </xf>
    <xf numFmtId="0" fontId="9" fillId="0" borderId="34" xfId="0" applyFont="1" applyBorder="1" applyAlignment="1">
      <alignment horizontal="center" vertical="center" wrapText="1"/>
    </xf>
    <xf numFmtId="0" fontId="5" fillId="0" borderId="15"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0" fontId="5" fillId="0" borderId="35" xfId="0" applyFont="1" applyBorder="1" applyAlignment="1" applyProtection="1">
      <alignment horizontal="left" vertical="center" wrapText="1"/>
      <protection locked="0"/>
    </xf>
    <xf numFmtId="0" fontId="5" fillId="0" borderId="36" xfId="0" applyFont="1" applyBorder="1" applyAlignment="1" applyProtection="1">
      <alignment horizontal="left" vertical="center" wrapText="1"/>
      <protection locked="0"/>
    </xf>
    <xf numFmtId="0" fontId="5" fillId="0" borderId="37" xfId="0" applyFont="1" applyBorder="1" applyAlignment="1" applyProtection="1">
      <alignment horizontal="left" vertical="center" wrapText="1"/>
      <protection locked="0"/>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2" xfId="0" applyFont="1" applyBorder="1" applyAlignment="1">
      <alignment horizontal="center" vertical="center"/>
    </xf>
    <xf numFmtId="0" fontId="4" fillId="0" borderId="3"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6" fillId="0" borderId="19" xfId="0" applyFont="1" applyBorder="1" applyAlignment="1">
      <alignment horizontal="center" vertical="center" wrapText="1"/>
    </xf>
    <xf numFmtId="0" fontId="6" fillId="0" borderId="3" xfId="0" applyFont="1" applyBorder="1" applyAlignment="1">
      <alignment horizontal="center" vertical="center" wrapText="1"/>
    </xf>
    <xf numFmtId="0" fontId="4" fillId="0" borderId="20" xfId="0" applyFont="1" applyBorder="1" applyAlignment="1">
      <alignment horizontal="center" vertical="center"/>
    </xf>
    <xf numFmtId="0" fontId="4" fillId="0" borderId="1" xfId="0" applyFont="1" applyBorder="1" applyAlignment="1">
      <alignment horizontal="center" vertical="center"/>
    </xf>
    <xf numFmtId="0" fontId="4" fillId="0" borderId="21"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6" fillId="0" borderId="20"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23" xfId="0" applyFont="1" applyBorder="1" applyAlignment="1">
      <alignment horizontal="center" vertical="center"/>
    </xf>
    <xf numFmtId="0" fontId="6" fillId="0" borderId="26" xfId="0" applyFont="1" applyBorder="1" applyAlignment="1">
      <alignment horizontal="center" vertical="center" wrapText="1"/>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27" xfId="0" applyFont="1" applyBorder="1" applyAlignment="1">
      <alignment horizontal="center" vertical="center"/>
    </xf>
    <xf numFmtId="0" fontId="4" fillId="0" borderId="4" xfId="0" applyFont="1" applyBorder="1" applyAlignment="1">
      <alignment horizontal="center" vertical="center"/>
    </xf>
    <xf numFmtId="0" fontId="4" fillId="0" borderId="28"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4" xfId="0" applyFont="1" applyBorder="1" applyAlignment="1">
      <alignment horizontal="center" vertical="center"/>
    </xf>
    <xf numFmtId="0" fontId="6" fillId="0" borderId="27" xfId="0" applyFont="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9" fillId="0" borderId="40" xfId="0" applyFont="1" applyBorder="1" applyAlignment="1">
      <alignment horizontal="center" vertical="center" wrapText="1"/>
    </xf>
    <xf numFmtId="0" fontId="9" fillId="0" borderId="7" xfId="0" applyFont="1" applyBorder="1" applyAlignment="1">
      <alignment horizontal="center" vertical="center" wrapText="1"/>
    </xf>
    <xf numFmtId="0" fontId="9" fillId="0" borderId="0" xfId="0" applyFont="1" applyAlignment="1">
      <alignment horizontal="center" vertical="center" wrapText="1"/>
    </xf>
    <xf numFmtId="0" fontId="9" fillId="0" borderId="9"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5" xfId="0" applyFont="1" applyBorder="1" applyAlignment="1">
      <alignment horizontal="center" vertical="center"/>
    </xf>
    <xf numFmtId="0" fontId="9" fillId="0" borderId="36" xfId="0" applyFont="1" applyBorder="1" applyAlignment="1">
      <alignment horizontal="center" vertical="center"/>
    </xf>
    <xf numFmtId="0" fontId="9" fillId="0" borderId="3" xfId="0" applyFont="1" applyBorder="1" applyAlignment="1">
      <alignment horizontal="center" vertical="center"/>
    </xf>
    <xf numFmtId="0" fontId="9" fillId="0" borderId="37" xfId="0" applyFont="1" applyBorder="1" applyAlignment="1">
      <alignment horizontal="center" vertical="center"/>
    </xf>
    <xf numFmtId="0" fontId="5" fillId="0" borderId="39" xfId="0" applyFont="1" applyBorder="1" applyAlignment="1" applyProtection="1">
      <alignment horizontal="left" vertical="center" wrapText="1"/>
      <protection locked="0"/>
    </xf>
    <xf numFmtId="0" fontId="45" fillId="9" borderId="35" xfId="0" applyFont="1" applyFill="1" applyBorder="1" applyAlignment="1">
      <alignment horizontal="left" vertical="top" wrapText="1"/>
    </xf>
    <xf numFmtId="0" fontId="45" fillId="9" borderId="36" xfId="0" applyFont="1" applyFill="1" applyBorder="1" applyAlignment="1">
      <alignment horizontal="left" vertical="top" wrapText="1"/>
    </xf>
    <xf numFmtId="0" fontId="45" fillId="9" borderId="39" xfId="0" applyFont="1" applyFill="1" applyBorder="1" applyAlignment="1">
      <alignment horizontal="left" vertical="top" wrapText="1"/>
    </xf>
    <xf numFmtId="0" fontId="42" fillId="9" borderId="63" xfId="0" applyFont="1" applyFill="1" applyBorder="1" applyAlignment="1">
      <alignment horizontal="center" vertical="top" wrapText="1"/>
    </xf>
    <xf numFmtId="0" fontId="42" fillId="9" borderId="68" xfId="0" applyFont="1" applyFill="1" applyBorder="1" applyAlignment="1">
      <alignment horizontal="center" vertical="top" wrapText="1"/>
    </xf>
    <xf numFmtId="0" fontId="42" fillId="9" borderId="35" xfId="0" applyFont="1" applyFill="1" applyBorder="1" applyAlignment="1">
      <alignment horizontal="center" vertical="top" wrapText="1"/>
    </xf>
    <xf numFmtId="0" fontId="42" fillId="9" borderId="36" xfId="0" applyFont="1" applyFill="1" applyBorder="1" applyAlignment="1">
      <alignment horizontal="center" vertical="top" wrapText="1"/>
    </xf>
    <xf numFmtId="0" fontId="42" fillId="9" borderId="39" xfId="0" applyFont="1" applyFill="1" applyBorder="1" applyAlignment="1">
      <alignment horizontal="center" vertical="top" wrapText="1"/>
    </xf>
    <xf numFmtId="0" fontId="42" fillId="9" borderId="35" xfId="0" applyFont="1" applyFill="1" applyBorder="1" applyAlignment="1">
      <alignment horizontal="center" vertical="center" wrapText="1"/>
    </xf>
    <xf numFmtId="0" fontId="42" fillId="9" borderId="36" xfId="0" applyFont="1" applyFill="1" applyBorder="1" applyAlignment="1">
      <alignment horizontal="center" vertical="center" wrapText="1"/>
    </xf>
    <xf numFmtId="0" fontId="42" fillId="9" borderId="39" xfId="0" applyFont="1" applyFill="1" applyBorder="1" applyAlignment="1">
      <alignment horizontal="center" vertical="center" wrapText="1"/>
    </xf>
    <xf numFmtId="0" fontId="19" fillId="4" borderId="0" xfId="0" applyFont="1" applyFill="1" applyAlignment="1">
      <alignment horizontal="center" wrapText="1"/>
    </xf>
    <xf numFmtId="14" fontId="16" fillId="4" borderId="4" xfId="0" applyNumberFormat="1" applyFont="1" applyFill="1" applyBorder="1" applyAlignment="1">
      <alignment horizontal="center"/>
    </xf>
    <xf numFmtId="0" fontId="16" fillId="4" borderId="4" xfId="0" applyFont="1" applyFill="1" applyBorder="1" applyAlignment="1">
      <alignment horizontal="center"/>
    </xf>
    <xf numFmtId="0" fontId="20" fillId="4" borderId="0" xfId="0" applyFont="1" applyFill="1" applyAlignment="1">
      <alignment horizontal="center" wrapText="1"/>
    </xf>
    <xf numFmtId="0" fontId="24" fillId="4" borderId="3" xfId="0" applyFont="1" applyFill="1" applyBorder="1" applyAlignment="1" applyProtection="1">
      <alignment horizontal="center" vertical="center" wrapText="1"/>
      <protection hidden="1"/>
    </xf>
    <xf numFmtId="14" fontId="25" fillId="4" borderId="3" xfId="0" applyNumberFormat="1" applyFont="1" applyFill="1" applyBorder="1" applyAlignment="1" applyProtection="1">
      <alignment horizontal="center" vertical="center" wrapText="1"/>
      <protection hidden="1"/>
    </xf>
    <xf numFmtId="0" fontId="22" fillId="0" borderId="20" xfId="0" applyFont="1" applyBorder="1" applyAlignment="1" applyProtection="1">
      <alignment horizontal="center" vertical="center"/>
      <protection hidden="1"/>
    </xf>
    <xf numFmtId="0" fontId="22" fillId="0" borderId="21" xfId="0" applyFont="1" applyBorder="1" applyAlignment="1" applyProtection="1">
      <alignment horizontal="center" vertical="center"/>
      <protection hidden="1"/>
    </xf>
    <xf numFmtId="0" fontId="22" fillId="0" borderId="15" xfId="0" applyFont="1" applyBorder="1" applyAlignment="1" applyProtection="1">
      <alignment horizontal="center" vertical="center"/>
      <protection hidden="1"/>
    </xf>
    <xf numFmtId="0" fontId="22" fillId="0" borderId="17" xfId="0" applyFont="1" applyBorder="1" applyAlignment="1" applyProtection="1">
      <alignment horizontal="center" vertical="center"/>
      <protection hidden="1"/>
    </xf>
    <xf numFmtId="0" fontId="22" fillId="0" borderId="41" xfId="0" applyFont="1" applyBorder="1" applyAlignment="1" applyProtection="1">
      <alignment horizontal="center" vertical="center"/>
      <protection hidden="1"/>
    </xf>
    <xf numFmtId="0" fontId="22" fillId="0" borderId="43" xfId="0" applyFont="1" applyBorder="1" applyAlignment="1" applyProtection="1">
      <alignment horizontal="center" vertical="center"/>
      <protection hidden="1"/>
    </xf>
    <xf numFmtId="0" fontId="11" fillId="0" borderId="6" xfId="0" applyFont="1" applyBorder="1" applyAlignment="1" applyProtection="1">
      <alignment horizontal="left" vertical="top" wrapText="1"/>
      <protection hidden="1"/>
    </xf>
    <xf numFmtId="0" fontId="11" fillId="0" borderId="1" xfId="0" applyFont="1" applyBorder="1" applyAlignment="1" applyProtection="1">
      <alignment horizontal="left" vertical="top" wrapText="1"/>
      <protection hidden="1"/>
    </xf>
    <xf numFmtId="0" fontId="11" fillId="0" borderId="2" xfId="0" applyFont="1" applyBorder="1" applyAlignment="1" applyProtection="1">
      <alignment horizontal="left" vertical="top" wrapText="1"/>
      <protection hidden="1"/>
    </xf>
    <xf numFmtId="0" fontId="30" fillId="0" borderId="7" xfId="0" applyFont="1" applyBorder="1" applyAlignment="1" applyProtection="1">
      <alignment horizontal="left" vertical="top" wrapText="1"/>
      <protection hidden="1"/>
    </xf>
    <xf numFmtId="0" fontId="30" fillId="0" borderId="0" xfId="0" applyFont="1" applyAlignment="1" applyProtection="1">
      <alignment horizontal="left" vertical="top" wrapText="1"/>
      <protection hidden="1"/>
    </xf>
    <xf numFmtId="0" fontId="30" fillId="0" borderId="8" xfId="0" applyFont="1" applyBorder="1" applyAlignment="1" applyProtection="1">
      <alignment horizontal="left" vertical="top" wrapText="1"/>
      <protection hidden="1"/>
    </xf>
    <xf numFmtId="0" fontId="28" fillId="0" borderId="7" xfId="0" applyFont="1" applyBorder="1" applyAlignment="1" applyProtection="1">
      <alignment horizontal="left" vertical="top" wrapText="1"/>
      <protection hidden="1"/>
    </xf>
    <xf numFmtId="0" fontId="28" fillId="0" borderId="0" xfId="0" applyFont="1" applyAlignment="1" applyProtection="1">
      <alignment horizontal="left" vertical="top" wrapText="1"/>
      <protection hidden="1"/>
    </xf>
    <xf numFmtId="0" fontId="28" fillId="0" borderId="8" xfId="0" applyFont="1" applyBorder="1" applyAlignment="1" applyProtection="1">
      <alignment horizontal="left" vertical="top" wrapText="1"/>
      <protection hidden="1"/>
    </xf>
    <xf numFmtId="0" fontId="36" fillId="12" borderId="6" xfId="0" applyFont="1" applyFill="1" applyBorder="1" applyAlignment="1" applyProtection="1">
      <alignment horizontal="left" vertical="top" wrapText="1"/>
      <protection hidden="1"/>
    </xf>
    <xf numFmtId="0" fontId="36" fillId="12" borderId="1" xfId="0" applyFont="1" applyFill="1" applyBorder="1" applyAlignment="1" applyProtection="1">
      <alignment horizontal="left" vertical="top" wrapText="1"/>
      <protection hidden="1"/>
    </xf>
    <xf numFmtId="0" fontId="36" fillId="12" borderId="2" xfId="0" applyFont="1" applyFill="1" applyBorder="1" applyAlignment="1" applyProtection="1">
      <alignment horizontal="left" vertical="top" wrapText="1"/>
      <protection hidden="1"/>
    </xf>
    <xf numFmtId="0" fontId="36" fillId="12" borderId="9" xfId="0" applyFont="1" applyFill="1" applyBorder="1" applyAlignment="1" applyProtection="1">
      <alignment horizontal="left" vertical="top" wrapText="1"/>
      <protection hidden="1"/>
    </xf>
    <xf numFmtId="0" fontId="36" fillId="12" borderId="4" xfId="0" applyFont="1" applyFill="1" applyBorder="1" applyAlignment="1" applyProtection="1">
      <alignment horizontal="left" vertical="top" wrapText="1"/>
      <protection hidden="1"/>
    </xf>
    <xf numFmtId="0" fontId="36" fillId="12" borderId="5" xfId="0" applyFont="1" applyFill="1" applyBorder="1" applyAlignment="1" applyProtection="1">
      <alignment horizontal="left" vertical="top" wrapText="1"/>
      <protection hidden="1"/>
    </xf>
    <xf numFmtId="0" fontId="30" fillId="0" borderId="9" xfId="0" applyFont="1" applyBorder="1" applyAlignment="1" applyProtection="1">
      <alignment horizontal="left" vertical="top" wrapText="1"/>
      <protection hidden="1"/>
    </xf>
    <xf numFmtId="0" fontId="30" fillId="0" borderId="4" xfId="0" applyFont="1" applyBorder="1" applyAlignment="1" applyProtection="1">
      <alignment horizontal="left" vertical="top" wrapText="1"/>
      <protection hidden="1"/>
    </xf>
    <xf numFmtId="0" fontId="30" fillId="0" borderId="5" xfId="0" applyFont="1" applyBorder="1" applyAlignment="1" applyProtection="1">
      <alignment horizontal="left" vertical="top" wrapText="1"/>
      <protection hidden="1"/>
    </xf>
    <xf numFmtId="0" fontId="23" fillId="0" borderId="0" xfId="0" applyFont="1" applyAlignment="1" applyProtection="1">
      <alignment wrapText="1"/>
      <protection hidden="1"/>
    </xf>
    <xf numFmtId="0" fontId="23" fillId="0" borderId="4" xfId="0" applyFont="1" applyBorder="1" applyAlignment="1" applyProtection="1">
      <alignment wrapText="1"/>
      <protection hidden="1"/>
    </xf>
    <xf numFmtId="0" fontId="21" fillId="6" borderId="6" xfId="0" applyFont="1" applyFill="1" applyBorder="1" applyAlignment="1" applyProtection="1">
      <alignment horizontal="center" vertical="center"/>
      <protection hidden="1"/>
    </xf>
    <xf numFmtId="0" fontId="21" fillId="6" borderId="1" xfId="0" applyFont="1" applyFill="1" applyBorder="1" applyAlignment="1" applyProtection="1">
      <alignment horizontal="center" vertical="center"/>
      <protection hidden="1"/>
    </xf>
    <xf numFmtId="0" fontId="21" fillId="6" borderId="2" xfId="0" applyFont="1" applyFill="1" applyBorder="1" applyAlignment="1" applyProtection="1">
      <alignment horizontal="center" vertical="center"/>
      <protection hidden="1"/>
    </xf>
    <xf numFmtId="0" fontId="22" fillId="0" borderId="25" xfId="0" applyFont="1" applyBorder="1" applyAlignment="1" applyProtection="1">
      <alignment horizontal="left" vertical="center" wrapText="1"/>
      <protection hidden="1"/>
    </xf>
    <xf numFmtId="0" fontId="22" fillId="0" borderId="26" xfId="0" applyFont="1" applyBorder="1" applyAlignment="1" applyProtection="1">
      <alignment horizontal="left" vertical="center" wrapText="1"/>
      <protection hidden="1"/>
    </xf>
    <xf numFmtId="0" fontId="24" fillId="0" borderId="45" xfId="0" applyFont="1" applyBorder="1" applyAlignment="1" applyProtection="1">
      <alignment horizontal="center" vertical="center" wrapText="1"/>
      <protection hidden="1"/>
    </xf>
    <xf numFmtId="0" fontId="24" fillId="0" borderId="32" xfId="0" applyFont="1" applyBorder="1" applyAlignment="1" applyProtection="1">
      <alignment horizontal="center" vertical="center" wrapText="1"/>
      <protection hidden="1"/>
    </xf>
    <xf numFmtId="0" fontId="24" fillId="0" borderId="33" xfId="0" applyFont="1" applyBorder="1" applyAlignment="1" applyProtection="1">
      <alignment horizontal="center" vertical="center" wrapText="1"/>
      <protection hidden="1"/>
    </xf>
    <xf numFmtId="0" fontId="21" fillId="5" borderId="45" xfId="0" applyFont="1" applyFill="1" applyBorder="1" applyAlignment="1" applyProtection="1">
      <alignment horizontal="center" vertical="center"/>
      <protection hidden="1"/>
    </xf>
    <xf numFmtId="0" fontId="21" fillId="5" borderId="32" xfId="0" applyFont="1" applyFill="1" applyBorder="1" applyAlignment="1" applyProtection="1">
      <alignment horizontal="center" vertical="center"/>
      <protection hidden="1"/>
    </xf>
    <xf numFmtId="0" fontId="21" fillId="5" borderId="33" xfId="0" applyFont="1" applyFill="1" applyBorder="1" applyAlignment="1" applyProtection="1">
      <alignment horizontal="center" vertical="center"/>
      <protection hidden="1"/>
    </xf>
    <xf numFmtId="0" fontId="23" fillId="0" borderId="1" xfId="0" applyFont="1" applyBorder="1" applyProtection="1">
      <protection hidden="1"/>
    </xf>
    <xf numFmtId="0" fontId="23" fillId="0" borderId="0" xfId="0" applyFont="1" applyProtection="1">
      <protection hidden="1"/>
    </xf>
    <xf numFmtId="0" fontId="23" fillId="0" borderId="2" xfId="0" applyFont="1" applyBorder="1" applyProtection="1">
      <protection hidden="1"/>
    </xf>
    <xf numFmtId="0" fontId="23" fillId="0" borderId="8" xfId="0" applyFont="1" applyBorder="1" applyAlignment="1" applyProtection="1">
      <alignment wrapText="1"/>
      <protection hidden="1"/>
    </xf>
    <xf numFmtId="0" fontId="23" fillId="0" borderId="5" xfId="0" applyFont="1" applyBorder="1" applyAlignment="1" applyProtection="1">
      <alignment wrapText="1"/>
      <protection hidden="1"/>
    </xf>
    <xf numFmtId="0" fontId="22" fillId="0" borderId="22" xfId="0" applyFont="1" applyBorder="1" applyAlignment="1" applyProtection="1">
      <alignment horizontal="left" vertical="center" wrapText="1"/>
      <protection hidden="1"/>
    </xf>
    <xf numFmtId="0" fontId="22" fillId="0" borderId="3" xfId="0" applyFont="1" applyBorder="1" applyAlignment="1" applyProtection="1">
      <alignment horizontal="left" vertical="center" wrapText="1"/>
      <protection hidden="1"/>
    </xf>
    <xf numFmtId="0" fontId="22" fillId="0" borderId="18" xfId="0" applyFont="1" applyBorder="1" applyAlignment="1" applyProtection="1">
      <alignment horizontal="left" vertical="center" wrapText="1"/>
      <protection hidden="1"/>
    </xf>
    <xf numFmtId="0" fontId="22" fillId="0" borderId="19" xfId="0" applyFont="1" applyBorder="1" applyAlignment="1" applyProtection="1">
      <alignment horizontal="left" vertical="center" wrapText="1"/>
      <protection hidden="1"/>
    </xf>
    <xf numFmtId="0" fontId="22" fillId="0" borderId="3" xfId="0" applyFont="1" applyBorder="1" applyAlignment="1" applyProtection="1">
      <alignment horizontal="center" vertical="center" wrapText="1"/>
      <protection hidden="1"/>
    </xf>
    <xf numFmtId="0" fontId="22" fillId="0" borderId="55" xfId="0" applyFont="1" applyBorder="1" applyAlignment="1" applyProtection="1">
      <alignment horizontal="center" vertical="center" wrapText="1"/>
      <protection hidden="1"/>
    </xf>
    <xf numFmtId="0" fontId="22" fillId="0" borderId="3" xfId="0" applyFont="1" applyBorder="1" applyAlignment="1" applyProtection="1">
      <alignment horizontal="center"/>
      <protection hidden="1"/>
    </xf>
    <xf numFmtId="0" fontId="34" fillId="0" borderId="3" xfId="0" applyFont="1" applyBorder="1" applyAlignment="1" applyProtection="1">
      <alignment horizontal="left" vertical="center" wrapText="1"/>
      <protection hidden="1"/>
    </xf>
    <xf numFmtId="0" fontId="29" fillId="0" borderId="3" xfId="0" applyFont="1" applyBorder="1" applyAlignment="1" applyProtection="1">
      <alignment horizontal="left" vertical="center" wrapText="1"/>
      <protection hidden="1"/>
    </xf>
    <xf numFmtId="9" fontId="29" fillId="0" borderId="3" xfId="0" applyNumberFormat="1"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1" fontId="29" fillId="0" borderId="3" xfId="0" applyNumberFormat="1" applyFont="1" applyBorder="1" applyAlignment="1" applyProtection="1">
      <alignment horizontal="center" vertical="center"/>
      <protection hidden="1"/>
    </xf>
    <xf numFmtId="1" fontId="29" fillId="0" borderId="55" xfId="0" applyNumberFormat="1" applyFont="1" applyBorder="1" applyAlignment="1" applyProtection="1">
      <alignment horizontal="center" vertical="center"/>
      <protection hidden="1"/>
    </xf>
    <xf numFmtId="0" fontId="23" fillId="0" borderId="41" xfId="0" applyFont="1" applyBorder="1" applyAlignment="1" applyProtection="1">
      <alignment horizontal="center" vertical="center" wrapText="1"/>
      <protection hidden="1"/>
    </xf>
    <xf numFmtId="0" fontId="23" fillId="0" borderId="42" xfId="0" applyFont="1" applyBorder="1" applyAlignment="1" applyProtection="1">
      <alignment horizontal="center" vertical="center" wrapText="1"/>
      <protection hidden="1"/>
    </xf>
    <xf numFmtId="0" fontId="23" fillId="0" borderId="43" xfId="0" applyFont="1" applyBorder="1" applyAlignment="1" applyProtection="1">
      <alignment horizontal="center" vertical="center" wrapText="1"/>
      <protection hidden="1"/>
    </xf>
    <xf numFmtId="0" fontId="21" fillId="5" borderId="6" xfId="0" applyFont="1" applyFill="1" applyBorder="1" applyAlignment="1" applyProtection="1">
      <alignment horizontal="center" vertical="center"/>
      <protection hidden="1"/>
    </xf>
    <xf numFmtId="0" fontId="21" fillId="5" borderId="1" xfId="0" applyFont="1" applyFill="1" applyBorder="1" applyAlignment="1" applyProtection="1">
      <alignment horizontal="center" vertical="center"/>
      <protection hidden="1"/>
    </xf>
    <xf numFmtId="0" fontId="21" fillId="5" borderId="4" xfId="0" applyFont="1" applyFill="1" applyBorder="1" applyAlignment="1" applyProtection="1">
      <alignment horizontal="center" vertical="center"/>
      <protection hidden="1"/>
    </xf>
    <xf numFmtId="0" fontId="21" fillId="5" borderId="5" xfId="0" applyFont="1" applyFill="1" applyBorder="1" applyAlignment="1" applyProtection="1">
      <alignment horizontal="center" vertical="center"/>
      <protection hidden="1"/>
    </xf>
    <xf numFmtId="0" fontId="22" fillId="0" borderId="22" xfId="0" applyFont="1" applyBorder="1" applyAlignment="1" applyProtection="1">
      <alignment horizontal="center" vertical="center" wrapText="1"/>
      <protection hidden="1"/>
    </xf>
    <xf numFmtId="0" fontId="22" fillId="0" borderId="48" xfId="0" applyFont="1" applyBorder="1" applyAlignment="1" applyProtection="1">
      <alignment horizontal="center" vertical="center"/>
      <protection hidden="1"/>
    </xf>
    <xf numFmtId="0" fontId="22" fillId="0" borderId="49" xfId="0" applyFont="1" applyBorder="1" applyAlignment="1" applyProtection="1">
      <alignment horizontal="center" vertical="center"/>
      <protection hidden="1"/>
    </xf>
    <xf numFmtId="0" fontId="22" fillId="0" borderId="47" xfId="0" applyFont="1" applyBorder="1" applyAlignment="1" applyProtection="1">
      <alignment horizontal="center" vertical="center"/>
      <protection hidden="1"/>
    </xf>
    <xf numFmtId="0" fontId="22" fillId="0" borderId="19" xfId="0" applyFont="1" applyBorder="1" applyAlignment="1" applyProtection="1">
      <alignment horizontal="center" vertical="center"/>
      <protection hidden="1"/>
    </xf>
    <xf numFmtId="0" fontId="29" fillId="0" borderId="40" xfId="0" applyFont="1" applyBorder="1" applyAlignment="1" applyProtection="1">
      <alignment horizontal="center" vertical="center"/>
      <protection hidden="1"/>
    </xf>
    <xf numFmtId="0" fontId="29" fillId="0" borderId="12" xfId="0" applyFont="1" applyBorder="1" applyAlignment="1" applyProtection="1">
      <alignment horizontal="center" vertical="center"/>
      <protection hidden="1"/>
    </xf>
    <xf numFmtId="0" fontId="29" fillId="0" borderId="7" xfId="0" applyFont="1" applyBorder="1" applyAlignment="1" applyProtection="1">
      <alignment horizontal="center" vertical="center"/>
      <protection hidden="1"/>
    </xf>
    <xf numFmtId="0" fontId="29" fillId="0" borderId="14" xfId="0" applyFont="1" applyBorder="1" applyAlignment="1" applyProtection="1">
      <alignment horizontal="center" vertical="center"/>
      <protection hidden="1"/>
    </xf>
    <xf numFmtId="0" fontId="29" fillId="0" borderId="9" xfId="0" applyFont="1" applyBorder="1" applyAlignment="1" applyProtection="1">
      <alignment horizontal="center" vertical="center"/>
      <protection hidden="1"/>
    </xf>
    <xf numFmtId="0" fontId="29" fillId="0" borderId="28" xfId="0" applyFont="1" applyBorder="1" applyAlignment="1" applyProtection="1">
      <alignment horizontal="center" vertical="center"/>
      <protection hidden="1"/>
    </xf>
    <xf numFmtId="9" fontId="29" fillId="0" borderId="10" xfId="0" applyNumberFormat="1" applyFont="1" applyBorder="1" applyAlignment="1" applyProtection="1">
      <alignment horizontal="center" vertical="center"/>
      <protection hidden="1"/>
    </xf>
    <xf numFmtId="0" fontId="29" fillId="0" borderId="11" xfId="0" applyFont="1" applyBorder="1" applyAlignment="1" applyProtection="1">
      <alignment horizontal="center" vertical="center"/>
      <protection hidden="1"/>
    </xf>
    <xf numFmtId="0" fontId="29" fillId="0" borderId="13" xfId="0" applyFont="1" applyBorder="1" applyAlignment="1" applyProtection="1">
      <alignment horizontal="center" vertical="center"/>
      <protection hidden="1"/>
    </xf>
    <xf numFmtId="0" fontId="29" fillId="0" borderId="0" xfId="0" applyFont="1" applyAlignment="1" applyProtection="1">
      <alignment horizontal="center" vertical="center"/>
      <protection hidden="1"/>
    </xf>
    <xf numFmtId="0" fontId="29" fillId="0" borderId="27" xfId="0" applyFont="1" applyBorder="1" applyAlignment="1" applyProtection="1">
      <alignment horizontal="center" vertical="center"/>
      <protection hidden="1"/>
    </xf>
    <xf numFmtId="0" fontId="29" fillId="0" borderId="4" xfId="0" applyFont="1" applyBorder="1" applyAlignment="1" applyProtection="1">
      <alignment horizontal="center" vertical="center"/>
      <protection hidden="1"/>
    </xf>
    <xf numFmtId="0" fontId="29" fillId="0" borderId="10" xfId="0" applyFont="1" applyBorder="1" applyAlignment="1" applyProtection="1">
      <alignment horizontal="center" vertical="center" wrapText="1"/>
      <protection hidden="1"/>
    </xf>
    <xf numFmtId="0" fontId="29" fillId="0" borderId="11" xfId="0" applyFont="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27" xfId="0" applyFont="1" applyBorder="1" applyAlignment="1" applyProtection="1">
      <alignment horizontal="center" vertical="center" wrapText="1"/>
      <protection hidden="1"/>
    </xf>
    <xf numFmtId="0" fontId="29" fillId="0" borderId="4" xfId="0" applyFont="1" applyBorder="1" applyAlignment="1" applyProtection="1">
      <alignment horizontal="center" vertical="center" wrapText="1"/>
      <protection hidden="1"/>
    </xf>
    <xf numFmtId="0" fontId="23" fillId="0" borderId="35" xfId="0" applyFont="1" applyBorder="1" applyAlignment="1" applyProtection="1">
      <alignment horizontal="center" vertical="center" wrapText="1"/>
      <protection hidden="1"/>
    </xf>
    <xf numFmtId="0" fontId="23" fillId="0" borderId="36" xfId="0" applyFont="1" applyBorder="1" applyAlignment="1" applyProtection="1">
      <alignment horizontal="center" vertical="center" wrapText="1"/>
      <protection hidden="1"/>
    </xf>
    <xf numFmtId="0" fontId="23" fillId="0" borderId="39" xfId="0" applyFont="1" applyBorder="1" applyAlignment="1" applyProtection="1">
      <alignment horizontal="center" vertical="center" wrapText="1"/>
      <protection hidden="1"/>
    </xf>
    <xf numFmtId="0" fontId="22" fillId="0" borderId="26" xfId="0" applyFont="1" applyBorder="1" applyAlignment="1" applyProtection="1">
      <alignment horizontal="center" vertical="center" wrapText="1"/>
      <protection hidden="1"/>
    </xf>
    <xf numFmtId="0" fontId="22" fillId="0" borderId="47" xfId="0" applyFont="1" applyBorder="1" applyAlignment="1" applyProtection="1">
      <alignment horizontal="center" vertical="center" wrapText="1"/>
      <protection hidden="1"/>
    </xf>
    <xf numFmtId="0" fontId="22" fillId="0" borderId="48" xfId="0" applyFont="1" applyBorder="1" applyAlignment="1" applyProtection="1">
      <alignment horizontal="center" vertical="center" wrapText="1"/>
      <protection hidden="1"/>
    </xf>
    <xf numFmtId="0" fontId="22" fillId="0" borderId="50" xfId="0" applyFont="1" applyBorder="1" applyAlignment="1" applyProtection="1">
      <alignment horizontal="center" vertical="center" wrapText="1"/>
      <protection hidden="1"/>
    </xf>
    <xf numFmtId="0" fontId="31" fillId="0" borderId="18" xfId="0" applyFont="1" applyBorder="1" applyAlignment="1" applyProtection="1">
      <alignment horizontal="center" vertical="center"/>
      <protection hidden="1"/>
    </xf>
    <xf numFmtId="0" fontId="31" fillId="0" borderId="19" xfId="0" applyFont="1" applyBorder="1" applyAlignment="1" applyProtection="1">
      <alignment horizontal="center" vertical="center"/>
      <protection hidden="1"/>
    </xf>
    <xf numFmtId="0" fontId="31" fillId="0" borderId="22" xfId="0" applyFont="1" applyBorder="1" applyAlignment="1" applyProtection="1">
      <alignment horizontal="center" vertical="center"/>
      <protection hidden="1"/>
    </xf>
    <xf numFmtId="0" fontId="31" fillId="0" borderId="3" xfId="0" applyFont="1" applyBorder="1" applyAlignment="1" applyProtection="1">
      <alignment horizontal="center" vertical="center"/>
      <protection hidden="1"/>
    </xf>
    <xf numFmtId="0" fontId="31" fillId="0" borderId="25" xfId="0" applyFont="1" applyBorder="1" applyAlignment="1" applyProtection="1">
      <alignment horizontal="center" vertical="center"/>
      <protection hidden="1"/>
    </xf>
    <xf numFmtId="0" fontId="31" fillId="0" borderId="26"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16" xfId="0" applyFont="1" applyBorder="1" applyAlignment="1" applyProtection="1">
      <alignment horizontal="center" vertical="center"/>
      <protection hidden="1"/>
    </xf>
    <xf numFmtId="0" fontId="23" fillId="0" borderId="20"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15" xfId="0" applyFont="1" applyBorder="1" applyAlignment="1" applyProtection="1">
      <alignment horizontal="center" vertical="center"/>
      <protection hidden="1"/>
    </xf>
    <xf numFmtId="0" fontId="23" fillId="0" borderId="23" xfId="0" applyFont="1" applyBorder="1" applyAlignment="1" applyProtection="1">
      <alignment horizontal="center" vertical="center"/>
      <protection hidden="1"/>
    </xf>
    <xf numFmtId="0" fontId="22" fillId="0" borderId="10" xfId="0" applyFont="1" applyBorder="1" applyAlignment="1" applyProtection="1">
      <alignment horizontal="center" vertical="center" wrapText="1"/>
      <protection hidden="1"/>
    </xf>
    <xf numFmtId="0" fontId="22" fillId="0" borderId="11" xfId="0" applyFont="1" applyBorder="1" applyAlignment="1" applyProtection="1">
      <alignment horizontal="center" vertical="center" wrapText="1"/>
      <protection hidden="1"/>
    </xf>
    <xf numFmtId="0" fontId="22" fillId="0" borderId="27" xfId="0" applyFon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23" fillId="0" borderId="3" xfId="0" applyFont="1" applyBorder="1" applyAlignment="1" applyProtection="1">
      <alignment horizontal="center" vertical="center"/>
      <protection hidden="1"/>
    </xf>
    <xf numFmtId="0" fontId="23" fillId="0" borderId="55" xfId="0" applyFont="1" applyBorder="1" applyAlignment="1" applyProtection="1">
      <alignment horizontal="center" vertical="center"/>
      <protection hidden="1"/>
    </xf>
    <xf numFmtId="14" fontId="23" fillId="0" borderId="26" xfId="0" applyNumberFormat="1" applyFont="1" applyBorder="1" applyAlignment="1" applyProtection="1">
      <alignment horizontal="center" vertical="center"/>
      <protection hidden="1"/>
    </xf>
    <xf numFmtId="0" fontId="23" fillId="0" borderId="44" xfId="0" applyFont="1" applyBorder="1" applyAlignment="1" applyProtection="1">
      <alignment horizontal="center" vertical="center"/>
      <protection hidden="1"/>
    </xf>
    <xf numFmtId="0" fontId="22" fillId="0" borderId="35" xfId="0" applyFont="1" applyBorder="1" applyAlignment="1" applyProtection="1">
      <alignment horizontal="center" vertical="center"/>
      <protection hidden="1"/>
    </xf>
    <xf numFmtId="0" fontId="22" fillId="0" borderId="39" xfId="0" applyFont="1" applyBorder="1" applyAlignment="1" applyProtection="1">
      <alignment horizontal="center" vertical="center"/>
      <protection hidden="1"/>
    </xf>
    <xf numFmtId="0" fontId="23" fillId="0" borderId="10" xfId="0" applyFont="1" applyBorder="1" applyAlignment="1" applyProtection="1">
      <alignment horizontal="center" vertical="center" wrapText="1"/>
      <protection hidden="1"/>
    </xf>
    <xf numFmtId="0" fontId="23" fillId="0" borderId="11" xfId="0" applyFont="1" applyBorder="1" applyAlignment="1" applyProtection="1">
      <alignment horizontal="center" vertical="center" wrapText="1"/>
      <protection hidden="1"/>
    </xf>
    <xf numFmtId="0" fontId="23" fillId="0" borderId="24" xfId="0" applyFont="1" applyBorder="1" applyAlignment="1" applyProtection="1">
      <alignment horizontal="center" vertical="center" wrapText="1"/>
      <protection hidden="1"/>
    </xf>
    <xf numFmtId="0" fontId="23" fillId="0" borderId="13" xfId="0" applyFont="1" applyBorder="1" applyAlignment="1" applyProtection="1">
      <alignment horizontal="center" vertical="center" wrapText="1"/>
      <protection hidden="1"/>
    </xf>
    <xf numFmtId="0" fontId="23" fillId="0" borderId="0" xfId="0" applyFont="1" applyAlignment="1" applyProtection="1">
      <alignment horizontal="center" vertical="center" wrapText="1"/>
      <protection hidden="1"/>
    </xf>
    <xf numFmtId="0" fontId="23" fillId="0" borderId="8" xfId="0" applyFont="1" applyBorder="1" applyAlignment="1" applyProtection="1">
      <alignment horizontal="center" vertical="center" wrapText="1"/>
      <protection hidden="1"/>
    </xf>
    <xf numFmtId="0" fontId="23" fillId="0" borderId="27" xfId="0" applyFont="1" applyBorder="1" applyAlignment="1" applyProtection="1">
      <alignment horizontal="center" vertical="center" wrapText="1"/>
      <protection hidden="1"/>
    </xf>
    <xf numFmtId="0" fontId="23" fillId="0" borderId="4" xfId="0" applyFont="1" applyBorder="1" applyAlignment="1" applyProtection="1">
      <alignment horizontal="center" vertical="center" wrapText="1"/>
      <protection hidden="1"/>
    </xf>
    <xf numFmtId="0" fontId="23" fillId="0" borderId="5" xfId="0" applyFont="1" applyBorder="1" applyAlignment="1" applyProtection="1">
      <alignment horizontal="center" vertical="center" wrapText="1"/>
      <protection hidden="1"/>
    </xf>
    <xf numFmtId="0" fontId="21" fillId="5" borderId="53" xfId="0" applyFont="1" applyFill="1" applyBorder="1" applyAlignment="1" applyProtection="1">
      <alignment horizontal="center" vertical="center"/>
      <protection hidden="1"/>
    </xf>
    <xf numFmtId="0" fontId="21" fillId="5" borderId="69" xfId="0" applyFont="1" applyFill="1" applyBorder="1" applyAlignment="1" applyProtection="1">
      <alignment horizontal="center" vertical="center"/>
      <protection hidden="1"/>
    </xf>
    <xf numFmtId="0" fontId="32" fillId="5" borderId="13" xfId="0" applyFont="1" applyFill="1" applyBorder="1" applyAlignment="1" applyProtection="1">
      <alignment horizontal="left" vertical="center" wrapText="1"/>
      <protection hidden="1"/>
    </xf>
    <xf numFmtId="0" fontId="32" fillId="5" borderId="0" xfId="0" applyFont="1" applyFill="1" applyAlignment="1" applyProtection="1">
      <alignment horizontal="left" vertical="center" wrapText="1"/>
      <protection hidden="1"/>
    </xf>
    <xf numFmtId="0" fontId="32" fillId="5" borderId="8" xfId="0" applyFont="1" applyFill="1" applyBorder="1" applyAlignment="1" applyProtection="1">
      <alignment horizontal="left" vertical="center" wrapText="1"/>
      <protection hidden="1"/>
    </xf>
    <xf numFmtId="0" fontId="22" fillId="0" borderId="34" xfId="0" applyFont="1" applyBorder="1" applyAlignment="1" applyProtection="1">
      <alignment horizontal="center" vertical="center" wrapText="1"/>
      <protection hidden="1"/>
    </xf>
    <xf numFmtId="0" fontId="22" fillId="0" borderId="17" xfId="0" applyFont="1" applyBorder="1" applyAlignment="1" applyProtection="1">
      <alignment horizontal="center" vertical="center" wrapText="1"/>
      <protection hidden="1"/>
    </xf>
    <xf numFmtId="0" fontId="29" fillId="0" borderId="55" xfId="0" applyFont="1" applyBorder="1" applyAlignment="1" applyProtection="1">
      <alignment horizontal="left" vertical="center" wrapText="1"/>
      <protection hidden="1"/>
    </xf>
    <xf numFmtId="0" fontId="22" fillId="0" borderId="38" xfId="0" applyFont="1" applyBorder="1" applyAlignment="1" applyProtection="1">
      <alignment horizontal="center" vertical="center"/>
      <protection hidden="1"/>
    </xf>
    <xf numFmtId="0" fontId="22" fillId="0" borderId="40" xfId="0" applyFont="1" applyBorder="1" applyAlignment="1" applyProtection="1">
      <alignment horizontal="center" vertical="center" wrapText="1"/>
      <protection hidden="1"/>
    </xf>
    <xf numFmtId="0" fontId="22" fillId="0" borderId="7"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2" fillId="0" borderId="9" xfId="0" applyFont="1" applyBorder="1" applyAlignment="1" applyProtection="1">
      <alignment horizontal="center" vertical="center" wrapText="1"/>
      <protection hidden="1"/>
    </xf>
    <xf numFmtId="0" fontId="22" fillId="0" borderId="3" xfId="0" applyFont="1" applyBorder="1" applyAlignment="1" applyProtection="1">
      <alignment horizontal="center" vertical="center"/>
      <protection hidden="1"/>
    </xf>
    <xf numFmtId="0" fontId="22" fillId="0" borderId="55" xfId="0" applyFont="1" applyBorder="1" applyAlignment="1" applyProtection="1">
      <alignment horizontal="center" vertical="center"/>
      <protection hidden="1"/>
    </xf>
    <xf numFmtId="0" fontId="29" fillId="0" borderId="3" xfId="0" applyFont="1" applyBorder="1" applyAlignment="1" applyProtection="1">
      <alignment horizontal="center" vertical="center" wrapText="1"/>
      <protection hidden="1"/>
    </xf>
    <xf numFmtId="0" fontId="50" fillId="0" borderId="22" xfId="0" applyFont="1" applyBorder="1" applyAlignment="1" applyProtection="1">
      <alignment horizontal="left" vertical="center" wrapText="1"/>
      <protection hidden="1"/>
    </xf>
    <xf numFmtId="0" fontId="50" fillId="0" borderId="3" xfId="0" applyFont="1" applyBorder="1" applyAlignment="1" applyProtection="1">
      <alignment horizontal="left" vertical="center" wrapText="1"/>
      <protection hidden="1"/>
    </xf>
    <xf numFmtId="0" fontId="50" fillId="0" borderId="25" xfId="0" applyFont="1" applyBorder="1" applyAlignment="1" applyProtection="1">
      <alignment horizontal="left" vertical="center" wrapText="1"/>
      <protection hidden="1"/>
    </xf>
    <xf numFmtId="0" fontId="50" fillId="0" borderId="26" xfId="0" applyFont="1" applyBorder="1" applyAlignment="1" applyProtection="1">
      <alignment horizontal="left" vertical="center" wrapText="1"/>
      <protection hidden="1"/>
    </xf>
    <xf numFmtId="0" fontId="53" fillId="0" borderId="6" xfId="0" applyFont="1" applyBorder="1" applyAlignment="1" applyProtection="1">
      <alignment horizontal="left" vertical="top" wrapText="1"/>
      <protection hidden="1"/>
    </xf>
    <xf numFmtId="0" fontId="29" fillId="0" borderId="1" xfId="0" applyFont="1" applyBorder="1" applyAlignment="1" applyProtection="1">
      <alignment horizontal="left" vertical="top" wrapText="1"/>
      <protection hidden="1"/>
    </xf>
    <xf numFmtId="0" fontId="29" fillId="0" borderId="2" xfId="0" applyFont="1" applyBorder="1" applyAlignment="1" applyProtection="1">
      <alignment horizontal="left" vertical="top" wrapText="1"/>
      <protection hidden="1"/>
    </xf>
    <xf numFmtId="0" fontId="29" fillId="0" borderId="9" xfId="0" applyFont="1" applyBorder="1" applyAlignment="1" applyProtection="1">
      <alignment horizontal="left" vertical="top" wrapText="1"/>
      <protection hidden="1"/>
    </xf>
    <xf numFmtId="0" fontId="29" fillId="0" borderId="4" xfId="0" applyFont="1" applyBorder="1" applyAlignment="1" applyProtection="1">
      <alignment horizontal="left" vertical="top" wrapText="1"/>
      <protection hidden="1"/>
    </xf>
    <xf numFmtId="0" fontId="29" fillId="0" borderId="5" xfId="0" applyFont="1" applyBorder="1" applyAlignment="1" applyProtection="1">
      <alignment horizontal="left" vertical="top" wrapText="1"/>
      <protection hidden="1"/>
    </xf>
    <xf numFmtId="43" fontId="29" fillId="0" borderId="10" xfId="3" applyFont="1" applyBorder="1" applyAlignment="1" applyProtection="1">
      <alignment horizontal="center" vertical="center"/>
      <protection hidden="1"/>
    </xf>
    <xf numFmtId="43" fontId="29" fillId="0" borderId="11" xfId="3" applyFont="1" applyBorder="1" applyAlignment="1" applyProtection="1">
      <alignment horizontal="center" vertical="center"/>
      <protection hidden="1"/>
    </xf>
    <xf numFmtId="43" fontId="29" fillId="0" borderId="12" xfId="3" applyFont="1" applyBorder="1" applyAlignment="1" applyProtection="1">
      <alignment horizontal="center" vertical="center"/>
      <protection hidden="1"/>
    </xf>
    <xf numFmtId="43" fontId="29" fillId="0" borderId="13" xfId="3" applyFont="1" applyBorder="1" applyAlignment="1" applyProtection="1">
      <alignment horizontal="center" vertical="center"/>
      <protection hidden="1"/>
    </xf>
    <xf numFmtId="43" fontId="29" fillId="0" borderId="0" xfId="3" applyFont="1" applyAlignment="1" applyProtection="1">
      <alignment horizontal="center" vertical="center"/>
      <protection hidden="1"/>
    </xf>
    <xf numFmtId="43" fontId="29" fillId="0" borderId="14" xfId="3" applyFont="1" applyBorder="1" applyAlignment="1" applyProtection="1">
      <alignment horizontal="center" vertical="center"/>
      <protection hidden="1"/>
    </xf>
    <xf numFmtId="43" fontId="29" fillId="0" borderId="27" xfId="3" applyFont="1" applyBorder="1" applyAlignment="1" applyProtection="1">
      <alignment horizontal="center" vertical="center"/>
      <protection hidden="1"/>
    </xf>
    <xf numFmtId="43" fontId="29" fillId="0" borderId="4" xfId="3" applyFont="1" applyBorder="1" applyAlignment="1" applyProtection="1">
      <alignment horizontal="center" vertical="center"/>
      <protection hidden="1"/>
    </xf>
    <xf numFmtId="43" fontId="29" fillId="0" borderId="28" xfId="3" applyFont="1" applyBorder="1" applyAlignment="1" applyProtection="1">
      <alignment horizontal="center" vertical="center"/>
      <protection hidden="1"/>
    </xf>
    <xf numFmtId="0" fontId="62" fillId="12" borderId="6" xfId="0" applyFont="1" applyFill="1" applyBorder="1" applyAlignment="1" applyProtection="1">
      <alignment horizontal="left" vertical="top" wrapText="1"/>
      <protection hidden="1"/>
    </xf>
    <xf numFmtId="0" fontId="62" fillId="12" borderId="1" xfId="0" applyFont="1" applyFill="1" applyBorder="1" applyAlignment="1" applyProtection="1">
      <alignment horizontal="left" vertical="top" wrapText="1"/>
      <protection hidden="1"/>
    </xf>
    <xf numFmtId="0" fontId="62" fillId="12" borderId="2" xfId="0" applyFont="1" applyFill="1" applyBorder="1" applyAlignment="1" applyProtection="1">
      <alignment horizontal="left" vertical="top" wrapText="1"/>
      <protection hidden="1"/>
    </xf>
    <xf numFmtId="0" fontId="62" fillId="12" borderId="9" xfId="0" applyFont="1" applyFill="1" applyBorder="1" applyAlignment="1" applyProtection="1">
      <alignment horizontal="left" vertical="top" wrapText="1"/>
      <protection hidden="1"/>
    </xf>
    <xf numFmtId="0" fontId="62" fillId="12" borderId="4" xfId="0" applyFont="1" applyFill="1" applyBorder="1" applyAlignment="1" applyProtection="1">
      <alignment horizontal="left" vertical="top" wrapText="1"/>
      <protection hidden="1"/>
    </xf>
    <xf numFmtId="0" fontId="62" fillId="12" borderId="5" xfId="0" applyFont="1" applyFill="1" applyBorder="1" applyAlignment="1" applyProtection="1">
      <alignment horizontal="left" vertical="top" wrapText="1"/>
      <protection hidden="1"/>
    </xf>
    <xf numFmtId="168" fontId="29" fillId="0" borderId="10" xfId="3" applyNumberFormat="1" applyFont="1" applyBorder="1" applyAlignment="1" applyProtection="1">
      <alignment horizontal="center" vertical="center"/>
      <protection hidden="1"/>
    </xf>
    <xf numFmtId="168" fontId="29" fillId="0" borderId="11" xfId="3" applyNumberFormat="1" applyFont="1" applyBorder="1" applyAlignment="1" applyProtection="1">
      <alignment horizontal="center" vertical="center"/>
      <protection hidden="1"/>
    </xf>
    <xf numFmtId="168" fontId="29" fillId="0" borderId="12" xfId="3" applyNumberFormat="1" applyFont="1" applyBorder="1" applyAlignment="1" applyProtection="1">
      <alignment horizontal="center" vertical="center"/>
      <protection hidden="1"/>
    </xf>
    <xf numFmtId="168" fontId="29" fillId="0" borderId="13" xfId="3" applyNumberFormat="1" applyFont="1" applyBorder="1" applyAlignment="1" applyProtection="1">
      <alignment horizontal="center" vertical="center"/>
      <protection hidden="1"/>
    </xf>
    <xf numFmtId="168" fontId="29" fillId="0" borderId="0" xfId="3" applyNumberFormat="1" applyFont="1" applyAlignment="1" applyProtection="1">
      <alignment horizontal="center" vertical="center"/>
      <protection hidden="1"/>
    </xf>
    <xf numFmtId="168" fontId="29" fillId="0" borderId="14" xfId="3" applyNumberFormat="1" applyFont="1" applyBorder="1" applyAlignment="1" applyProtection="1">
      <alignment horizontal="center" vertical="center"/>
      <protection hidden="1"/>
    </xf>
    <xf numFmtId="168" fontId="29" fillId="0" borderId="27" xfId="3" applyNumberFormat="1" applyFont="1" applyBorder="1" applyAlignment="1" applyProtection="1">
      <alignment horizontal="center" vertical="center"/>
      <protection hidden="1"/>
    </xf>
    <xf numFmtId="168" fontId="29" fillId="0" borderId="4" xfId="3" applyNumberFormat="1" applyFont="1" applyBorder="1" applyAlignment="1" applyProtection="1">
      <alignment horizontal="center" vertical="center"/>
      <protection hidden="1"/>
    </xf>
    <xf numFmtId="168" fontId="29" fillId="0" borderId="28" xfId="3" applyNumberFormat="1" applyFont="1" applyBorder="1" applyAlignment="1" applyProtection="1">
      <alignment horizontal="center" vertical="center"/>
      <protection hidden="1"/>
    </xf>
    <xf numFmtId="0" fontId="29" fillId="0" borderId="3" xfId="0" applyFont="1" applyBorder="1" applyAlignment="1" applyProtection="1">
      <alignment horizontal="left" vertical="top" wrapText="1"/>
      <protection hidden="1"/>
    </xf>
    <xf numFmtId="0" fontId="29" fillId="0" borderId="55" xfId="0" applyFont="1" applyBorder="1" applyAlignment="1" applyProtection="1">
      <alignment horizontal="left" vertical="top" wrapText="1"/>
      <protection hidden="1"/>
    </xf>
    <xf numFmtId="166" fontId="29" fillId="0" borderId="10" xfId="3" applyNumberFormat="1" applyFont="1" applyBorder="1" applyAlignment="1" applyProtection="1">
      <alignment horizontal="center" vertical="center"/>
      <protection hidden="1"/>
    </xf>
    <xf numFmtId="166" fontId="29" fillId="0" borderId="11" xfId="3" applyNumberFormat="1" applyFont="1" applyBorder="1" applyAlignment="1" applyProtection="1">
      <alignment horizontal="center" vertical="center"/>
      <protection hidden="1"/>
    </xf>
    <xf numFmtId="166" fontId="29" fillId="0" borderId="12" xfId="3" applyNumberFormat="1" applyFont="1" applyBorder="1" applyAlignment="1" applyProtection="1">
      <alignment horizontal="center" vertical="center"/>
      <protection hidden="1"/>
    </xf>
    <xf numFmtId="166" fontId="29" fillId="0" borderId="13" xfId="3" applyNumberFormat="1" applyFont="1" applyBorder="1" applyAlignment="1" applyProtection="1">
      <alignment horizontal="center" vertical="center"/>
      <protection hidden="1"/>
    </xf>
    <xf numFmtId="166" fontId="29" fillId="0" borderId="0" xfId="3" applyNumberFormat="1" applyFont="1" applyAlignment="1" applyProtection="1">
      <alignment horizontal="center" vertical="center"/>
      <protection hidden="1"/>
    </xf>
    <xf numFmtId="166" fontId="29" fillId="0" borderId="14" xfId="3" applyNumberFormat="1" applyFont="1" applyBorder="1" applyAlignment="1" applyProtection="1">
      <alignment horizontal="center" vertical="center"/>
      <protection hidden="1"/>
    </xf>
    <xf numFmtId="166" fontId="29" fillId="0" borderId="27" xfId="3" applyNumberFormat="1" applyFont="1" applyBorder="1" applyAlignment="1" applyProtection="1">
      <alignment horizontal="center" vertical="center"/>
      <protection hidden="1"/>
    </xf>
    <xf numFmtId="166" fontId="29" fillId="0" borderId="4" xfId="3" applyNumberFormat="1" applyFont="1" applyBorder="1" applyAlignment="1" applyProtection="1">
      <alignment horizontal="center" vertical="center"/>
      <protection hidden="1"/>
    </xf>
    <xf numFmtId="166" fontId="29" fillId="0" borderId="28" xfId="3" applyNumberFormat="1" applyFont="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0" fontId="47" fillId="0" borderId="22" xfId="0" applyFont="1" applyBorder="1" applyAlignment="1" applyProtection="1">
      <alignment horizontal="left" vertical="center" wrapText="1"/>
      <protection hidden="1"/>
    </xf>
    <xf numFmtId="0" fontId="47" fillId="0" borderId="3" xfId="0" applyFont="1" applyBorder="1" applyAlignment="1" applyProtection="1">
      <alignment horizontal="left" vertical="center" wrapText="1"/>
      <protection hidden="1"/>
    </xf>
    <xf numFmtId="0" fontId="47" fillId="0" borderId="25" xfId="0" applyFont="1" applyBorder="1" applyAlignment="1" applyProtection="1">
      <alignment horizontal="left" vertical="center" wrapText="1"/>
      <protection hidden="1"/>
    </xf>
    <xf numFmtId="0" fontId="47" fillId="0" borderId="26" xfId="0" applyFont="1" applyBorder="1" applyAlignment="1" applyProtection="1">
      <alignment horizontal="left" vertical="center" wrapText="1"/>
      <protection hidden="1"/>
    </xf>
    <xf numFmtId="0" fontId="48" fillId="0" borderId="22" xfId="0" applyFont="1" applyBorder="1" applyAlignment="1" applyProtection="1">
      <alignment horizontal="left" vertical="center" wrapText="1"/>
      <protection hidden="1"/>
    </xf>
    <xf numFmtId="0" fontId="48" fillId="0" borderId="3" xfId="0" applyFont="1" applyBorder="1" applyAlignment="1" applyProtection="1">
      <alignment horizontal="left" vertical="center" wrapText="1"/>
      <protection hidden="1"/>
    </xf>
    <xf numFmtId="0" fontId="48" fillId="0" borderId="25" xfId="0" applyFont="1" applyBorder="1" applyAlignment="1" applyProtection="1">
      <alignment horizontal="left" vertical="center" wrapText="1"/>
      <protection hidden="1"/>
    </xf>
    <xf numFmtId="0" fontId="48" fillId="0" borderId="26" xfId="0" applyFont="1" applyBorder="1" applyAlignment="1" applyProtection="1">
      <alignment horizontal="left" vertical="center" wrapText="1"/>
      <protection hidden="1"/>
    </xf>
  </cellXfs>
  <cellStyles count="11">
    <cellStyle name="Hipervínculo" xfId="1" builtinId="8"/>
    <cellStyle name="Millares" xfId="3" builtinId="3"/>
    <cellStyle name="Millares 2" xfId="7" xr:uid="{245C9221-E4C9-403E-A421-DB5389C671ED}"/>
    <cellStyle name="Moneda" xfId="4" builtinId="4"/>
    <cellStyle name="Moneda 2" xfId="8" xr:uid="{2DA9AC51-14B6-4957-B84F-F1129030394B}"/>
    <cellStyle name="Moneda 3" xfId="5" xr:uid="{D6C6377C-21CD-41DA-A578-CB7A9C89FE2E}"/>
    <cellStyle name="Moneda 3 2" xfId="10" xr:uid="{053B1EB1-9BDA-4738-A8C5-DD58150845FE}"/>
    <cellStyle name="Normal" xfId="0" builtinId="0"/>
    <cellStyle name="Normal 2" xfId="6" xr:uid="{2D803DAA-CBD9-4494-978F-F440449FE062}"/>
    <cellStyle name="Porcentaje" xfId="2" builtinId="5"/>
    <cellStyle name="Porcentaje 2" xfId="9" xr:uid="{8966F0D9-3F39-4C3B-9693-37A67CFA3538}"/>
  </cellStyles>
  <dxfs count="93">
    <dxf>
      <font>
        <color rgb="FF9C0006"/>
      </font>
      <fill>
        <patternFill>
          <bgColor rgb="FFFFC7C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bottom"/>
    </dxf>
    <dxf>
      <alignment vertical="bottom"/>
    </dxf>
    <dxf>
      <alignment vertical="bottom"/>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s>
  <tableStyles count="0" defaultTableStyle="TableStyleMedium2" defaultPivotStyle="PivotStyleLight16"/>
  <colors>
    <mruColors>
      <color rgb="FF00FFFF"/>
      <color rgb="FF4472C4"/>
      <color rgb="FF227870"/>
      <color rgb="FF2C9C91"/>
      <color rgb="FF34B5A9"/>
      <color rgb="FF2CE1F4"/>
      <color rgb="FFFFFF99"/>
      <color rgb="FF99FF33"/>
      <color rgb="FFFF66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1.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3.xml"/><Relationship Id="rId156"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pivotCacheDefinition" Target="pivotCache/pivotCacheDefinition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pivotCacheDefinition" Target="pivotCache/pivotCacheDefinition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'CT31'!$B$25</c:f>
              <c:strCache>
                <c:ptCount val="1"/>
                <c:pt idx="0">
                  <c:v>Datos</c:v>
                </c:pt>
              </c:strCache>
            </c:strRef>
          </c:tx>
          <c:spPr>
            <a:solidFill>
              <a:srgbClr val="004586"/>
            </a:solidFill>
            <a:ln w="25400">
              <a:noFill/>
            </a:ln>
          </c:spPr>
          <c:invertIfNegative val="0"/>
          <c:cat>
            <c:strRef>
              <c:f>'CT31'!$A$26:$A$38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'CT31'!$B$26:$B$38</c:f>
              <c:numCache>
                <c:formatCode>0%</c:formatCode>
                <c:ptCount val="13"/>
                <c:pt idx="0">
                  <c:v>0</c:v>
                </c:pt>
                <c:pt idx="1">
                  <c:v>0</c:v>
                </c:pt>
                <c:pt idx="2">
                  <c:v>2.588709677419355</c:v>
                </c:pt>
                <c:pt idx="3">
                  <c:v>0</c:v>
                </c:pt>
                <c:pt idx="4">
                  <c:v>0</c:v>
                </c:pt>
                <c:pt idx="5">
                  <c:v>7.1384615384615389</c:v>
                </c:pt>
                <c:pt idx="6">
                  <c:v>0</c:v>
                </c:pt>
                <c:pt idx="7">
                  <c:v>0</c:v>
                </c:pt>
                <c:pt idx="8">
                  <c:v>0</c:v>
                </c:pt>
                <c:pt idx="9">
                  <c:v>0</c:v>
                </c:pt>
                <c:pt idx="10">
                  <c:v>0</c:v>
                </c:pt>
                <c:pt idx="11">
                  <c:v>3.0377358490566038</c:v>
                </c:pt>
                <c:pt idx="12" formatCode="0.0%">
                  <c:v>3.5635910224438905</c:v>
                </c:pt>
              </c:numCache>
            </c:numRef>
          </c:val>
          <c:extLst>
            <c:ext xmlns:c16="http://schemas.microsoft.com/office/drawing/2014/chart" uri="{C3380CC4-5D6E-409C-BE32-E72D297353CC}">
              <c16:uniqueId val="{00000000-BBA4-4158-A6C3-B9F2D9CB594A}"/>
            </c:ext>
          </c:extLst>
        </c:ser>
        <c:ser>
          <c:idx val="1"/>
          <c:order val="1"/>
          <c:tx>
            <c:strRef>
              <c:f>'CT31'!$C$25</c:f>
              <c:strCache>
                <c:ptCount val="1"/>
                <c:pt idx="0">
                  <c:v>Meta Vigencia</c:v>
                </c:pt>
              </c:strCache>
            </c:strRef>
          </c:tx>
          <c:spPr>
            <a:solidFill>
              <a:srgbClr val="FF420E"/>
            </a:solidFill>
            <a:ln w="25400">
              <a:noFill/>
            </a:ln>
          </c:spPr>
          <c:invertIfNegative val="0"/>
          <c:cat>
            <c:strRef>
              <c:f>'CT31'!$A$26:$A$38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'CT31'!$C$26:$C$38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formatCode="0.0%">
                  <c:v>1</c:v>
                </c:pt>
              </c:numCache>
            </c:numRef>
          </c:val>
          <c:extLst>
            <c:ext xmlns:c16="http://schemas.microsoft.com/office/drawing/2014/chart" uri="{C3380CC4-5D6E-409C-BE32-E72D297353CC}">
              <c16:uniqueId val="{00000001-BBA4-4158-A6C3-B9F2D9CB594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'CT31'!$D$25</c:f>
              <c:strCache>
                <c:ptCount val="1"/>
                <c:pt idx="0">
                  <c:v>Meta - Rango</c:v>
                </c:pt>
              </c:strCache>
            </c:strRef>
          </c:tx>
          <c:spPr>
            <a:ln w="38100">
              <a:solidFill>
                <a:srgbClr val="FFD320"/>
              </a:solidFill>
              <a:prstDash val="solid"/>
            </a:ln>
          </c:spPr>
          <c:marker>
            <c:symbol val="none"/>
          </c:marker>
          <c:cat>
            <c:strRef>
              <c:f>'CT31'!$A$26:$A$38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'CT31'!$D$26:$D$38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formatCode="0.0%">
                  <c:v>0.98</c:v>
                </c:pt>
              </c:numCache>
            </c:numRef>
          </c:val>
          <c:smooth val="0"/>
          <c:extLst>
            <c:ext xmlns:c16="http://schemas.microsoft.com/office/drawing/2014/chart" uri="{C3380CC4-5D6E-409C-BE32-E72D297353CC}">
              <c16:uniqueId val="{00000002-BBA4-4158-A6C3-B9F2D9CB594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'JC05'!$B$25</c:f>
              <c:strCache>
                <c:ptCount val="1"/>
                <c:pt idx="0">
                  <c:v>Datos</c:v>
                </c:pt>
              </c:strCache>
            </c:strRef>
          </c:tx>
          <c:spPr>
            <a:solidFill>
              <a:srgbClr val="004586"/>
            </a:solidFill>
            <a:ln w="25400">
              <a:noFill/>
            </a:ln>
          </c:spPr>
          <c:invertIfNegative val="0"/>
          <c:cat>
            <c:strRef>
              <c:f>'JC05'!$A$26:$A$38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'JC05'!$B$26:$B$38</c:f>
              <c:numCache>
                <c:formatCode>_-* #,##0.0_-;\-* #,##0.0_-;_-* "-"??_-;_-@_-</c:formatCode>
                <c:ptCount val="13"/>
                <c:pt idx="0">
                  <c:v>0</c:v>
                </c:pt>
                <c:pt idx="1">
                  <c:v>0</c:v>
                </c:pt>
                <c:pt idx="2">
                  <c:v>44</c:v>
                </c:pt>
                <c:pt idx="3">
                  <c:v>0</c:v>
                </c:pt>
                <c:pt idx="4">
                  <c:v>0</c:v>
                </c:pt>
                <c:pt idx="5">
                  <c:v>45</c:v>
                </c:pt>
                <c:pt idx="6">
                  <c:v>0</c:v>
                </c:pt>
                <c:pt idx="7">
                  <c:v>0</c:v>
                </c:pt>
                <c:pt idx="8">
                  <c:v>54</c:v>
                </c:pt>
                <c:pt idx="9">
                  <c:v>0</c:v>
                </c:pt>
                <c:pt idx="10">
                  <c:v>0</c:v>
                </c:pt>
                <c:pt idx="11">
                  <c:v>30</c:v>
                </c:pt>
                <c:pt idx="12">
                  <c:v>173</c:v>
                </c:pt>
              </c:numCache>
            </c:numRef>
          </c:val>
          <c:extLst>
            <c:ext xmlns:c16="http://schemas.microsoft.com/office/drawing/2014/chart" uri="{C3380CC4-5D6E-409C-BE32-E72D297353CC}">
              <c16:uniqueId val="{00000000-1F07-40F6-B7E9-D01CB772C11E}"/>
            </c:ext>
          </c:extLst>
        </c:ser>
        <c:ser>
          <c:idx val="1"/>
          <c:order val="1"/>
          <c:tx>
            <c:strRef>
              <c:f>'JC05'!$C$25</c:f>
              <c:strCache>
                <c:ptCount val="1"/>
                <c:pt idx="0">
                  <c:v>Meta Vigencia</c:v>
                </c:pt>
              </c:strCache>
            </c:strRef>
          </c:tx>
          <c:spPr>
            <a:solidFill>
              <a:srgbClr val="FF420E"/>
            </a:solidFill>
            <a:ln w="25400">
              <a:noFill/>
            </a:ln>
          </c:spPr>
          <c:invertIfNegative val="0"/>
          <c:cat>
            <c:strRef>
              <c:f>'JC05'!$A$26:$A$38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'JC05'!$C$26:$C$38</c:f>
              <c:numCache>
                <c:formatCode>_-* #,##0.0_-;\-* #,##0.0_-;_-* "-"??_-;_-@_-</c:formatCode>
                <c:ptCount val="13"/>
                <c:pt idx="0">
                  <c:v>150</c:v>
                </c:pt>
                <c:pt idx="1">
                  <c:v>150</c:v>
                </c:pt>
                <c:pt idx="2">
                  <c:v>150</c:v>
                </c:pt>
                <c:pt idx="3">
                  <c:v>150</c:v>
                </c:pt>
                <c:pt idx="4">
                  <c:v>150</c:v>
                </c:pt>
                <c:pt idx="5">
                  <c:v>150</c:v>
                </c:pt>
                <c:pt idx="6">
                  <c:v>150</c:v>
                </c:pt>
                <c:pt idx="7">
                  <c:v>150</c:v>
                </c:pt>
                <c:pt idx="8">
                  <c:v>150</c:v>
                </c:pt>
                <c:pt idx="9">
                  <c:v>150</c:v>
                </c:pt>
                <c:pt idx="10">
                  <c:v>150</c:v>
                </c:pt>
                <c:pt idx="11">
                  <c:v>150</c:v>
                </c:pt>
                <c:pt idx="12">
                  <c:v>150</c:v>
                </c:pt>
              </c:numCache>
            </c:numRef>
          </c:val>
          <c:extLst>
            <c:ext xmlns:c16="http://schemas.microsoft.com/office/drawing/2014/chart" uri="{C3380CC4-5D6E-409C-BE32-E72D297353CC}">
              <c16:uniqueId val="{00000001-1F07-40F6-B7E9-D01CB772C11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'JC05'!$D$25</c:f>
              <c:strCache>
                <c:ptCount val="1"/>
                <c:pt idx="0">
                  <c:v>Meta - Rango</c:v>
                </c:pt>
              </c:strCache>
            </c:strRef>
          </c:tx>
          <c:spPr>
            <a:ln w="38100">
              <a:solidFill>
                <a:srgbClr val="FFD320"/>
              </a:solidFill>
              <a:prstDash val="solid"/>
            </a:ln>
          </c:spPr>
          <c:marker>
            <c:symbol val="none"/>
          </c:marker>
          <c:cat>
            <c:strRef>
              <c:f>'JC05'!$A$26:$A$38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'JC05'!$D$26:$D$38</c:f>
              <c:numCache>
                <c:formatCode>_-* #,##0.0_-;\-* #,##0.0_-;_-* "-"??_-;_-@_-</c:formatCode>
                <c:ptCount val="13"/>
                <c:pt idx="0">
                  <c:v>147</c:v>
                </c:pt>
                <c:pt idx="1">
                  <c:v>147</c:v>
                </c:pt>
                <c:pt idx="2">
                  <c:v>147</c:v>
                </c:pt>
                <c:pt idx="3">
                  <c:v>147</c:v>
                </c:pt>
                <c:pt idx="4">
                  <c:v>147</c:v>
                </c:pt>
                <c:pt idx="5">
                  <c:v>147</c:v>
                </c:pt>
                <c:pt idx="6">
                  <c:v>147</c:v>
                </c:pt>
                <c:pt idx="7">
                  <c:v>147</c:v>
                </c:pt>
                <c:pt idx="8">
                  <c:v>147</c:v>
                </c:pt>
                <c:pt idx="9">
                  <c:v>147</c:v>
                </c:pt>
                <c:pt idx="10">
                  <c:v>147</c:v>
                </c:pt>
                <c:pt idx="11">
                  <c:v>147</c:v>
                </c:pt>
                <c:pt idx="12">
                  <c:v>147</c:v>
                </c:pt>
              </c:numCache>
            </c:numRef>
          </c:val>
          <c:smooth val="0"/>
          <c:extLst>
            <c:ext xmlns:c16="http://schemas.microsoft.com/office/drawing/2014/chart" uri="{C3380CC4-5D6E-409C-BE32-E72D297353CC}">
              <c16:uniqueId val="{00000002-1F07-40F6-B7E9-D01CB772C11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 val="autoZero"/>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'PE01'!$B$25</c:f>
              <c:strCache>
                <c:ptCount val="1"/>
                <c:pt idx="0">
                  <c:v>Datos</c:v>
                </c:pt>
              </c:strCache>
            </c:strRef>
          </c:tx>
          <c:spPr>
            <a:solidFill>
              <a:srgbClr val="004586"/>
            </a:solidFill>
            <a:ln w="25400">
              <a:noFill/>
            </a:ln>
          </c:spPr>
          <c:invertIfNegative val="0"/>
          <c:cat>
            <c:strRef>
              <c:f>'PE01'!$A$26:$A$38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'PE01'!$B$26:$B$38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37AB-4EB7-A42B-491C1D7BCBDA}"/>
            </c:ext>
          </c:extLst>
        </c:ser>
        <c:ser>
          <c:idx val="1"/>
          <c:order val="1"/>
          <c:tx>
            <c:strRef>
              <c:f>'PE01'!$C$25</c:f>
              <c:strCache>
                <c:ptCount val="1"/>
                <c:pt idx="0">
                  <c:v>Meta Vigencia</c:v>
                </c:pt>
              </c:strCache>
            </c:strRef>
          </c:tx>
          <c:spPr>
            <a:solidFill>
              <a:srgbClr val="FF420E"/>
            </a:solidFill>
            <a:ln w="25400">
              <a:noFill/>
            </a:ln>
          </c:spPr>
          <c:invertIfNegative val="0"/>
          <c:cat>
            <c:strRef>
              <c:f>'PE01'!$A$26:$A$38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37AB-4EB7-A42B-491C1D7BCB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'PE01'!$D$25</c:f>
              <c:strCache>
                <c:ptCount val="1"/>
                <c:pt idx="0">
                  <c:v>Meta - Rango</c:v>
                </c:pt>
              </c:strCache>
            </c:strRef>
          </c:tx>
          <c:spPr>
            <a:ln w="38100">
              <a:solidFill>
                <a:srgbClr val="FFD320"/>
              </a:solidFill>
              <a:prstDash val="solid"/>
            </a:ln>
          </c:spPr>
          <c:marker>
            <c:symbol val="none"/>
          </c:marker>
          <c:cat>
            <c:strRef>
              <c:f>'PE01'!$A$26:$A$38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37AB-4EB7-A42B-491C1D7BCB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'PE02'!$B$25</c:f>
              <c:strCache>
                <c:ptCount val="1"/>
                <c:pt idx="0">
                  <c:v>Datos</c:v>
                </c:pt>
              </c:strCache>
            </c:strRef>
          </c:tx>
          <c:spPr>
            <a:solidFill>
              <a:srgbClr val="004586"/>
            </a:solidFill>
            <a:ln w="25400">
              <a:noFill/>
            </a:ln>
          </c:spPr>
          <c:invertIfNegative val="0"/>
          <c:cat>
            <c:strRef>
              <c:f>'PE02'!$A$26:$A$38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'PE02'!$B$26:$B$38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835-4C35-98CE-9F72D29A158B}"/>
            </c:ext>
          </c:extLst>
        </c:ser>
        <c:ser>
          <c:idx val="1"/>
          <c:order val="1"/>
          <c:tx>
            <c:strRef>
              <c:f>'PE02'!$C$25</c:f>
              <c:strCache>
                <c:ptCount val="1"/>
                <c:pt idx="0">
                  <c:v>Meta Vigencia</c:v>
                </c:pt>
              </c:strCache>
            </c:strRef>
          </c:tx>
          <c:spPr>
            <a:solidFill>
              <a:srgbClr val="FF420E"/>
            </a:solidFill>
            <a:ln w="25400">
              <a:noFill/>
            </a:ln>
          </c:spPr>
          <c:invertIfNegative val="0"/>
          <c:cat>
            <c:strRef>
              <c:f>'PE02'!$A$26:$A$38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835-4C35-98CE-9F72D29A158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'PE02'!$D$25</c:f>
              <c:strCache>
                <c:ptCount val="1"/>
                <c:pt idx="0">
                  <c:v>Meta - Rango</c:v>
                </c:pt>
              </c:strCache>
            </c:strRef>
          </c:tx>
          <c:spPr>
            <a:ln w="38100">
              <a:solidFill>
                <a:srgbClr val="FFD320"/>
              </a:solidFill>
              <a:prstDash val="solid"/>
            </a:ln>
          </c:spPr>
          <c:marker>
            <c:symbol val="none"/>
          </c:marker>
          <c:cat>
            <c:strRef>
              <c:f>'PE02'!$A$26:$A$38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835-4C35-98CE-9F72D29A158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'PE03'!$B$25</c:f>
              <c:strCache>
                <c:ptCount val="1"/>
                <c:pt idx="0">
                  <c:v>Datos</c:v>
                </c:pt>
              </c:strCache>
            </c:strRef>
          </c:tx>
          <c:spPr>
            <a:solidFill>
              <a:srgbClr val="004586"/>
            </a:solidFill>
            <a:ln w="25400">
              <a:noFill/>
            </a:ln>
          </c:spPr>
          <c:invertIfNegative val="0"/>
          <c:cat>
            <c:strRef>
              <c:f>'PE03'!$A$26:$A$38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1DA-4D99-A177-32B35EBC9168}"/>
            </c:ext>
          </c:extLst>
        </c:ser>
        <c:ser>
          <c:idx val="1"/>
          <c:order val="1"/>
          <c:tx>
            <c:strRef>
              <c:f>'PE03'!$C$25</c:f>
              <c:strCache>
                <c:ptCount val="1"/>
                <c:pt idx="0">
                  <c:v>Meta Vigencia</c:v>
                </c:pt>
              </c:strCache>
            </c:strRef>
          </c:tx>
          <c:spPr>
            <a:solidFill>
              <a:srgbClr val="FF420E"/>
            </a:solidFill>
            <a:ln w="25400">
              <a:noFill/>
            </a:ln>
          </c:spPr>
          <c:invertIfNegative val="0"/>
          <c:cat>
            <c:strRef>
              <c:f>'PE03'!$A$26:$A$38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21DA-4D99-A177-32B35EBC916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'PE03'!$D$25</c:f>
              <c:strCache>
                <c:ptCount val="1"/>
                <c:pt idx="0">
                  <c:v>Meta - Rango</c:v>
                </c:pt>
              </c:strCache>
            </c:strRef>
          </c:tx>
          <c:spPr>
            <a:ln w="38100">
              <a:solidFill>
                <a:srgbClr val="FFD320"/>
              </a:solidFill>
              <a:prstDash val="solid"/>
            </a:ln>
          </c:spPr>
          <c:marker>
            <c:symbol val="none"/>
          </c:marker>
          <c:cat>
            <c:strRef>
              <c:f>'PE03'!$A$26:$A$38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21DA-4D99-A177-32B35EBC916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'PE04'!$B$25</c:f>
              <c:strCache>
                <c:ptCount val="1"/>
                <c:pt idx="0">
                  <c:v>Datos</c:v>
                </c:pt>
              </c:strCache>
            </c:strRef>
          </c:tx>
          <c:spPr>
            <a:solidFill>
              <a:srgbClr val="004586"/>
            </a:solidFill>
            <a:ln w="25400">
              <a:noFill/>
            </a:ln>
          </c:spPr>
          <c:invertIfNegative val="0"/>
          <c:cat>
            <c:strRef>
              <c:f>'PE04'!$A$26:$A$38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'PE04'!$B$26:$B$38</c:f>
              <c:numCache>
                <c:formatCode>0%</c:formatCode>
                <c:ptCount val="13"/>
                <c:pt idx="0">
                  <c:v>0</c:v>
                </c:pt>
                <c:pt idx="1">
                  <c:v>0</c:v>
                </c:pt>
                <c:pt idx="2">
                  <c:v>1</c:v>
                </c:pt>
                <c:pt idx="3">
                  <c:v>0</c:v>
                </c:pt>
                <c:pt idx="4">
                  <c:v>0</c:v>
                </c:pt>
                <c:pt idx="5">
                  <c:v>1</c:v>
                </c:pt>
                <c:pt idx="6">
                  <c:v>0</c:v>
                </c:pt>
                <c:pt idx="7">
                  <c:v>0</c:v>
                </c:pt>
                <c:pt idx="8">
                  <c:v>0.83333333333333337</c:v>
                </c:pt>
                <c:pt idx="9">
                  <c:v>0</c:v>
                </c:pt>
                <c:pt idx="10">
                  <c:v>0</c:v>
                </c:pt>
                <c:pt idx="11">
                  <c:v>1</c:v>
                </c:pt>
                <c:pt idx="12">
                  <c:v>0.96551724137931039</c:v>
                </c:pt>
              </c:numCache>
            </c:numRef>
          </c:val>
          <c:extLst>
            <c:ext xmlns:c16="http://schemas.microsoft.com/office/drawing/2014/chart" uri="{C3380CC4-5D6E-409C-BE32-E72D297353CC}">
              <c16:uniqueId val="{00000000-995D-4129-AABB-DE1035B2C764}"/>
            </c:ext>
          </c:extLst>
        </c:ser>
        <c:ser>
          <c:idx val="1"/>
          <c:order val="1"/>
          <c:tx>
            <c:strRef>
              <c:f>'PE04'!$C$25</c:f>
              <c:strCache>
                <c:ptCount val="1"/>
                <c:pt idx="0">
                  <c:v>Meta Vigencia</c:v>
                </c:pt>
              </c:strCache>
            </c:strRef>
          </c:tx>
          <c:spPr>
            <a:solidFill>
              <a:srgbClr val="FF420E"/>
            </a:solidFill>
            <a:ln w="25400">
              <a:noFill/>
            </a:ln>
          </c:spPr>
          <c:invertIfNegative val="0"/>
          <c:cat>
            <c:strRef>
              <c:f>'PE04'!$A$26:$A$38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95D-4129-AABB-DE1035B2C76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'PE04'!$D$25</c:f>
              <c:strCache>
                <c:ptCount val="1"/>
                <c:pt idx="0">
                  <c:v>Meta - Rango</c:v>
                </c:pt>
              </c:strCache>
            </c:strRef>
          </c:tx>
          <c:spPr>
            <a:ln w="38100">
              <a:solidFill>
                <a:srgbClr val="FFD320"/>
              </a:solidFill>
              <a:prstDash val="solid"/>
            </a:ln>
          </c:spPr>
          <c:marker>
            <c:symbol val="none"/>
          </c:marker>
          <c:cat>
            <c:strRef>
              <c:f>'PE04'!$A$26:$A$38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95D-4129-AABB-DE1035B2C76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'PE05'!$B$25</c:f>
              <c:strCache>
                <c:ptCount val="1"/>
                <c:pt idx="0">
                  <c:v>Datos</c:v>
                </c:pt>
              </c:strCache>
            </c:strRef>
          </c:tx>
          <c:spPr>
            <a:solidFill>
              <a:srgbClr val="004586"/>
            </a:solidFill>
            <a:ln w="25400">
              <a:noFill/>
            </a:ln>
          </c:spPr>
          <c:invertIfNegative val="0"/>
          <c:cat>
            <c:strRef>
              <c:f>'PE05'!$A$26:$A$38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'PE05'!$B$26:$B$38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3FA-40E9-B80F-3FA5645B8C04}"/>
            </c:ext>
          </c:extLst>
        </c:ser>
        <c:ser>
          <c:idx val="1"/>
          <c:order val="1"/>
          <c:tx>
            <c:strRef>
              <c:f>'PE05'!$C$25</c:f>
              <c:strCache>
                <c:ptCount val="1"/>
                <c:pt idx="0">
                  <c:v>Meta Vigencia</c:v>
                </c:pt>
              </c:strCache>
            </c:strRef>
          </c:tx>
          <c:spPr>
            <a:solidFill>
              <a:srgbClr val="FF420E"/>
            </a:solidFill>
            <a:ln w="25400">
              <a:noFill/>
            </a:ln>
          </c:spPr>
          <c:invertIfNegative val="0"/>
          <c:cat>
            <c:strRef>
              <c:f>'PE05'!$A$26:$A$38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3FA-40E9-B80F-3FA5645B8C0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'PE05'!$D$25</c:f>
              <c:strCache>
                <c:ptCount val="1"/>
                <c:pt idx="0">
                  <c:v>Meta - Rango</c:v>
                </c:pt>
              </c:strCache>
            </c:strRef>
          </c:tx>
          <c:spPr>
            <a:ln w="38100">
              <a:solidFill>
                <a:srgbClr val="FFD320"/>
              </a:solidFill>
              <a:prstDash val="solid"/>
            </a:ln>
          </c:spPr>
          <c:marker>
            <c:symbol val="none"/>
          </c:marker>
          <c:cat>
            <c:strRef>
              <c:f>'PE05'!$A$26:$A$38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'PE05'!$D$26:$D$38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3FA-40E9-B80F-3FA5645B8C0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'AC04'!$B$25</c:f>
              <c:strCache>
                <c:ptCount val="1"/>
                <c:pt idx="0">
                  <c:v>Datos</c:v>
                </c:pt>
              </c:strCache>
            </c:strRef>
          </c:tx>
          <c:spPr>
            <a:solidFill>
              <a:srgbClr val="004586"/>
            </a:solidFill>
            <a:ln w="25400">
              <a:noFill/>
            </a:ln>
          </c:spPr>
          <c:invertIfNegative val="0"/>
          <c:cat>
            <c:strRef>
              <c:f>'AC04'!$A$26:$A$38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'AC04'!$B$26:$B$38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89A5-459F-A818-3AF89F490AC2}"/>
            </c:ext>
          </c:extLst>
        </c:ser>
        <c:ser>
          <c:idx val="1"/>
          <c:order val="1"/>
          <c:tx>
            <c:strRef>
              <c:f>'AC04'!$C$25</c:f>
              <c:strCache>
                <c:ptCount val="1"/>
                <c:pt idx="0">
                  <c:v>Meta Vigencia</c:v>
                </c:pt>
              </c:strCache>
            </c:strRef>
          </c:tx>
          <c:spPr>
            <a:solidFill>
              <a:srgbClr val="FF420E"/>
            </a:solidFill>
            <a:ln w="25400">
              <a:noFill/>
            </a:ln>
          </c:spPr>
          <c:invertIfNegative val="0"/>
          <c:cat>
            <c:strRef>
              <c:f>'AC04'!$A$26:$A$38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89A5-459F-A818-3AF89F490AC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'AC04'!$D$25</c:f>
              <c:strCache>
                <c:ptCount val="1"/>
                <c:pt idx="0">
                  <c:v>Meta - Rango</c:v>
                </c:pt>
              </c:strCache>
            </c:strRef>
          </c:tx>
          <c:spPr>
            <a:ln w="38100">
              <a:solidFill>
                <a:srgbClr val="FFD320"/>
              </a:solidFill>
              <a:prstDash val="solid"/>
            </a:ln>
          </c:spPr>
          <c:marker>
            <c:symbol val="none"/>
          </c:marker>
          <c:cat>
            <c:strRef>
              <c:f>'AC04'!$A$26:$A$38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89A5-459F-A818-3AF89F490AC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'AC05'!$B$25</c:f>
              <c:strCache>
                <c:ptCount val="1"/>
                <c:pt idx="0">
                  <c:v>Datos</c:v>
                </c:pt>
              </c:strCache>
            </c:strRef>
          </c:tx>
          <c:spPr>
            <a:solidFill>
              <a:srgbClr val="004586"/>
            </a:solidFill>
            <a:ln w="25400">
              <a:noFill/>
            </a:ln>
          </c:spPr>
          <c:invertIfNegative val="0"/>
          <c:cat>
            <c:strRef>
              <c:f>'AC05'!$A$26:$A$38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'AC05'!$B$26:$B$38</c:f>
              <c:numCache>
                <c:formatCode>0%</c:formatCode>
                <c:ptCount val="13"/>
                <c:pt idx="0">
                  <c:v>0</c:v>
                </c:pt>
                <c:pt idx="1">
                  <c:v>1</c:v>
                </c:pt>
                <c:pt idx="2">
                  <c:v>0</c:v>
                </c:pt>
                <c:pt idx="3">
                  <c:v>1</c:v>
                </c:pt>
                <c:pt idx="4">
                  <c:v>0</c:v>
                </c:pt>
                <c:pt idx="5">
                  <c:v>1</c:v>
                </c:pt>
                <c:pt idx="6">
                  <c:v>0</c:v>
                </c:pt>
                <c:pt idx="7">
                  <c:v>1</c:v>
                </c:pt>
                <c:pt idx="8">
                  <c:v>0</c:v>
                </c:pt>
                <c:pt idx="9">
                  <c:v>1</c:v>
                </c:pt>
                <c:pt idx="10">
                  <c:v>0</c:v>
                </c:pt>
                <c:pt idx="11">
                  <c:v>1</c:v>
                </c:pt>
                <c:pt idx="12">
                  <c:v>1</c:v>
                </c:pt>
              </c:numCache>
            </c:numRef>
          </c:val>
          <c:extLst>
            <c:ext xmlns:c16="http://schemas.microsoft.com/office/drawing/2014/chart" uri="{C3380CC4-5D6E-409C-BE32-E72D297353CC}">
              <c16:uniqueId val="{00000000-0FB2-4EA3-9CF4-F1E233ACEB60}"/>
            </c:ext>
          </c:extLst>
        </c:ser>
        <c:ser>
          <c:idx val="1"/>
          <c:order val="1"/>
          <c:tx>
            <c:strRef>
              <c:f>'AC05'!$C$25</c:f>
              <c:strCache>
                <c:ptCount val="1"/>
                <c:pt idx="0">
                  <c:v>Meta Vigencia</c:v>
                </c:pt>
              </c:strCache>
            </c:strRef>
          </c:tx>
          <c:spPr>
            <a:solidFill>
              <a:srgbClr val="FF420E"/>
            </a:solidFill>
            <a:ln w="25400">
              <a:noFill/>
            </a:ln>
          </c:spPr>
          <c:invertIfNegative val="0"/>
          <c:cat>
            <c:strRef>
              <c:f>'AC05'!$A$26:$A$38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FB2-4EA3-9CF4-F1E233ACEB6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'AC05'!$D$25</c:f>
              <c:strCache>
                <c:ptCount val="1"/>
                <c:pt idx="0">
                  <c:v>Meta - Rango</c:v>
                </c:pt>
              </c:strCache>
            </c:strRef>
          </c:tx>
          <c:spPr>
            <a:ln w="38100">
              <a:solidFill>
                <a:srgbClr val="FFD320"/>
              </a:solidFill>
              <a:prstDash val="solid"/>
            </a:ln>
          </c:spPr>
          <c:marker>
            <c:symbol val="none"/>
          </c:marker>
          <c:cat>
            <c:strRef>
              <c:f>'AC05'!$A$26:$A$38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FB2-4EA3-9CF4-F1E233ACEB6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'AC06'!$B$25</c:f>
              <c:strCache>
                <c:ptCount val="1"/>
                <c:pt idx="0">
                  <c:v>Datos</c:v>
                </c:pt>
              </c:strCache>
            </c:strRef>
          </c:tx>
          <c:spPr>
            <a:solidFill>
              <a:srgbClr val="004586"/>
            </a:solidFill>
            <a:ln w="25400">
              <a:noFill/>
            </a:ln>
          </c:spPr>
          <c:invertIfNegative val="0"/>
          <c:cat>
            <c:strRef>
              <c:f>'AC06'!$A$26:$A$38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'AC06'!$B$26:$B$38</c:f>
              <c:numCache>
                <c:formatCode>0%</c:formatCode>
                <c:ptCount val="13"/>
                <c:pt idx="0">
                  <c:v>0</c:v>
                </c:pt>
                <c:pt idx="1">
                  <c:v>0</c:v>
                </c:pt>
                <c:pt idx="2">
                  <c:v>0</c:v>
                </c:pt>
                <c:pt idx="3">
                  <c:v>0</c:v>
                </c:pt>
                <c:pt idx="4">
                  <c:v>0</c:v>
                </c:pt>
                <c:pt idx="5">
                  <c:v>0.61395348837209307</c:v>
                </c:pt>
                <c:pt idx="6">
                  <c:v>0</c:v>
                </c:pt>
                <c:pt idx="7">
                  <c:v>0</c:v>
                </c:pt>
                <c:pt idx="8">
                  <c:v>0</c:v>
                </c:pt>
                <c:pt idx="9">
                  <c:v>0</c:v>
                </c:pt>
                <c:pt idx="10">
                  <c:v>0</c:v>
                </c:pt>
                <c:pt idx="11">
                  <c:v>0.65789473684210531</c:v>
                </c:pt>
                <c:pt idx="12">
                  <c:v>0.63969171483622356</c:v>
                </c:pt>
              </c:numCache>
            </c:numRef>
          </c:val>
          <c:extLst>
            <c:ext xmlns:c16="http://schemas.microsoft.com/office/drawing/2014/chart" uri="{C3380CC4-5D6E-409C-BE32-E72D297353CC}">
              <c16:uniqueId val="{00000000-DE8B-4186-AD93-04C585D6749D}"/>
            </c:ext>
          </c:extLst>
        </c:ser>
        <c:ser>
          <c:idx val="1"/>
          <c:order val="1"/>
          <c:tx>
            <c:strRef>
              <c:f>'AC06'!$C$25</c:f>
              <c:strCache>
                <c:ptCount val="1"/>
                <c:pt idx="0">
                  <c:v>Meta Vigencia</c:v>
                </c:pt>
              </c:strCache>
            </c:strRef>
          </c:tx>
          <c:spPr>
            <a:solidFill>
              <a:srgbClr val="FF420E"/>
            </a:solidFill>
            <a:ln w="25400">
              <a:noFill/>
            </a:ln>
          </c:spPr>
          <c:invertIfNegative val="0"/>
          <c:cat>
            <c:strRef>
              <c:f>'AC06'!$A$26:$A$38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'AC06'!$C$26:$C$38</c:f>
              <c:numCache>
                <c:formatCode>0%</c:formatCode>
                <c:ptCount val="13"/>
                <c:pt idx="0">
                  <c:v>0.5</c:v>
                </c:pt>
                <c:pt idx="1">
                  <c:v>0.5</c:v>
                </c:pt>
                <c:pt idx="2">
                  <c:v>0.5</c:v>
                </c:pt>
                <c:pt idx="3">
                  <c:v>0.5</c:v>
                </c:pt>
                <c:pt idx="4">
                  <c:v>0.5</c:v>
                </c:pt>
                <c:pt idx="5">
                  <c:v>0.5</c:v>
                </c:pt>
                <c:pt idx="6">
                  <c:v>0.5</c:v>
                </c:pt>
                <c:pt idx="7">
                  <c:v>0.5</c:v>
                </c:pt>
                <c:pt idx="8">
                  <c:v>0.5</c:v>
                </c:pt>
                <c:pt idx="9">
                  <c:v>0.5</c:v>
                </c:pt>
                <c:pt idx="10">
                  <c:v>0.5</c:v>
                </c:pt>
                <c:pt idx="11">
                  <c:v>0.5</c:v>
                </c:pt>
                <c:pt idx="12">
                  <c:v>0.5</c:v>
                </c:pt>
              </c:numCache>
            </c:numRef>
          </c:val>
          <c:extLst>
            <c:ext xmlns:c16="http://schemas.microsoft.com/office/drawing/2014/chart" uri="{C3380CC4-5D6E-409C-BE32-E72D297353CC}">
              <c16:uniqueId val="{00000001-DE8B-4186-AD93-04C585D6749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'AC06'!$D$25</c:f>
              <c:strCache>
                <c:ptCount val="1"/>
                <c:pt idx="0">
                  <c:v>Meta - Rango</c:v>
                </c:pt>
              </c:strCache>
            </c:strRef>
          </c:tx>
          <c:spPr>
            <a:ln w="38100">
              <a:solidFill>
                <a:srgbClr val="FFD320"/>
              </a:solidFill>
              <a:prstDash val="solid"/>
            </a:ln>
          </c:spPr>
          <c:marker>
            <c:symbol val="none"/>
          </c:marker>
          <c:cat>
            <c:strRef>
              <c:f>'AC06'!$A$26:$A$38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'AC06'!$D$26:$D$38</c:f>
              <c:numCache>
                <c:formatCode>0%</c:formatCode>
                <c:ptCount val="13"/>
                <c:pt idx="0">
                  <c:v>0.49</c:v>
                </c:pt>
                <c:pt idx="1">
                  <c:v>0.49</c:v>
                </c:pt>
                <c:pt idx="2">
                  <c:v>0.49</c:v>
                </c:pt>
                <c:pt idx="3">
                  <c:v>0.49</c:v>
                </c:pt>
                <c:pt idx="4">
                  <c:v>0.49</c:v>
                </c:pt>
                <c:pt idx="5">
                  <c:v>0.49</c:v>
                </c:pt>
                <c:pt idx="6">
                  <c:v>0.49</c:v>
                </c:pt>
                <c:pt idx="7">
                  <c:v>0.49</c:v>
                </c:pt>
                <c:pt idx="8">
                  <c:v>0.49</c:v>
                </c:pt>
                <c:pt idx="9">
                  <c:v>0.49</c:v>
                </c:pt>
                <c:pt idx="10">
                  <c:v>0.49</c:v>
                </c:pt>
                <c:pt idx="11">
                  <c:v>0.49</c:v>
                </c:pt>
                <c:pt idx="12">
                  <c:v>0.49</c:v>
                </c:pt>
              </c:numCache>
            </c:numRef>
          </c:val>
          <c:smooth val="0"/>
          <c:extLst>
            <c:ext xmlns:c16="http://schemas.microsoft.com/office/drawing/2014/chart" uri="{C3380CC4-5D6E-409C-BE32-E72D297353CC}">
              <c16:uniqueId val="{00000002-DE8B-4186-AD93-04C585D6749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'AC07'!$B$25</c:f>
              <c:strCache>
                <c:ptCount val="1"/>
                <c:pt idx="0">
                  <c:v>Datos</c:v>
                </c:pt>
              </c:strCache>
            </c:strRef>
          </c:tx>
          <c:spPr>
            <a:solidFill>
              <a:srgbClr val="004586"/>
            </a:solidFill>
            <a:ln w="25400">
              <a:noFill/>
            </a:ln>
          </c:spPr>
          <c:invertIfNegative val="0"/>
          <c:cat>
            <c:strRef>
              <c:f>'AC07'!$A$26:$A$38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'AC07'!$B$26:$B$38</c:f>
              <c:numCache>
                <c:formatCode>0%</c:formatCode>
                <c:ptCount val="13"/>
                <c:pt idx="0">
                  <c:v>0</c:v>
                </c:pt>
                <c:pt idx="1">
                  <c:v>0</c:v>
                </c:pt>
                <c:pt idx="2">
                  <c:v>0</c:v>
                </c:pt>
                <c:pt idx="3">
                  <c:v>0</c:v>
                </c:pt>
                <c:pt idx="4">
                  <c:v>0</c:v>
                </c:pt>
                <c:pt idx="5">
                  <c:v>0.5</c:v>
                </c:pt>
                <c:pt idx="6">
                  <c:v>0</c:v>
                </c:pt>
                <c:pt idx="7">
                  <c:v>0</c:v>
                </c:pt>
                <c:pt idx="8">
                  <c:v>0</c:v>
                </c:pt>
                <c:pt idx="9">
                  <c:v>0</c:v>
                </c:pt>
                <c:pt idx="10">
                  <c:v>0</c:v>
                </c:pt>
                <c:pt idx="11">
                  <c:v>0.5714285714285714</c:v>
                </c:pt>
                <c:pt idx="12">
                  <c:v>0.54545454545454541</c:v>
                </c:pt>
              </c:numCache>
            </c:numRef>
          </c:val>
          <c:extLst>
            <c:ext xmlns:c16="http://schemas.microsoft.com/office/drawing/2014/chart" uri="{C3380CC4-5D6E-409C-BE32-E72D297353CC}">
              <c16:uniqueId val="{00000000-0E36-4B40-B581-C68DD3080D7A}"/>
            </c:ext>
          </c:extLst>
        </c:ser>
        <c:ser>
          <c:idx val="1"/>
          <c:order val="1"/>
          <c:tx>
            <c:strRef>
              <c:f>'AC07'!$C$25</c:f>
              <c:strCache>
                <c:ptCount val="1"/>
                <c:pt idx="0">
                  <c:v>Meta Vigencia</c:v>
                </c:pt>
              </c:strCache>
            </c:strRef>
          </c:tx>
          <c:spPr>
            <a:solidFill>
              <a:srgbClr val="FF420E"/>
            </a:solidFill>
            <a:ln w="25400">
              <a:noFill/>
            </a:ln>
          </c:spPr>
          <c:invertIfNegative val="0"/>
          <c:cat>
            <c:strRef>
              <c:f>'AC07'!$A$26:$A$38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E36-4B40-B581-C68DD3080D7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'AC07'!$D$25</c:f>
              <c:strCache>
                <c:ptCount val="1"/>
                <c:pt idx="0">
                  <c:v>Meta - Rango</c:v>
                </c:pt>
              </c:strCache>
            </c:strRef>
          </c:tx>
          <c:spPr>
            <a:ln w="38100">
              <a:solidFill>
                <a:srgbClr val="FFD320"/>
              </a:solidFill>
              <a:prstDash val="solid"/>
            </a:ln>
          </c:spPr>
          <c:marker>
            <c:symbol val="none"/>
          </c:marker>
          <c:cat>
            <c:strRef>
              <c:f>'AC07'!$A$26:$A$38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'AC07'!$D$26:$D$38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E36-4B40-B581-C68DD3080D7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'DI28'!$B$25</c:f>
              <c:strCache>
                <c:ptCount val="1"/>
                <c:pt idx="0">
                  <c:v>Datos</c:v>
                </c:pt>
              </c:strCache>
            </c:strRef>
          </c:tx>
          <c:spPr>
            <a:solidFill>
              <a:srgbClr val="004586"/>
            </a:solidFill>
            <a:ln w="25400">
              <a:noFill/>
            </a:ln>
          </c:spPr>
          <c:invertIfNegative val="0"/>
          <c:cat>
            <c:strRef>
              <c:f>'DI28'!$A$26:$A$38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'DI28'!$B$26:$B$38</c:f>
              <c:numCache>
                <c:formatCode>0%</c:formatCode>
                <c:ptCount val="13"/>
                <c:pt idx="0">
                  <c:v>0</c:v>
                </c:pt>
                <c:pt idx="1">
                  <c:v>0</c:v>
                </c:pt>
                <c:pt idx="2">
                  <c:v>1</c:v>
                </c:pt>
                <c:pt idx="3">
                  <c:v>0</c:v>
                </c:pt>
                <c:pt idx="4">
                  <c:v>0</c:v>
                </c:pt>
                <c:pt idx="5">
                  <c:v>0.44827586206896552</c:v>
                </c:pt>
                <c:pt idx="6">
                  <c:v>0</c:v>
                </c:pt>
                <c:pt idx="7">
                  <c:v>0</c:v>
                </c:pt>
                <c:pt idx="8">
                  <c:v>1</c:v>
                </c:pt>
                <c:pt idx="9">
                  <c:v>0</c:v>
                </c:pt>
                <c:pt idx="10">
                  <c:v>0</c:v>
                </c:pt>
                <c:pt idx="11">
                  <c:v>1</c:v>
                </c:pt>
                <c:pt idx="12">
                  <c:v>0.64835164835164838</c:v>
                </c:pt>
              </c:numCache>
            </c:numRef>
          </c:val>
          <c:extLst>
            <c:ext xmlns:c16="http://schemas.microsoft.com/office/drawing/2014/chart" uri="{C3380CC4-5D6E-409C-BE32-E72D297353CC}">
              <c16:uniqueId val="{00000000-46E9-48A2-AC4C-FF5122866C3D}"/>
            </c:ext>
          </c:extLst>
        </c:ser>
        <c:ser>
          <c:idx val="1"/>
          <c:order val="1"/>
          <c:tx>
            <c:strRef>
              <c:f>'DI28'!$C$25</c:f>
              <c:strCache>
                <c:ptCount val="1"/>
                <c:pt idx="0">
                  <c:v>Meta Vigencia</c:v>
                </c:pt>
              </c:strCache>
            </c:strRef>
          </c:tx>
          <c:spPr>
            <a:solidFill>
              <a:srgbClr val="FF420E"/>
            </a:solidFill>
            <a:ln w="25400">
              <a:noFill/>
            </a:ln>
          </c:spPr>
          <c:invertIfNegative val="0"/>
          <c:cat>
            <c:strRef>
              <c:f>'DI28'!$A$26:$A$38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'DI28'!$C$26:$C$38</c:f>
              <c:numCache>
                <c:formatCode>0%</c:formatCode>
                <c:ptCount val="13"/>
                <c:pt idx="0">
                  <c:v>52</c:v>
                </c:pt>
                <c:pt idx="1">
                  <c:v>52</c:v>
                </c:pt>
                <c:pt idx="2">
                  <c:v>52</c:v>
                </c:pt>
                <c:pt idx="3">
                  <c:v>52</c:v>
                </c:pt>
                <c:pt idx="4">
                  <c:v>52</c:v>
                </c:pt>
                <c:pt idx="5">
                  <c:v>52</c:v>
                </c:pt>
                <c:pt idx="6">
                  <c:v>52</c:v>
                </c:pt>
                <c:pt idx="7">
                  <c:v>52</c:v>
                </c:pt>
                <c:pt idx="8">
                  <c:v>52</c:v>
                </c:pt>
                <c:pt idx="9">
                  <c:v>52</c:v>
                </c:pt>
                <c:pt idx="10">
                  <c:v>52</c:v>
                </c:pt>
                <c:pt idx="11">
                  <c:v>52</c:v>
                </c:pt>
                <c:pt idx="12">
                  <c:v>52</c:v>
                </c:pt>
              </c:numCache>
            </c:numRef>
          </c:val>
          <c:extLst>
            <c:ext xmlns:c16="http://schemas.microsoft.com/office/drawing/2014/chart" uri="{C3380CC4-5D6E-409C-BE32-E72D297353CC}">
              <c16:uniqueId val="{00000001-46E9-48A2-AC4C-FF5122866C3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'DI28'!$D$25</c:f>
              <c:strCache>
                <c:ptCount val="1"/>
                <c:pt idx="0">
                  <c:v>Meta - Rango</c:v>
                </c:pt>
              </c:strCache>
            </c:strRef>
          </c:tx>
          <c:spPr>
            <a:ln w="38100">
              <a:solidFill>
                <a:srgbClr val="FFD320"/>
              </a:solidFill>
              <a:prstDash val="solid"/>
            </a:ln>
          </c:spPr>
          <c:marker>
            <c:symbol val="none"/>
          </c:marker>
          <c:cat>
            <c:strRef>
              <c:f>'DI28'!$A$26:$A$38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'DI28'!$D$26:$D$38</c:f>
              <c:numCache>
                <c:formatCode>0%</c:formatCode>
                <c:ptCount val="13"/>
                <c:pt idx="0">
                  <c:v>50.96</c:v>
                </c:pt>
                <c:pt idx="1">
                  <c:v>50.96</c:v>
                </c:pt>
                <c:pt idx="2">
                  <c:v>50.96</c:v>
                </c:pt>
                <c:pt idx="3">
                  <c:v>50.96</c:v>
                </c:pt>
                <c:pt idx="4">
                  <c:v>50.96</c:v>
                </c:pt>
                <c:pt idx="5">
                  <c:v>50.96</c:v>
                </c:pt>
                <c:pt idx="6">
                  <c:v>50.96</c:v>
                </c:pt>
                <c:pt idx="7">
                  <c:v>50.96</c:v>
                </c:pt>
                <c:pt idx="8">
                  <c:v>50.96</c:v>
                </c:pt>
                <c:pt idx="9">
                  <c:v>50.96</c:v>
                </c:pt>
                <c:pt idx="10">
                  <c:v>50.96</c:v>
                </c:pt>
                <c:pt idx="11">
                  <c:v>50.96</c:v>
                </c:pt>
                <c:pt idx="12">
                  <c:v>50.96</c:v>
                </c:pt>
              </c:numCache>
            </c:numRef>
          </c:val>
          <c:smooth val="0"/>
          <c:extLst>
            <c:ext xmlns:c16="http://schemas.microsoft.com/office/drawing/2014/chart" uri="{C3380CC4-5D6E-409C-BE32-E72D297353CC}">
              <c16:uniqueId val="{00000002-46E9-48A2-AC4C-FF5122866C3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'JC06'!$B$25</c:f>
              <c:strCache>
                <c:ptCount val="1"/>
                <c:pt idx="0">
                  <c:v>Datos</c:v>
                </c:pt>
              </c:strCache>
            </c:strRef>
          </c:tx>
          <c:spPr>
            <a:solidFill>
              <a:srgbClr val="004586"/>
            </a:solidFill>
            <a:ln w="25400">
              <a:noFill/>
            </a:ln>
          </c:spPr>
          <c:invertIfNegative val="0"/>
          <c:cat>
            <c:strRef>
              <c:f>'JC06'!$A$26:$A$38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'JC06'!$B$26:$B$38</c:f>
              <c:numCache>
                <c:formatCode>_-* #,##0.0_-;\-* #,##0.0_-;_-* "-"??_-;_-@_-</c:formatCode>
                <c:ptCount val="13"/>
                <c:pt idx="0">
                  <c:v>0</c:v>
                </c:pt>
                <c:pt idx="1">
                  <c:v>0</c:v>
                </c:pt>
                <c:pt idx="2">
                  <c:v>120</c:v>
                </c:pt>
                <c:pt idx="3">
                  <c:v>0</c:v>
                </c:pt>
                <c:pt idx="4">
                  <c:v>0</c:v>
                </c:pt>
                <c:pt idx="5">
                  <c:v>140</c:v>
                </c:pt>
                <c:pt idx="6">
                  <c:v>0</c:v>
                </c:pt>
                <c:pt idx="7">
                  <c:v>0</c:v>
                </c:pt>
                <c:pt idx="8">
                  <c:v>140</c:v>
                </c:pt>
                <c:pt idx="9">
                  <c:v>0</c:v>
                </c:pt>
                <c:pt idx="10">
                  <c:v>0</c:v>
                </c:pt>
                <c:pt idx="11">
                  <c:v>120</c:v>
                </c:pt>
                <c:pt idx="12">
                  <c:v>520</c:v>
                </c:pt>
              </c:numCache>
            </c:numRef>
          </c:val>
          <c:extLst>
            <c:ext xmlns:c16="http://schemas.microsoft.com/office/drawing/2014/chart" uri="{C3380CC4-5D6E-409C-BE32-E72D297353CC}">
              <c16:uniqueId val="{00000000-0CB0-4FB1-B024-00565D68E748}"/>
            </c:ext>
          </c:extLst>
        </c:ser>
        <c:ser>
          <c:idx val="1"/>
          <c:order val="1"/>
          <c:tx>
            <c:strRef>
              <c:f>'JC06'!$C$25</c:f>
              <c:strCache>
                <c:ptCount val="1"/>
                <c:pt idx="0">
                  <c:v>Meta Vigencia</c:v>
                </c:pt>
              </c:strCache>
            </c:strRef>
          </c:tx>
          <c:spPr>
            <a:solidFill>
              <a:srgbClr val="FF420E"/>
            </a:solidFill>
            <a:ln w="25400">
              <a:noFill/>
            </a:ln>
          </c:spPr>
          <c:invertIfNegative val="0"/>
          <c:cat>
            <c:strRef>
              <c:f>'JC06'!$A$26:$A$38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'JC06'!$C$26:$C$38</c:f>
              <c:numCache>
                <c:formatCode>_-* #,##0.0_-;\-* #,##0.0_-;_-* "-"??_-;_-@_-</c:formatCode>
                <c:ptCount val="13"/>
                <c:pt idx="0">
                  <c:v>520</c:v>
                </c:pt>
                <c:pt idx="1">
                  <c:v>520</c:v>
                </c:pt>
                <c:pt idx="2">
                  <c:v>520</c:v>
                </c:pt>
                <c:pt idx="3">
                  <c:v>520</c:v>
                </c:pt>
                <c:pt idx="4">
                  <c:v>520</c:v>
                </c:pt>
                <c:pt idx="5">
                  <c:v>520</c:v>
                </c:pt>
                <c:pt idx="6">
                  <c:v>520</c:v>
                </c:pt>
                <c:pt idx="7">
                  <c:v>520</c:v>
                </c:pt>
                <c:pt idx="8">
                  <c:v>520</c:v>
                </c:pt>
                <c:pt idx="9">
                  <c:v>520</c:v>
                </c:pt>
                <c:pt idx="10">
                  <c:v>520</c:v>
                </c:pt>
                <c:pt idx="11">
                  <c:v>520</c:v>
                </c:pt>
                <c:pt idx="12">
                  <c:v>520</c:v>
                </c:pt>
              </c:numCache>
            </c:numRef>
          </c:val>
          <c:extLst>
            <c:ext xmlns:c16="http://schemas.microsoft.com/office/drawing/2014/chart" uri="{C3380CC4-5D6E-409C-BE32-E72D297353CC}">
              <c16:uniqueId val="{00000001-0CB0-4FB1-B024-00565D68E74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'JC06'!$D$25</c:f>
              <c:strCache>
                <c:ptCount val="1"/>
                <c:pt idx="0">
                  <c:v>Meta - Rango</c:v>
                </c:pt>
              </c:strCache>
            </c:strRef>
          </c:tx>
          <c:spPr>
            <a:ln w="38100">
              <a:solidFill>
                <a:srgbClr val="FFD320"/>
              </a:solidFill>
              <a:prstDash val="solid"/>
            </a:ln>
          </c:spPr>
          <c:marker>
            <c:symbol val="none"/>
          </c:marker>
          <c:cat>
            <c:strRef>
              <c:f>'JC06'!$A$26:$A$38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'JC06'!$D$26:$D$38</c:f>
              <c:numCache>
                <c:formatCode>_-* #,##0.0_-;\-* #,##0.0_-;_-* "-"??_-;_-@_-</c:formatCode>
                <c:ptCount val="13"/>
                <c:pt idx="0">
                  <c:v>509.59999999999997</c:v>
                </c:pt>
                <c:pt idx="1">
                  <c:v>509.59999999999997</c:v>
                </c:pt>
                <c:pt idx="2">
                  <c:v>509.59999999999997</c:v>
                </c:pt>
                <c:pt idx="3">
                  <c:v>509.59999999999997</c:v>
                </c:pt>
                <c:pt idx="4">
                  <c:v>509.59999999999997</c:v>
                </c:pt>
                <c:pt idx="5">
                  <c:v>509.59999999999997</c:v>
                </c:pt>
                <c:pt idx="6">
                  <c:v>509.59999999999997</c:v>
                </c:pt>
                <c:pt idx="7">
                  <c:v>509.59999999999997</c:v>
                </c:pt>
                <c:pt idx="8">
                  <c:v>509.59999999999997</c:v>
                </c:pt>
                <c:pt idx="9">
                  <c:v>509.59999999999997</c:v>
                </c:pt>
                <c:pt idx="10">
                  <c:v>509.59999999999997</c:v>
                </c:pt>
                <c:pt idx="11">
                  <c:v>509.59999999999997</c:v>
                </c:pt>
                <c:pt idx="12">
                  <c:v>509.59999999999997</c:v>
                </c:pt>
              </c:numCache>
            </c:numRef>
          </c:val>
          <c:smooth val="0"/>
          <c:extLst>
            <c:ext xmlns:c16="http://schemas.microsoft.com/office/drawing/2014/chart" uri="{C3380CC4-5D6E-409C-BE32-E72D297353CC}">
              <c16:uniqueId val="{00000002-0CB0-4FB1-B024-00565D68E74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max val="550"/>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'BS01'!$B$25</c:f>
              <c:strCache>
                <c:ptCount val="1"/>
                <c:pt idx="0">
                  <c:v>Datos</c:v>
                </c:pt>
              </c:strCache>
            </c:strRef>
          </c:tx>
          <c:spPr>
            <a:solidFill>
              <a:srgbClr val="004586"/>
            </a:solidFill>
            <a:ln w="25400">
              <a:noFill/>
            </a:ln>
          </c:spPr>
          <c:invertIfNegative val="0"/>
          <c:cat>
            <c:strRef>
              <c:f>'BS01'!$A$26:$A$38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'BS01'!$B$26:$B$38</c:f>
              <c:numCache>
                <c:formatCode>_-* #,##0.0_-;\-* #,##0.0_-;_-* "-"??_-;_-@_-</c:formatCode>
                <c:ptCount val="13"/>
                <c:pt idx="0">
                  <c:v>0</c:v>
                </c:pt>
                <c:pt idx="1">
                  <c:v>0</c:v>
                </c:pt>
                <c:pt idx="2">
                  <c:v>2</c:v>
                </c:pt>
                <c:pt idx="3">
                  <c:v>0</c:v>
                </c:pt>
                <c:pt idx="4">
                  <c:v>0</c:v>
                </c:pt>
                <c:pt idx="5">
                  <c:v>2</c:v>
                </c:pt>
                <c:pt idx="6">
                  <c:v>0</c:v>
                </c:pt>
                <c:pt idx="7">
                  <c:v>0</c:v>
                </c:pt>
                <c:pt idx="8">
                  <c:v>6</c:v>
                </c:pt>
                <c:pt idx="9">
                  <c:v>0</c:v>
                </c:pt>
                <c:pt idx="10">
                  <c:v>0</c:v>
                </c:pt>
                <c:pt idx="11">
                  <c:v>8</c:v>
                </c:pt>
                <c:pt idx="12">
                  <c:v>18</c:v>
                </c:pt>
              </c:numCache>
            </c:numRef>
          </c:val>
          <c:extLst>
            <c:ext xmlns:c16="http://schemas.microsoft.com/office/drawing/2014/chart" uri="{C3380CC4-5D6E-409C-BE32-E72D297353CC}">
              <c16:uniqueId val="{00000000-83D2-4DA2-AFFE-003D94B41118}"/>
            </c:ext>
          </c:extLst>
        </c:ser>
        <c:ser>
          <c:idx val="1"/>
          <c:order val="1"/>
          <c:tx>
            <c:strRef>
              <c:f>'BS01'!$C$25</c:f>
              <c:strCache>
                <c:ptCount val="1"/>
                <c:pt idx="0">
                  <c:v>Meta Vigencia</c:v>
                </c:pt>
              </c:strCache>
            </c:strRef>
          </c:tx>
          <c:spPr>
            <a:solidFill>
              <a:srgbClr val="FF420E"/>
            </a:solidFill>
            <a:ln w="25400">
              <a:noFill/>
            </a:ln>
          </c:spPr>
          <c:invertIfNegative val="0"/>
          <c:cat>
            <c:strRef>
              <c:f>'BS01'!$A$26:$A$38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'BS01'!$C$26:$C$38</c:f>
              <c:numCache>
                <c:formatCode>_-* #,##0.0_-;\-* #,##0.0_-;_-* "-"??_-;_-@_-</c:formatCode>
                <c:ptCount val="13"/>
                <c:pt idx="0">
                  <c:v>8</c:v>
                </c:pt>
                <c:pt idx="1">
                  <c:v>8</c:v>
                </c:pt>
                <c:pt idx="2">
                  <c:v>8</c:v>
                </c:pt>
                <c:pt idx="3">
                  <c:v>8</c:v>
                </c:pt>
                <c:pt idx="4">
                  <c:v>8</c:v>
                </c:pt>
                <c:pt idx="5">
                  <c:v>8</c:v>
                </c:pt>
                <c:pt idx="6">
                  <c:v>8</c:v>
                </c:pt>
                <c:pt idx="7">
                  <c:v>8</c:v>
                </c:pt>
                <c:pt idx="8">
                  <c:v>8</c:v>
                </c:pt>
                <c:pt idx="9">
                  <c:v>8</c:v>
                </c:pt>
                <c:pt idx="10">
                  <c:v>8</c:v>
                </c:pt>
                <c:pt idx="11">
                  <c:v>8</c:v>
                </c:pt>
                <c:pt idx="12">
                  <c:v>8</c:v>
                </c:pt>
              </c:numCache>
            </c:numRef>
          </c:val>
          <c:extLst>
            <c:ext xmlns:c16="http://schemas.microsoft.com/office/drawing/2014/chart" uri="{C3380CC4-5D6E-409C-BE32-E72D297353CC}">
              <c16:uniqueId val="{00000001-83D2-4DA2-AFFE-003D94B4111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'BS01'!$D$25</c:f>
              <c:strCache>
                <c:ptCount val="1"/>
                <c:pt idx="0">
                  <c:v>Meta - Rango</c:v>
                </c:pt>
              </c:strCache>
            </c:strRef>
          </c:tx>
          <c:spPr>
            <a:ln w="38100">
              <a:solidFill>
                <a:srgbClr val="FFD320"/>
              </a:solidFill>
              <a:prstDash val="solid"/>
            </a:ln>
          </c:spPr>
          <c:marker>
            <c:symbol val="none"/>
          </c:marker>
          <c:cat>
            <c:strRef>
              <c:f>'BS01'!$A$26:$A$38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'BS01'!$D$26:$D$38</c:f>
              <c:numCache>
                <c:formatCode>_-* #,##0.0_-;\-* #,##0.0_-;_-* "-"??_-;_-@_-</c:formatCode>
                <c:ptCount val="13"/>
                <c:pt idx="0">
                  <c:v>7.84</c:v>
                </c:pt>
                <c:pt idx="1">
                  <c:v>7.84</c:v>
                </c:pt>
                <c:pt idx="2">
                  <c:v>7.84</c:v>
                </c:pt>
                <c:pt idx="3">
                  <c:v>7.84</c:v>
                </c:pt>
                <c:pt idx="4">
                  <c:v>7.84</c:v>
                </c:pt>
                <c:pt idx="5">
                  <c:v>7.84</c:v>
                </c:pt>
                <c:pt idx="6">
                  <c:v>7.84</c:v>
                </c:pt>
                <c:pt idx="7">
                  <c:v>7.84</c:v>
                </c:pt>
                <c:pt idx="8">
                  <c:v>7.84</c:v>
                </c:pt>
                <c:pt idx="9">
                  <c:v>7.84</c:v>
                </c:pt>
                <c:pt idx="10">
                  <c:v>7.84</c:v>
                </c:pt>
                <c:pt idx="11">
                  <c:v>7.84</c:v>
                </c:pt>
                <c:pt idx="12">
                  <c:v>7.84</c:v>
                </c:pt>
              </c:numCache>
            </c:numRef>
          </c:val>
          <c:smooth val="0"/>
          <c:extLst>
            <c:ext xmlns:c16="http://schemas.microsoft.com/office/drawing/2014/chart" uri="{C3380CC4-5D6E-409C-BE32-E72D297353CC}">
              <c16:uniqueId val="{00000002-83D2-4DA2-AFFE-003D94B4111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'BS04'!$B$25</c:f>
              <c:strCache>
                <c:ptCount val="1"/>
                <c:pt idx="0">
                  <c:v>Datos</c:v>
                </c:pt>
              </c:strCache>
            </c:strRef>
          </c:tx>
          <c:spPr>
            <a:solidFill>
              <a:srgbClr val="004586"/>
            </a:solidFill>
            <a:ln w="25400">
              <a:noFill/>
            </a:ln>
          </c:spPr>
          <c:invertIfNegative val="0"/>
          <c:cat>
            <c:strRef>
              <c:f>'BS04'!$A$26:$A$38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'BS04'!$B$26:$B$38</c:f>
              <c:numCache>
                <c:formatCode>0%</c:formatCode>
                <c:ptCount val="13"/>
                <c:pt idx="0">
                  <c:v>0</c:v>
                </c:pt>
                <c:pt idx="1">
                  <c:v>0</c:v>
                </c:pt>
                <c:pt idx="2">
                  <c:v>0.25396825396825395</c:v>
                </c:pt>
                <c:pt idx="3">
                  <c:v>0</c:v>
                </c:pt>
                <c:pt idx="4">
                  <c:v>0</c:v>
                </c:pt>
                <c:pt idx="5">
                  <c:v>0.55555555555555558</c:v>
                </c:pt>
                <c:pt idx="6">
                  <c:v>0</c:v>
                </c:pt>
                <c:pt idx="7">
                  <c:v>0</c:v>
                </c:pt>
                <c:pt idx="8">
                  <c:v>0.79365079365079361</c:v>
                </c:pt>
                <c:pt idx="9">
                  <c:v>0</c:v>
                </c:pt>
                <c:pt idx="10">
                  <c:v>0</c:v>
                </c:pt>
                <c:pt idx="11">
                  <c:v>1</c:v>
                </c:pt>
                <c:pt idx="12">
                  <c:v>1</c:v>
                </c:pt>
              </c:numCache>
            </c:numRef>
          </c:val>
          <c:extLst>
            <c:ext xmlns:c16="http://schemas.microsoft.com/office/drawing/2014/chart" uri="{C3380CC4-5D6E-409C-BE32-E72D297353CC}">
              <c16:uniqueId val="{00000000-4E7D-431D-B63C-BDAE3BB49891}"/>
            </c:ext>
          </c:extLst>
        </c:ser>
        <c:ser>
          <c:idx val="1"/>
          <c:order val="1"/>
          <c:tx>
            <c:strRef>
              <c:f>'BS04'!$C$25</c:f>
              <c:strCache>
                <c:ptCount val="1"/>
                <c:pt idx="0">
                  <c:v>Meta Vigencia</c:v>
                </c:pt>
              </c:strCache>
            </c:strRef>
          </c:tx>
          <c:spPr>
            <a:solidFill>
              <a:srgbClr val="FF420E"/>
            </a:solidFill>
            <a:ln w="25400">
              <a:noFill/>
            </a:ln>
          </c:spPr>
          <c:invertIfNegative val="0"/>
          <c:cat>
            <c:strRef>
              <c:f>'BS04'!$A$26:$A$38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4E7D-431D-B63C-BDAE3BB4989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'BS04'!$D$25</c:f>
              <c:strCache>
                <c:ptCount val="1"/>
                <c:pt idx="0">
                  <c:v>Meta - Rango</c:v>
                </c:pt>
              </c:strCache>
            </c:strRef>
          </c:tx>
          <c:spPr>
            <a:ln w="38100">
              <a:solidFill>
                <a:srgbClr val="FFD320"/>
              </a:solidFill>
              <a:prstDash val="solid"/>
            </a:ln>
          </c:spPr>
          <c:marker>
            <c:symbol val="none"/>
          </c:marker>
          <c:cat>
            <c:strRef>
              <c:f>'BS04'!$A$26:$A$38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4E7D-431D-B63C-BDAE3BB4989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'BS08'!$B$25</c:f>
              <c:strCache>
                <c:ptCount val="1"/>
                <c:pt idx="0">
                  <c:v>Datos</c:v>
                </c:pt>
              </c:strCache>
            </c:strRef>
          </c:tx>
          <c:spPr>
            <a:solidFill>
              <a:srgbClr val="004586"/>
            </a:solidFill>
            <a:ln w="25400">
              <a:noFill/>
            </a:ln>
          </c:spPr>
          <c:invertIfNegative val="0"/>
          <c:cat>
            <c:strRef>
              <c:f>'BS08'!$A$26:$A$38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'BS08'!$B$26:$B$38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953-43B6-B060-DA620D2179FC}"/>
            </c:ext>
          </c:extLst>
        </c:ser>
        <c:ser>
          <c:idx val="1"/>
          <c:order val="1"/>
          <c:tx>
            <c:strRef>
              <c:f>'BS08'!$C$25</c:f>
              <c:strCache>
                <c:ptCount val="1"/>
                <c:pt idx="0">
                  <c:v>Meta Vigencia</c:v>
                </c:pt>
              </c:strCache>
            </c:strRef>
          </c:tx>
          <c:spPr>
            <a:solidFill>
              <a:srgbClr val="FF420E"/>
            </a:solidFill>
            <a:ln w="25400">
              <a:noFill/>
            </a:ln>
          </c:spPr>
          <c:invertIfNegative val="0"/>
          <c:cat>
            <c:strRef>
              <c:f>'BS08'!$A$26:$A$38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D953-43B6-B060-DA620D2179F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'BS08'!$D$25</c:f>
              <c:strCache>
                <c:ptCount val="1"/>
                <c:pt idx="0">
                  <c:v>Meta - Rango</c:v>
                </c:pt>
              </c:strCache>
            </c:strRef>
          </c:tx>
          <c:spPr>
            <a:ln w="38100">
              <a:solidFill>
                <a:srgbClr val="FFD320"/>
              </a:solidFill>
              <a:prstDash val="solid"/>
            </a:ln>
          </c:spPr>
          <c:marker>
            <c:symbol val="none"/>
          </c:marker>
          <c:cat>
            <c:strRef>
              <c:f>'BS08'!$A$26:$A$38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D953-43B6-B060-DA620D2179F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'BS09'!$B$25</c:f>
              <c:strCache>
                <c:ptCount val="1"/>
                <c:pt idx="0">
                  <c:v>Datos</c:v>
                </c:pt>
              </c:strCache>
            </c:strRef>
          </c:tx>
          <c:spPr>
            <a:solidFill>
              <a:srgbClr val="004586"/>
            </a:solidFill>
            <a:ln w="25400">
              <a:noFill/>
            </a:ln>
          </c:spPr>
          <c:invertIfNegative val="0"/>
          <c:cat>
            <c:strRef>
              <c:f>'BS09'!$A$26:$A$38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'BS09'!$B$26:$B$38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99A-45E1-8E80-7BA5F8FA284D}"/>
            </c:ext>
          </c:extLst>
        </c:ser>
        <c:ser>
          <c:idx val="1"/>
          <c:order val="1"/>
          <c:tx>
            <c:strRef>
              <c:f>'BS09'!$C$25</c:f>
              <c:strCache>
                <c:ptCount val="1"/>
                <c:pt idx="0">
                  <c:v>Meta Vigencia</c:v>
                </c:pt>
              </c:strCache>
            </c:strRef>
          </c:tx>
          <c:spPr>
            <a:solidFill>
              <a:srgbClr val="FF420E"/>
            </a:solidFill>
            <a:ln w="25400">
              <a:noFill/>
            </a:ln>
          </c:spPr>
          <c:invertIfNegative val="0"/>
          <c:cat>
            <c:strRef>
              <c:f>'BS09'!$A$26:$A$38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'BS09'!$C$26:$C$38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599A-45E1-8E80-7BA5F8FA284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'BS09'!$D$25</c:f>
              <c:strCache>
                <c:ptCount val="1"/>
                <c:pt idx="0">
                  <c:v>Meta - Rango</c:v>
                </c:pt>
              </c:strCache>
            </c:strRef>
          </c:tx>
          <c:spPr>
            <a:ln w="38100">
              <a:solidFill>
                <a:srgbClr val="FFD320"/>
              </a:solidFill>
              <a:prstDash val="solid"/>
            </a:ln>
          </c:spPr>
          <c:marker>
            <c:symbol val="none"/>
          </c:marker>
          <c:cat>
            <c:strRef>
              <c:f>'BS09'!$A$26:$A$38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'BS09'!$D$26:$D$38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599A-45E1-8E80-7BA5F8FA284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'BS05'!$B$25</c:f>
              <c:strCache>
                <c:ptCount val="1"/>
                <c:pt idx="0">
                  <c:v>Datos</c:v>
                </c:pt>
              </c:strCache>
            </c:strRef>
          </c:tx>
          <c:spPr>
            <a:solidFill>
              <a:srgbClr val="004586"/>
            </a:solidFill>
            <a:ln w="25400">
              <a:noFill/>
            </a:ln>
          </c:spPr>
          <c:invertIfNegative val="0"/>
          <c:cat>
            <c:strRef>
              <c:f>'BS05'!$A$26:$A$38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'BS05'!$B$26:$B$38</c:f>
              <c:numCache>
                <c:formatCode>_-* #,##0.0_-;\-* #,##0.0_-;_-* "-"??_-;_-@_-</c:formatCode>
                <c:ptCount val="13"/>
                <c:pt idx="0">
                  <c:v>0</c:v>
                </c:pt>
                <c:pt idx="1">
                  <c:v>0</c:v>
                </c:pt>
                <c:pt idx="2">
                  <c:v>3</c:v>
                </c:pt>
                <c:pt idx="3">
                  <c:v>0</c:v>
                </c:pt>
                <c:pt idx="4">
                  <c:v>0</c:v>
                </c:pt>
                <c:pt idx="5">
                  <c:v>3</c:v>
                </c:pt>
                <c:pt idx="6">
                  <c:v>0</c:v>
                </c:pt>
                <c:pt idx="7">
                  <c:v>0</c:v>
                </c:pt>
                <c:pt idx="8">
                  <c:v>3</c:v>
                </c:pt>
                <c:pt idx="9">
                  <c:v>0</c:v>
                </c:pt>
                <c:pt idx="10">
                  <c:v>0</c:v>
                </c:pt>
                <c:pt idx="11">
                  <c:v>3</c:v>
                </c:pt>
                <c:pt idx="12">
                  <c:v>12</c:v>
                </c:pt>
              </c:numCache>
            </c:numRef>
          </c:val>
          <c:extLst>
            <c:ext xmlns:c16="http://schemas.microsoft.com/office/drawing/2014/chart" uri="{C3380CC4-5D6E-409C-BE32-E72D297353CC}">
              <c16:uniqueId val="{00000000-2569-4A34-8619-CFCF09FDA0B0}"/>
            </c:ext>
          </c:extLst>
        </c:ser>
        <c:ser>
          <c:idx val="1"/>
          <c:order val="1"/>
          <c:tx>
            <c:strRef>
              <c:f>'BS05'!$C$25</c:f>
              <c:strCache>
                <c:ptCount val="1"/>
                <c:pt idx="0">
                  <c:v>Meta Vigencia</c:v>
                </c:pt>
              </c:strCache>
            </c:strRef>
          </c:tx>
          <c:spPr>
            <a:solidFill>
              <a:srgbClr val="FF420E"/>
            </a:solidFill>
            <a:ln w="25400">
              <a:noFill/>
            </a:ln>
          </c:spPr>
          <c:invertIfNegative val="0"/>
          <c:cat>
            <c:strRef>
              <c:f>'BS05'!$A$26:$A$38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'BS05'!$C$26:$C$38</c:f>
              <c:numCache>
                <c:formatCode>_-* #,##0.0_-;\-* #,##0.0_-;_-* "-"??_-;_-@_-</c:formatCode>
                <c:ptCount val="13"/>
                <c:pt idx="0">
                  <c:v>12</c:v>
                </c:pt>
                <c:pt idx="1">
                  <c:v>12</c:v>
                </c:pt>
                <c:pt idx="2">
                  <c:v>12</c:v>
                </c:pt>
                <c:pt idx="3">
                  <c:v>12</c:v>
                </c:pt>
                <c:pt idx="4">
                  <c:v>12</c:v>
                </c:pt>
                <c:pt idx="5">
                  <c:v>12</c:v>
                </c:pt>
                <c:pt idx="6">
                  <c:v>12</c:v>
                </c:pt>
                <c:pt idx="7">
                  <c:v>12</c:v>
                </c:pt>
                <c:pt idx="8">
                  <c:v>12</c:v>
                </c:pt>
                <c:pt idx="9">
                  <c:v>12</c:v>
                </c:pt>
                <c:pt idx="10">
                  <c:v>12</c:v>
                </c:pt>
                <c:pt idx="11">
                  <c:v>12</c:v>
                </c:pt>
                <c:pt idx="12">
                  <c:v>12</c:v>
                </c:pt>
              </c:numCache>
            </c:numRef>
          </c:val>
          <c:extLst>
            <c:ext xmlns:c16="http://schemas.microsoft.com/office/drawing/2014/chart" uri="{C3380CC4-5D6E-409C-BE32-E72D297353CC}">
              <c16:uniqueId val="{00000001-2569-4A34-8619-CFCF09FDA0B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'BS05'!$D$25</c:f>
              <c:strCache>
                <c:ptCount val="1"/>
                <c:pt idx="0">
                  <c:v>Meta - Rango</c:v>
                </c:pt>
              </c:strCache>
            </c:strRef>
          </c:tx>
          <c:spPr>
            <a:ln w="38100">
              <a:solidFill>
                <a:srgbClr val="FFD320"/>
              </a:solidFill>
              <a:prstDash val="solid"/>
            </a:ln>
          </c:spPr>
          <c:marker>
            <c:symbol val="none"/>
          </c:marker>
          <c:cat>
            <c:strRef>
              <c:f>'BS05'!$A$26:$A$38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'BS05'!$D$26:$D$38</c:f>
              <c:numCache>
                <c:formatCode>_-* #,##0.0_-;\-* #,##0.0_-;_-* "-"??_-;_-@_-</c:formatCode>
                <c:ptCount val="13"/>
                <c:pt idx="0">
                  <c:v>11.76</c:v>
                </c:pt>
                <c:pt idx="1">
                  <c:v>11.76</c:v>
                </c:pt>
                <c:pt idx="2">
                  <c:v>11.76</c:v>
                </c:pt>
                <c:pt idx="3">
                  <c:v>11.76</c:v>
                </c:pt>
                <c:pt idx="4">
                  <c:v>11.76</c:v>
                </c:pt>
                <c:pt idx="5">
                  <c:v>11.76</c:v>
                </c:pt>
                <c:pt idx="6">
                  <c:v>11.76</c:v>
                </c:pt>
                <c:pt idx="7">
                  <c:v>11.76</c:v>
                </c:pt>
                <c:pt idx="8">
                  <c:v>11.76</c:v>
                </c:pt>
                <c:pt idx="9">
                  <c:v>11.76</c:v>
                </c:pt>
                <c:pt idx="10">
                  <c:v>11.76</c:v>
                </c:pt>
                <c:pt idx="11">
                  <c:v>11.76</c:v>
                </c:pt>
                <c:pt idx="12">
                  <c:v>11.76</c:v>
                </c:pt>
              </c:numCache>
            </c:numRef>
          </c:val>
          <c:smooth val="0"/>
          <c:extLst>
            <c:ext xmlns:c16="http://schemas.microsoft.com/office/drawing/2014/chart" uri="{C3380CC4-5D6E-409C-BE32-E72D297353CC}">
              <c16:uniqueId val="{00000002-2569-4A34-8619-CFCF09FDA0B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'BS06'!$B$25</c:f>
              <c:strCache>
                <c:ptCount val="1"/>
                <c:pt idx="0">
                  <c:v>Datos</c:v>
                </c:pt>
              </c:strCache>
            </c:strRef>
          </c:tx>
          <c:spPr>
            <a:solidFill>
              <a:srgbClr val="004586"/>
            </a:solidFill>
            <a:ln w="25400">
              <a:noFill/>
            </a:ln>
          </c:spPr>
          <c:invertIfNegative val="0"/>
          <c:cat>
            <c:strRef>
              <c:f>'BS06'!$A$26:$A$38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EE6-499D-A8A1-4ED6496A4830}"/>
            </c:ext>
          </c:extLst>
        </c:ser>
        <c:ser>
          <c:idx val="1"/>
          <c:order val="1"/>
          <c:tx>
            <c:strRef>
              <c:f>'BS06'!$C$25</c:f>
              <c:strCache>
                <c:ptCount val="1"/>
                <c:pt idx="0">
                  <c:v>Meta Vigencia</c:v>
                </c:pt>
              </c:strCache>
            </c:strRef>
          </c:tx>
          <c:spPr>
            <a:solidFill>
              <a:srgbClr val="FF420E"/>
            </a:solidFill>
            <a:ln w="25400">
              <a:noFill/>
            </a:ln>
          </c:spPr>
          <c:invertIfNegative val="0"/>
          <c:cat>
            <c:strRef>
              <c:f>'BS06'!$A$26:$A$38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EE6-499D-A8A1-4ED6496A483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'BS06'!$D$25</c:f>
              <c:strCache>
                <c:ptCount val="1"/>
                <c:pt idx="0">
                  <c:v>Meta - Rango</c:v>
                </c:pt>
              </c:strCache>
            </c:strRef>
          </c:tx>
          <c:spPr>
            <a:ln w="38100">
              <a:solidFill>
                <a:srgbClr val="FFD320"/>
              </a:solidFill>
              <a:prstDash val="solid"/>
            </a:ln>
          </c:spPr>
          <c:marker>
            <c:symbol val="none"/>
          </c:marker>
          <c:cat>
            <c:strRef>
              <c:f>'BS06'!$A$26:$A$38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'BS06'!$D$26:$D$38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EE6-499D-A8A1-4ED6496A483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'DI23'!$B$25</c:f>
              <c:strCache>
                <c:ptCount val="1"/>
                <c:pt idx="0">
                  <c:v>Datos</c:v>
                </c:pt>
              </c:strCache>
            </c:strRef>
          </c:tx>
          <c:spPr>
            <a:solidFill>
              <a:srgbClr val="004586"/>
            </a:solidFill>
            <a:ln w="25400">
              <a:noFill/>
            </a:ln>
          </c:spPr>
          <c:invertIfNegative val="0"/>
          <c:cat>
            <c:strRef>
              <c:f>'DI23'!$A$26:$A$38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'DI23'!$B$26:$B$38</c:f>
              <c:numCache>
                <c:formatCode>0%</c:formatCode>
                <c:ptCount val="13"/>
                <c:pt idx="0">
                  <c:v>0</c:v>
                </c:pt>
                <c:pt idx="1">
                  <c:v>0</c:v>
                </c:pt>
                <c:pt idx="2">
                  <c:v>0.99389880852828827</c:v>
                </c:pt>
                <c:pt idx="3">
                  <c:v>0</c:v>
                </c:pt>
                <c:pt idx="4">
                  <c:v>0</c:v>
                </c:pt>
                <c:pt idx="5">
                  <c:v>0.99359809723201375</c:v>
                </c:pt>
                <c:pt idx="6">
                  <c:v>0</c:v>
                </c:pt>
                <c:pt idx="7">
                  <c:v>0</c:v>
                </c:pt>
                <c:pt idx="8">
                  <c:v>0.98539257851895712</c:v>
                </c:pt>
                <c:pt idx="9">
                  <c:v>0</c:v>
                </c:pt>
                <c:pt idx="10">
                  <c:v>0</c:v>
                </c:pt>
                <c:pt idx="11">
                  <c:v>0.99325976192108212</c:v>
                </c:pt>
                <c:pt idx="12">
                  <c:v>0.99107234458164573</c:v>
                </c:pt>
              </c:numCache>
            </c:numRef>
          </c:val>
          <c:extLst>
            <c:ext xmlns:c16="http://schemas.microsoft.com/office/drawing/2014/chart" uri="{C3380CC4-5D6E-409C-BE32-E72D297353CC}">
              <c16:uniqueId val="{00000000-AB91-4549-BA23-678C013CA375}"/>
            </c:ext>
          </c:extLst>
        </c:ser>
        <c:ser>
          <c:idx val="1"/>
          <c:order val="1"/>
          <c:tx>
            <c:strRef>
              <c:f>'DI23'!$C$25</c:f>
              <c:strCache>
                <c:ptCount val="1"/>
                <c:pt idx="0">
                  <c:v>Meta Vigencia</c:v>
                </c:pt>
              </c:strCache>
            </c:strRef>
          </c:tx>
          <c:spPr>
            <a:solidFill>
              <a:srgbClr val="FF420E"/>
            </a:solidFill>
            <a:ln w="25400">
              <a:noFill/>
            </a:ln>
          </c:spPr>
          <c:invertIfNegative val="0"/>
          <c:cat>
            <c:strRef>
              <c:f>'DI23'!$A$26:$A$38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'DI23'!$C$26:$C$38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extLst>
            <c:ext xmlns:c16="http://schemas.microsoft.com/office/drawing/2014/chart" uri="{C3380CC4-5D6E-409C-BE32-E72D297353CC}">
              <c16:uniqueId val="{00000001-AB91-4549-BA23-678C013CA37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'DI23'!$D$25</c:f>
              <c:strCache>
                <c:ptCount val="1"/>
                <c:pt idx="0">
                  <c:v>Meta - Rango</c:v>
                </c:pt>
              </c:strCache>
            </c:strRef>
          </c:tx>
          <c:spPr>
            <a:ln w="38100">
              <a:solidFill>
                <a:srgbClr val="FFD320"/>
              </a:solidFill>
              <a:prstDash val="solid"/>
            </a:ln>
          </c:spPr>
          <c:marker>
            <c:symbol val="none"/>
          </c:marker>
          <c:cat>
            <c:strRef>
              <c:f>'DI23'!$A$26:$A$38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'DI23'!$D$26:$D$38</c:f>
              <c:numCache>
                <c:formatCode>0%</c:formatCode>
                <c:ptCount val="13"/>
                <c:pt idx="0">
                  <c:v>0.96039999999999992</c:v>
                </c:pt>
                <c:pt idx="1">
                  <c:v>0.96039999999999992</c:v>
                </c:pt>
                <c:pt idx="2">
                  <c:v>0.96039999999999992</c:v>
                </c:pt>
                <c:pt idx="3">
                  <c:v>0.96039999999999992</c:v>
                </c:pt>
                <c:pt idx="4">
                  <c:v>0.96039999999999992</c:v>
                </c:pt>
                <c:pt idx="5">
                  <c:v>0.96039999999999992</c:v>
                </c:pt>
                <c:pt idx="6">
                  <c:v>0.96039999999999992</c:v>
                </c:pt>
                <c:pt idx="7">
                  <c:v>0.96039999999999992</c:v>
                </c:pt>
                <c:pt idx="8">
                  <c:v>0.96039999999999992</c:v>
                </c:pt>
                <c:pt idx="9">
                  <c:v>0.96039999999999992</c:v>
                </c:pt>
                <c:pt idx="10">
                  <c:v>0.96039999999999992</c:v>
                </c:pt>
                <c:pt idx="11">
                  <c:v>0.96039999999999992</c:v>
                </c:pt>
                <c:pt idx="12">
                  <c:v>0.96039999999999992</c:v>
                </c:pt>
              </c:numCache>
            </c:numRef>
          </c:val>
          <c:smooth val="0"/>
          <c:extLst>
            <c:ext xmlns:c16="http://schemas.microsoft.com/office/drawing/2014/chart" uri="{C3380CC4-5D6E-409C-BE32-E72D297353CC}">
              <c16:uniqueId val="{00000002-AB91-4549-BA23-678C013CA37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'DI24'!$B$25</c:f>
              <c:strCache>
                <c:ptCount val="1"/>
                <c:pt idx="0">
                  <c:v>Datos</c:v>
                </c:pt>
              </c:strCache>
            </c:strRef>
          </c:tx>
          <c:spPr>
            <a:solidFill>
              <a:srgbClr val="004586"/>
            </a:solidFill>
            <a:ln w="25400">
              <a:noFill/>
            </a:ln>
          </c:spPr>
          <c:invertIfNegative val="0"/>
          <c:cat>
            <c:strRef>
              <c:f>'DI24'!$A$26:$A$38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'DI24'!$B$26:$B$38</c:f>
              <c:numCache>
                <c:formatCode>0%</c:formatCode>
                <c:ptCount val="13"/>
                <c:pt idx="0">
                  <c:v>0</c:v>
                </c:pt>
                <c:pt idx="1">
                  <c:v>0</c:v>
                </c:pt>
                <c:pt idx="2">
                  <c:v>0.9990968631045164</c:v>
                </c:pt>
                <c:pt idx="3">
                  <c:v>0</c:v>
                </c:pt>
                <c:pt idx="4">
                  <c:v>0</c:v>
                </c:pt>
                <c:pt idx="5">
                  <c:v>0.99890334479836496</c:v>
                </c:pt>
                <c:pt idx="6">
                  <c:v>0</c:v>
                </c:pt>
                <c:pt idx="7">
                  <c:v>0</c:v>
                </c:pt>
                <c:pt idx="8">
                  <c:v>0.99974624078496188</c:v>
                </c:pt>
                <c:pt idx="9">
                  <c:v>0</c:v>
                </c:pt>
                <c:pt idx="10">
                  <c:v>0</c:v>
                </c:pt>
                <c:pt idx="11">
                  <c:v>0.99290661644085298</c:v>
                </c:pt>
                <c:pt idx="12">
                  <c:v>0.99780623606082042</c:v>
                </c:pt>
              </c:numCache>
            </c:numRef>
          </c:val>
          <c:extLst>
            <c:ext xmlns:c16="http://schemas.microsoft.com/office/drawing/2014/chart" uri="{C3380CC4-5D6E-409C-BE32-E72D297353CC}">
              <c16:uniqueId val="{00000000-91EF-4C7D-91C1-F377219B4EDF}"/>
            </c:ext>
          </c:extLst>
        </c:ser>
        <c:ser>
          <c:idx val="1"/>
          <c:order val="1"/>
          <c:tx>
            <c:strRef>
              <c:f>'DI24'!$C$25</c:f>
              <c:strCache>
                <c:ptCount val="1"/>
                <c:pt idx="0">
                  <c:v>Meta Vigencia</c:v>
                </c:pt>
              </c:strCache>
            </c:strRef>
          </c:tx>
          <c:spPr>
            <a:solidFill>
              <a:srgbClr val="FF420E"/>
            </a:solidFill>
            <a:ln w="25400">
              <a:noFill/>
            </a:ln>
          </c:spPr>
          <c:invertIfNegative val="0"/>
          <c:cat>
            <c:strRef>
              <c:f>'DI24'!$A$26:$A$38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'DI24'!$C$26:$C$38</c:f>
              <c:numCache>
                <c:formatCode>0%</c:formatCode>
                <c:ptCount val="13"/>
                <c:pt idx="0">
                  <c:v>0.99870000000000003</c:v>
                </c:pt>
                <c:pt idx="1">
                  <c:v>0.99870000000000003</c:v>
                </c:pt>
                <c:pt idx="2">
                  <c:v>0.99870000000000003</c:v>
                </c:pt>
                <c:pt idx="3">
                  <c:v>0.99870000000000003</c:v>
                </c:pt>
                <c:pt idx="4">
                  <c:v>0.99870000000000003</c:v>
                </c:pt>
                <c:pt idx="5">
                  <c:v>0.99870000000000003</c:v>
                </c:pt>
                <c:pt idx="6">
                  <c:v>0.99870000000000003</c:v>
                </c:pt>
                <c:pt idx="7">
                  <c:v>0.99870000000000003</c:v>
                </c:pt>
                <c:pt idx="8">
                  <c:v>0.99870000000000003</c:v>
                </c:pt>
                <c:pt idx="9">
                  <c:v>0.99870000000000003</c:v>
                </c:pt>
                <c:pt idx="10">
                  <c:v>0.99870000000000003</c:v>
                </c:pt>
                <c:pt idx="11">
                  <c:v>0.99870000000000003</c:v>
                </c:pt>
                <c:pt idx="12">
                  <c:v>0.99870000000000003</c:v>
                </c:pt>
              </c:numCache>
            </c:numRef>
          </c:val>
          <c:extLst>
            <c:ext xmlns:c16="http://schemas.microsoft.com/office/drawing/2014/chart" uri="{C3380CC4-5D6E-409C-BE32-E72D297353CC}">
              <c16:uniqueId val="{00000001-91EF-4C7D-91C1-F377219B4E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'DI24'!$D$25</c:f>
              <c:strCache>
                <c:ptCount val="1"/>
                <c:pt idx="0">
                  <c:v>Meta - Rango</c:v>
                </c:pt>
              </c:strCache>
            </c:strRef>
          </c:tx>
          <c:spPr>
            <a:ln w="38100">
              <a:solidFill>
                <a:srgbClr val="FFD320"/>
              </a:solidFill>
              <a:prstDash val="solid"/>
            </a:ln>
          </c:spPr>
          <c:marker>
            <c:symbol val="none"/>
          </c:marker>
          <c:cat>
            <c:strRef>
              <c:f>'DI24'!$A$26:$A$38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'DI24'!$D$26:$D$38</c:f>
              <c:numCache>
                <c:formatCode>0%</c:formatCode>
                <c:ptCount val="13"/>
                <c:pt idx="0">
                  <c:v>0.97872599999999998</c:v>
                </c:pt>
                <c:pt idx="1">
                  <c:v>0.97872599999999998</c:v>
                </c:pt>
                <c:pt idx="2">
                  <c:v>0.97872599999999998</c:v>
                </c:pt>
                <c:pt idx="3">
                  <c:v>0.97872599999999998</c:v>
                </c:pt>
                <c:pt idx="4">
                  <c:v>0.97872599999999998</c:v>
                </c:pt>
                <c:pt idx="5">
                  <c:v>0.97872599999999998</c:v>
                </c:pt>
                <c:pt idx="6">
                  <c:v>0.97872599999999998</c:v>
                </c:pt>
                <c:pt idx="7">
                  <c:v>0.97872599999999998</c:v>
                </c:pt>
                <c:pt idx="8">
                  <c:v>0.97872599999999998</c:v>
                </c:pt>
                <c:pt idx="9">
                  <c:v>0.97872599999999998</c:v>
                </c:pt>
                <c:pt idx="10">
                  <c:v>0.97872599999999998</c:v>
                </c:pt>
                <c:pt idx="11">
                  <c:v>0.97872599999999998</c:v>
                </c:pt>
                <c:pt idx="12">
                  <c:v>0.97872599999999998</c:v>
                </c:pt>
              </c:numCache>
            </c:numRef>
          </c:val>
          <c:smooth val="0"/>
          <c:extLst>
            <c:ext xmlns:c16="http://schemas.microsoft.com/office/drawing/2014/chart" uri="{C3380CC4-5D6E-409C-BE32-E72D297353CC}">
              <c16:uniqueId val="{00000002-91EF-4C7D-91C1-F377219B4E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'DI33'!$B$25</c:f>
              <c:strCache>
                <c:ptCount val="1"/>
                <c:pt idx="0">
                  <c:v>Datos</c:v>
                </c:pt>
              </c:strCache>
            </c:strRef>
          </c:tx>
          <c:spPr>
            <a:solidFill>
              <a:srgbClr val="004586"/>
            </a:solidFill>
            <a:ln w="25400">
              <a:noFill/>
            </a:ln>
          </c:spPr>
          <c:invertIfNegative val="0"/>
          <c:cat>
            <c:strRef>
              <c:f>'DI33'!$A$26:$A$38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'DI33'!$B$26:$B$38</c:f>
              <c:numCache>
                <c:formatCode>_-* #,##0.0_-;\-* #,##0.0_-;_-* "-"??_-;_-@_-</c:formatCode>
                <c:ptCount val="13"/>
                <c:pt idx="0">
                  <c:v>0</c:v>
                </c:pt>
                <c:pt idx="1">
                  <c:v>0</c:v>
                </c:pt>
                <c:pt idx="2">
                  <c:v>3</c:v>
                </c:pt>
                <c:pt idx="3">
                  <c:v>0</c:v>
                </c:pt>
                <c:pt idx="4">
                  <c:v>0</c:v>
                </c:pt>
                <c:pt idx="5">
                  <c:v>2</c:v>
                </c:pt>
                <c:pt idx="6">
                  <c:v>0</c:v>
                </c:pt>
                <c:pt idx="7">
                  <c:v>0</c:v>
                </c:pt>
                <c:pt idx="8">
                  <c:v>3</c:v>
                </c:pt>
                <c:pt idx="9">
                  <c:v>0</c:v>
                </c:pt>
                <c:pt idx="10">
                  <c:v>0</c:v>
                </c:pt>
                <c:pt idx="11">
                  <c:v>3</c:v>
                </c:pt>
                <c:pt idx="12">
                  <c:v>11</c:v>
                </c:pt>
              </c:numCache>
            </c:numRef>
          </c:val>
          <c:extLst>
            <c:ext xmlns:c16="http://schemas.microsoft.com/office/drawing/2014/chart" uri="{C3380CC4-5D6E-409C-BE32-E72D297353CC}">
              <c16:uniqueId val="{00000000-F8B2-487C-9D89-82D8AA61310B}"/>
            </c:ext>
          </c:extLst>
        </c:ser>
        <c:ser>
          <c:idx val="1"/>
          <c:order val="1"/>
          <c:tx>
            <c:strRef>
              <c:f>'DI33'!$C$25</c:f>
              <c:strCache>
                <c:ptCount val="1"/>
                <c:pt idx="0">
                  <c:v>Meta Vigencia</c:v>
                </c:pt>
              </c:strCache>
            </c:strRef>
          </c:tx>
          <c:spPr>
            <a:solidFill>
              <a:srgbClr val="FF420E"/>
            </a:solidFill>
            <a:ln w="25400">
              <a:noFill/>
            </a:ln>
          </c:spPr>
          <c:invertIfNegative val="0"/>
          <c:cat>
            <c:strRef>
              <c:f>'DI33'!$A$26:$A$38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'DI33'!$C$26:$C$38</c:f>
              <c:numCache>
                <c:formatCode>_-* #,##0.0_-;\-* #,##0.0_-;_-* "-"??_-;_-@_-</c:formatCode>
                <c:ptCount val="13"/>
                <c:pt idx="0">
                  <c:v>12</c:v>
                </c:pt>
                <c:pt idx="1">
                  <c:v>12</c:v>
                </c:pt>
                <c:pt idx="2">
                  <c:v>12</c:v>
                </c:pt>
                <c:pt idx="3">
                  <c:v>12</c:v>
                </c:pt>
                <c:pt idx="4">
                  <c:v>12</c:v>
                </c:pt>
                <c:pt idx="5">
                  <c:v>12</c:v>
                </c:pt>
                <c:pt idx="6">
                  <c:v>12</c:v>
                </c:pt>
                <c:pt idx="7">
                  <c:v>12</c:v>
                </c:pt>
                <c:pt idx="8">
                  <c:v>12</c:v>
                </c:pt>
                <c:pt idx="9">
                  <c:v>12</c:v>
                </c:pt>
                <c:pt idx="10">
                  <c:v>12</c:v>
                </c:pt>
                <c:pt idx="11">
                  <c:v>12</c:v>
                </c:pt>
                <c:pt idx="12">
                  <c:v>12</c:v>
                </c:pt>
              </c:numCache>
            </c:numRef>
          </c:val>
          <c:extLst>
            <c:ext xmlns:c16="http://schemas.microsoft.com/office/drawing/2014/chart" uri="{C3380CC4-5D6E-409C-BE32-E72D297353CC}">
              <c16:uniqueId val="{00000001-F8B2-487C-9D89-82D8AA61310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'DI33'!$D$25</c:f>
              <c:strCache>
                <c:ptCount val="1"/>
                <c:pt idx="0">
                  <c:v>Meta - Rango</c:v>
                </c:pt>
              </c:strCache>
            </c:strRef>
          </c:tx>
          <c:spPr>
            <a:ln w="38100">
              <a:solidFill>
                <a:srgbClr val="FFD320"/>
              </a:solidFill>
              <a:prstDash val="solid"/>
            </a:ln>
          </c:spPr>
          <c:marker>
            <c:symbol val="none"/>
          </c:marker>
          <c:cat>
            <c:strRef>
              <c:f>'DI33'!$A$26:$A$38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'DI33'!$D$26:$D$38</c:f>
              <c:numCache>
                <c:formatCode>_-* #,##0.0_-;\-* #,##0.0_-;_-* "-"??_-;_-@_-</c:formatCode>
                <c:ptCount val="13"/>
                <c:pt idx="0">
                  <c:v>11.76</c:v>
                </c:pt>
                <c:pt idx="1">
                  <c:v>11.76</c:v>
                </c:pt>
                <c:pt idx="2">
                  <c:v>11.76</c:v>
                </c:pt>
                <c:pt idx="3">
                  <c:v>11.76</c:v>
                </c:pt>
                <c:pt idx="4">
                  <c:v>11.76</c:v>
                </c:pt>
                <c:pt idx="5">
                  <c:v>11.76</c:v>
                </c:pt>
                <c:pt idx="6">
                  <c:v>11.76</c:v>
                </c:pt>
                <c:pt idx="7">
                  <c:v>11.76</c:v>
                </c:pt>
                <c:pt idx="8">
                  <c:v>11.76</c:v>
                </c:pt>
                <c:pt idx="9">
                  <c:v>11.76</c:v>
                </c:pt>
                <c:pt idx="10">
                  <c:v>11.76</c:v>
                </c:pt>
                <c:pt idx="11">
                  <c:v>11.76</c:v>
                </c:pt>
                <c:pt idx="12">
                  <c:v>11.76</c:v>
                </c:pt>
              </c:numCache>
            </c:numRef>
          </c:val>
          <c:smooth val="0"/>
          <c:extLst>
            <c:ext xmlns:c16="http://schemas.microsoft.com/office/drawing/2014/chart" uri="{C3380CC4-5D6E-409C-BE32-E72D297353CC}">
              <c16:uniqueId val="{00000002-F8B2-487C-9D89-82D8AA61310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'DI18'!$B$25</c:f>
              <c:strCache>
                <c:ptCount val="1"/>
                <c:pt idx="0">
                  <c:v>Datos</c:v>
                </c:pt>
              </c:strCache>
            </c:strRef>
          </c:tx>
          <c:spPr>
            <a:solidFill>
              <a:srgbClr val="004586"/>
            </a:solidFill>
            <a:ln w="25400">
              <a:noFill/>
            </a:ln>
          </c:spPr>
          <c:invertIfNegative val="0"/>
          <c:cat>
            <c:strRef>
              <c:f>'DI18'!$A$26:$A$38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'DI18'!$B$26:$B$38</c:f>
              <c:numCache>
                <c:formatCode>0%</c:formatCode>
                <c:ptCount val="13"/>
                <c:pt idx="0">
                  <c:v>0</c:v>
                </c:pt>
                <c:pt idx="1">
                  <c:v>0</c:v>
                </c:pt>
                <c:pt idx="2">
                  <c:v>0.97301504929942917</c:v>
                </c:pt>
                <c:pt idx="3">
                  <c:v>0</c:v>
                </c:pt>
                <c:pt idx="4">
                  <c:v>0</c:v>
                </c:pt>
                <c:pt idx="5">
                  <c:v>0.99025415631568892</c:v>
                </c:pt>
                <c:pt idx="6">
                  <c:v>0</c:v>
                </c:pt>
                <c:pt idx="7">
                  <c:v>0</c:v>
                </c:pt>
                <c:pt idx="8">
                  <c:v>0.85539419087136925</c:v>
                </c:pt>
                <c:pt idx="9">
                  <c:v>0</c:v>
                </c:pt>
                <c:pt idx="10">
                  <c:v>0</c:v>
                </c:pt>
                <c:pt idx="11">
                  <c:v>0.99347171074656848</c:v>
                </c:pt>
                <c:pt idx="12">
                  <c:v>0.94521358007513567</c:v>
                </c:pt>
              </c:numCache>
            </c:numRef>
          </c:val>
          <c:extLst>
            <c:ext xmlns:c16="http://schemas.microsoft.com/office/drawing/2014/chart" uri="{C3380CC4-5D6E-409C-BE32-E72D297353CC}">
              <c16:uniqueId val="{00000000-AE2D-4C1A-BD36-4160DEA865CD}"/>
            </c:ext>
          </c:extLst>
        </c:ser>
        <c:ser>
          <c:idx val="1"/>
          <c:order val="1"/>
          <c:tx>
            <c:strRef>
              <c:f>'DI18'!$C$25</c:f>
              <c:strCache>
                <c:ptCount val="1"/>
                <c:pt idx="0">
                  <c:v>Meta Vigencia</c:v>
                </c:pt>
              </c:strCache>
            </c:strRef>
          </c:tx>
          <c:spPr>
            <a:solidFill>
              <a:srgbClr val="FF420E"/>
            </a:solidFill>
            <a:ln w="25400">
              <a:noFill/>
            </a:ln>
          </c:spPr>
          <c:invertIfNegative val="0"/>
          <c:cat>
            <c:strRef>
              <c:f>'DI18'!$A$26:$A$38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'DI18'!$C$26:$C$38</c:f>
              <c:numCache>
                <c:formatCode>0%</c:formatCode>
                <c:ptCount val="13"/>
                <c:pt idx="0">
                  <c:v>0.95</c:v>
                </c:pt>
                <c:pt idx="1">
                  <c:v>0.95</c:v>
                </c:pt>
                <c:pt idx="2">
                  <c:v>0.95</c:v>
                </c:pt>
                <c:pt idx="3">
                  <c:v>0.95</c:v>
                </c:pt>
                <c:pt idx="4">
                  <c:v>0.95</c:v>
                </c:pt>
                <c:pt idx="5">
                  <c:v>0.95</c:v>
                </c:pt>
                <c:pt idx="6">
                  <c:v>0.95</c:v>
                </c:pt>
                <c:pt idx="7">
                  <c:v>0.95</c:v>
                </c:pt>
                <c:pt idx="8">
                  <c:v>0.95</c:v>
                </c:pt>
                <c:pt idx="9">
                  <c:v>0.95</c:v>
                </c:pt>
                <c:pt idx="10">
                  <c:v>0.95</c:v>
                </c:pt>
                <c:pt idx="11">
                  <c:v>0.95</c:v>
                </c:pt>
                <c:pt idx="12">
                  <c:v>0.95</c:v>
                </c:pt>
              </c:numCache>
            </c:numRef>
          </c:val>
          <c:extLst>
            <c:ext xmlns:c16="http://schemas.microsoft.com/office/drawing/2014/chart" uri="{C3380CC4-5D6E-409C-BE32-E72D297353CC}">
              <c16:uniqueId val="{00000001-AE2D-4C1A-BD36-4160DEA865C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'DI18'!$D$25</c:f>
              <c:strCache>
                <c:ptCount val="1"/>
                <c:pt idx="0">
                  <c:v>Meta - Rango</c:v>
                </c:pt>
              </c:strCache>
            </c:strRef>
          </c:tx>
          <c:spPr>
            <a:ln w="38100">
              <a:solidFill>
                <a:srgbClr val="FFD320"/>
              </a:solidFill>
              <a:prstDash val="solid"/>
            </a:ln>
          </c:spPr>
          <c:marker>
            <c:symbol val="none"/>
          </c:marker>
          <c:cat>
            <c:strRef>
              <c:f>'DI18'!$A$26:$A$38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'DI18'!$D$26:$D$38</c:f>
              <c:numCache>
                <c:formatCode>0%</c:formatCode>
                <c:ptCount val="13"/>
                <c:pt idx="0">
                  <c:v>0.93099999999999994</c:v>
                </c:pt>
                <c:pt idx="1">
                  <c:v>0.93099999999999994</c:v>
                </c:pt>
                <c:pt idx="2">
                  <c:v>0.93099999999999994</c:v>
                </c:pt>
                <c:pt idx="3">
                  <c:v>0.93099999999999994</c:v>
                </c:pt>
                <c:pt idx="4">
                  <c:v>0.93099999999999994</c:v>
                </c:pt>
                <c:pt idx="5">
                  <c:v>0.93099999999999994</c:v>
                </c:pt>
                <c:pt idx="6">
                  <c:v>0.93099999999999994</c:v>
                </c:pt>
                <c:pt idx="7">
                  <c:v>0.93099999999999994</c:v>
                </c:pt>
                <c:pt idx="8">
                  <c:v>0.93099999999999994</c:v>
                </c:pt>
                <c:pt idx="9">
                  <c:v>0.93099999999999994</c:v>
                </c:pt>
                <c:pt idx="10">
                  <c:v>0.93099999999999994</c:v>
                </c:pt>
                <c:pt idx="11">
                  <c:v>0.93099999999999994</c:v>
                </c:pt>
                <c:pt idx="12">
                  <c:v>0.93099999999999994</c:v>
                </c:pt>
              </c:numCache>
            </c:numRef>
          </c:val>
          <c:smooth val="0"/>
          <c:extLst>
            <c:ext xmlns:c16="http://schemas.microsoft.com/office/drawing/2014/chart" uri="{C3380CC4-5D6E-409C-BE32-E72D297353CC}">
              <c16:uniqueId val="{00000002-AE2D-4C1A-BD36-4160DEA865C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'JC07'!$B$25</c:f>
              <c:strCache>
                <c:ptCount val="1"/>
                <c:pt idx="0">
                  <c:v>Datos</c:v>
                </c:pt>
              </c:strCache>
            </c:strRef>
          </c:tx>
          <c:spPr>
            <a:solidFill>
              <a:srgbClr val="004586"/>
            </a:solidFill>
            <a:ln w="25400">
              <a:noFill/>
            </a:ln>
          </c:spPr>
          <c:invertIfNegative val="0"/>
          <c:cat>
            <c:strRef>
              <c:f>'JC07'!$A$26:$A$38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D665-440E-8CCC-0ABAC9589CF1}"/>
            </c:ext>
          </c:extLst>
        </c:ser>
        <c:ser>
          <c:idx val="1"/>
          <c:order val="1"/>
          <c:tx>
            <c:strRef>
              <c:f>'JC07'!$C$25</c:f>
              <c:strCache>
                <c:ptCount val="1"/>
                <c:pt idx="0">
                  <c:v>Meta Vigencia</c:v>
                </c:pt>
              </c:strCache>
            </c:strRef>
          </c:tx>
          <c:spPr>
            <a:solidFill>
              <a:srgbClr val="FF420E"/>
            </a:solidFill>
            <a:ln w="25400">
              <a:noFill/>
            </a:ln>
          </c:spPr>
          <c:invertIfNegative val="0"/>
          <c:cat>
            <c:strRef>
              <c:f>'JC07'!$A$26:$A$38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D665-440E-8CCC-0ABAC9589CF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'JC07'!$D$25</c:f>
              <c:strCache>
                <c:ptCount val="1"/>
                <c:pt idx="0">
                  <c:v>Meta - Rango</c:v>
                </c:pt>
              </c:strCache>
            </c:strRef>
          </c:tx>
          <c:spPr>
            <a:ln w="38100">
              <a:solidFill>
                <a:srgbClr val="FFD320"/>
              </a:solidFill>
              <a:prstDash val="solid"/>
            </a:ln>
          </c:spPr>
          <c:marker>
            <c:symbol val="none"/>
          </c:marker>
          <c:cat>
            <c:strRef>
              <c:f>'JC07'!$A$26:$A$38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D665-440E-8CCC-0ABAC9589CF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'DI20'!$B$25</c:f>
              <c:strCache>
                <c:ptCount val="1"/>
                <c:pt idx="0">
                  <c:v>Datos</c:v>
                </c:pt>
              </c:strCache>
            </c:strRef>
          </c:tx>
          <c:spPr>
            <a:solidFill>
              <a:srgbClr val="004586"/>
            </a:solidFill>
            <a:ln w="25400">
              <a:noFill/>
            </a:ln>
          </c:spPr>
          <c:invertIfNegative val="0"/>
          <c:cat>
            <c:strRef>
              <c:f>'DI20'!$A$26:$A$38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'DI20'!$B$26:$B$38</c:f>
              <c:numCache>
                <c:formatCode>_-* #,##0.0_-;\-* #,##0.0_-;_-* "-"??_-;_-@_-</c:formatCode>
                <c:ptCount val="13"/>
                <c:pt idx="0">
                  <c:v>0</c:v>
                </c:pt>
                <c:pt idx="1">
                  <c:v>0</c:v>
                </c:pt>
                <c:pt idx="2">
                  <c:v>0</c:v>
                </c:pt>
                <c:pt idx="3">
                  <c:v>0</c:v>
                </c:pt>
                <c:pt idx="4">
                  <c:v>0</c:v>
                </c:pt>
                <c:pt idx="5">
                  <c:v>1</c:v>
                </c:pt>
                <c:pt idx="6">
                  <c:v>0</c:v>
                </c:pt>
                <c:pt idx="7">
                  <c:v>0</c:v>
                </c:pt>
                <c:pt idx="8">
                  <c:v>0</c:v>
                </c:pt>
                <c:pt idx="9">
                  <c:v>0</c:v>
                </c:pt>
                <c:pt idx="10">
                  <c:v>0</c:v>
                </c:pt>
                <c:pt idx="11">
                  <c:v>1</c:v>
                </c:pt>
                <c:pt idx="12">
                  <c:v>2</c:v>
                </c:pt>
              </c:numCache>
            </c:numRef>
          </c:val>
          <c:extLst>
            <c:ext xmlns:c16="http://schemas.microsoft.com/office/drawing/2014/chart" uri="{C3380CC4-5D6E-409C-BE32-E72D297353CC}">
              <c16:uniqueId val="{00000000-B791-4008-80D1-D5CC6B832C61}"/>
            </c:ext>
          </c:extLst>
        </c:ser>
        <c:ser>
          <c:idx val="1"/>
          <c:order val="1"/>
          <c:tx>
            <c:strRef>
              <c:f>'DI20'!$C$25</c:f>
              <c:strCache>
                <c:ptCount val="1"/>
                <c:pt idx="0">
                  <c:v>Meta Vigencia</c:v>
                </c:pt>
              </c:strCache>
            </c:strRef>
          </c:tx>
          <c:spPr>
            <a:solidFill>
              <a:srgbClr val="FF420E"/>
            </a:solidFill>
            <a:ln w="25400">
              <a:noFill/>
            </a:ln>
          </c:spPr>
          <c:invertIfNegative val="0"/>
          <c:cat>
            <c:strRef>
              <c:f>'DI20'!$A$26:$A$38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'DI20'!$C$26:$C$38</c:f>
              <c:numCache>
                <c:formatCode>_-* #,##0.0_-;\-* #,##0.0_-;_-* "-"??_-;_-@_-</c:formatCode>
                <c:ptCount val="13"/>
                <c:pt idx="0">
                  <c:v>2</c:v>
                </c:pt>
                <c:pt idx="1">
                  <c:v>2</c:v>
                </c:pt>
                <c:pt idx="2">
                  <c:v>2</c:v>
                </c:pt>
                <c:pt idx="3">
                  <c:v>2</c:v>
                </c:pt>
                <c:pt idx="4">
                  <c:v>2</c:v>
                </c:pt>
                <c:pt idx="5">
                  <c:v>2</c:v>
                </c:pt>
                <c:pt idx="6">
                  <c:v>2</c:v>
                </c:pt>
                <c:pt idx="7">
                  <c:v>2</c:v>
                </c:pt>
                <c:pt idx="8">
                  <c:v>2</c:v>
                </c:pt>
                <c:pt idx="9">
                  <c:v>2</c:v>
                </c:pt>
                <c:pt idx="10">
                  <c:v>2</c:v>
                </c:pt>
                <c:pt idx="11">
                  <c:v>2</c:v>
                </c:pt>
                <c:pt idx="12">
                  <c:v>2</c:v>
                </c:pt>
              </c:numCache>
            </c:numRef>
          </c:val>
          <c:extLst>
            <c:ext xmlns:c16="http://schemas.microsoft.com/office/drawing/2014/chart" uri="{C3380CC4-5D6E-409C-BE32-E72D297353CC}">
              <c16:uniqueId val="{00000001-B791-4008-80D1-D5CC6B832C6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'DI20'!$D$25</c:f>
              <c:strCache>
                <c:ptCount val="1"/>
                <c:pt idx="0">
                  <c:v>Meta - Rango</c:v>
                </c:pt>
              </c:strCache>
            </c:strRef>
          </c:tx>
          <c:spPr>
            <a:ln w="38100">
              <a:solidFill>
                <a:srgbClr val="FFD320"/>
              </a:solidFill>
              <a:prstDash val="solid"/>
            </a:ln>
          </c:spPr>
          <c:marker>
            <c:symbol val="none"/>
          </c:marker>
          <c:cat>
            <c:strRef>
              <c:f>'DI20'!$A$26:$A$38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'DI20'!$D$26:$D$38</c:f>
              <c:numCache>
                <c:formatCode>_-* #,##0.0_-;\-* #,##0.0_-;_-* "-"??_-;_-@_-</c:formatCode>
                <c:ptCount val="13"/>
                <c:pt idx="0">
                  <c:v>1.96</c:v>
                </c:pt>
                <c:pt idx="1">
                  <c:v>1.96</c:v>
                </c:pt>
                <c:pt idx="2">
                  <c:v>1.96</c:v>
                </c:pt>
                <c:pt idx="3">
                  <c:v>1.96</c:v>
                </c:pt>
                <c:pt idx="4">
                  <c:v>1.96</c:v>
                </c:pt>
                <c:pt idx="5">
                  <c:v>1.96</c:v>
                </c:pt>
                <c:pt idx="6">
                  <c:v>1.96</c:v>
                </c:pt>
                <c:pt idx="7">
                  <c:v>1.96</c:v>
                </c:pt>
                <c:pt idx="8">
                  <c:v>1.96</c:v>
                </c:pt>
                <c:pt idx="9">
                  <c:v>1.96</c:v>
                </c:pt>
                <c:pt idx="10">
                  <c:v>1.96</c:v>
                </c:pt>
                <c:pt idx="11">
                  <c:v>1.96</c:v>
                </c:pt>
                <c:pt idx="12">
                  <c:v>1.96</c:v>
                </c:pt>
              </c:numCache>
            </c:numRef>
          </c:val>
          <c:smooth val="0"/>
          <c:extLst>
            <c:ext xmlns:c16="http://schemas.microsoft.com/office/drawing/2014/chart" uri="{C3380CC4-5D6E-409C-BE32-E72D297353CC}">
              <c16:uniqueId val="{00000002-B791-4008-80D1-D5CC6B832C6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'GF01'!$B$25</c:f>
              <c:strCache>
                <c:ptCount val="1"/>
                <c:pt idx="0">
                  <c:v>Datos</c:v>
                </c:pt>
              </c:strCache>
            </c:strRef>
          </c:tx>
          <c:spPr>
            <a:solidFill>
              <a:srgbClr val="004586"/>
            </a:solidFill>
            <a:ln w="25400">
              <a:noFill/>
            </a:ln>
          </c:spPr>
          <c:invertIfNegative val="0"/>
          <c:cat>
            <c:strRef>
              <c:f>'GF01'!$A$26:$A$38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'GF01'!$B$26:$B$38</c:f>
              <c:numCache>
                <c:formatCode>_-* #,##0.0_-;\-* #,##0.0_-;_-* "-"??_-;_-@_-</c:formatCode>
                <c:ptCount val="13"/>
                <c:pt idx="0">
                  <c:v>0</c:v>
                </c:pt>
                <c:pt idx="1">
                  <c:v>0</c:v>
                </c:pt>
                <c:pt idx="2">
                  <c:v>4</c:v>
                </c:pt>
                <c:pt idx="3">
                  <c:v>0</c:v>
                </c:pt>
                <c:pt idx="4">
                  <c:v>0</c:v>
                </c:pt>
                <c:pt idx="5">
                  <c:v>3</c:v>
                </c:pt>
                <c:pt idx="6">
                  <c:v>0</c:v>
                </c:pt>
                <c:pt idx="7">
                  <c:v>0</c:v>
                </c:pt>
                <c:pt idx="8">
                  <c:v>3</c:v>
                </c:pt>
                <c:pt idx="9">
                  <c:v>0</c:v>
                </c:pt>
                <c:pt idx="10">
                  <c:v>0</c:v>
                </c:pt>
                <c:pt idx="11">
                  <c:v>4</c:v>
                </c:pt>
                <c:pt idx="12">
                  <c:v>14</c:v>
                </c:pt>
              </c:numCache>
            </c:numRef>
          </c:val>
          <c:extLst>
            <c:ext xmlns:c16="http://schemas.microsoft.com/office/drawing/2014/chart" uri="{C3380CC4-5D6E-409C-BE32-E72D297353CC}">
              <c16:uniqueId val="{00000000-3122-4318-A1D3-299F76D9CCEF}"/>
            </c:ext>
          </c:extLst>
        </c:ser>
        <c:ser>
          <c:idx val="1"/>
          <c:order val="1"/>
          <c:tx>
            <c:strRef>
              <c:f>'GF01'!$C$25</c:f>
              <c:strCache>
                <c:ptCount val="1"/>
                <c:pt idx="0">
                  <c:v>Meta Vigencia</c:v>
                </c:pt>
              </c:strCache>
            </c:strRef>
          </c:tx>
          <c:spPr>
            <a:solidFill>
              <a:srgbClr val="FF420E"/>
            </a:solidFill>
            <a:ln w="25400">
              <a:noFill/>
            </a:ln>
          </c:spPr>
          <c:invertIfNegative val="0"/>
          <c:cat>
            <c:strRef>
              <c:f>'GF01'!$A$26:$A$38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'GF01'!$C$26:$C$38</c:f>
              <c:numCache>
                <c:formatCode>_-* #,##0.0_-;\-* #,##0.0_-;_-* "-"??_-;_-@_-</c:formatCode>
                <c:ptCount val="13"/>
                <c:pt idx="0">
                  <c:v>14</c:v>
                </c:pt>
                <c:pt idx="1">
                  <c:v>14</c:v>
                </c:pt>
                <c:pt idx="2">
                  <c:v>14</c:v>
                </c:pt>
                <c:pt idx="3">
                  <c:v>14</c:v>
                </c:pt>
                <c:pt idx="4">
                  <c:v>14</c:v>
                </c:pt>
                <c:pt idx="5">
                  <c:v>14</c:v>
                </c:pt>
                <c:pt idx="6">
                  <c:v>14</c:v>
                </c:pt>
                <c:pt idx="7">
                  <c:v>14</c:v>
                </c:pt>
                <c:pt idx="8">
                  <c:v>14</c:v>
                </c:pt>
                <c:pt idx="9">
                  <c:v>14</c:v>
                </c:pt>
                <c:pt idx="10">
                  <c:v>14</c:v>
                </c:pt>
                <c:pt idx="11">
                  <c:v>14</c:v>
                </c:pt>
                <c:pt idx="12">
                  <c:v>14</c:v>
                </c:pt>
              </c:numCache>
            </c:numRef>
          </c:val>
          <c:extLst>
            <c:ext xmlns:c16="http://schemas.microsoft.com/office/drawing/2014/chart" uri="{C3380CC4-5D6E-409C-BE32-E72D297353CC}">
              <c16:uniqueId val="{00000001-3122-4318-A1D3-299F76D9CCE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'GF01'!$D$25</c:f>
              <c:strCache>
                <c:ptCount val="1"/>
                <c:pt idx="0">
                  <c:v>Meta - Rango</c:v>
                </c:pt>
              </c:strCache>
            </c:strRef>
          </c:tx>
          <c:spPr>
            <a:ln w="38100">
              <a:solidFill>
                <a:srgbClr val="FFD320"/>
              </a:solidFill>
              <a:prstDash val="solid"/>
            </a:ln>
          </c:spPr>
          <c:marker>
            <c:symbol val="none"/>
          </c:marker>
          <c:cat>
            <c:strRef>
              <c:f>'GF01'!$A$26:$A$38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'GF01'!$D$26:$D$38</c:f>
              <c:numCache>
                <c:formatCode>_-* #,##0.0_-;\-* #,##0.0_-;_-* "-"??_-;_-@_-</c:formatCode>
                <c:ptCount val="13"/>
                <c:pt idx="0">
                  <c:v>13.719999999999999</c:v>
                </c:pt>
                <c:pt idx="1">
                  <c:v>13.719999999999999</c:v>
                </c:pt>
                <c:pt idx="2">
                  <c:v>13.719999999999999</c:v>
                </c:pt>
                <c:pt idx="3">
                  <c:v>13.719999999999999</c:v>
                </c:pt>
                <c:pt idx="4">
                  <c:v>13.719999999999999</c:v>
                </c:pt>
                <c:pt idx="5">
                  <c:v>13.719999999999999</c:v>
                </c:pt>
                <c:pt idx="6">
                  <c:v>13.719999999999999</c:v>
                </c:pt>
                <c:pt idx="7">
                  <c:v>13.719999999999999</c:v>
                </c:pt>
                <c:pt idx="8">
                  <c:v>13.719999999999999</c:v>
                </c:pt>
                <c:pt idx="9">
                  <c:v>13.719999999999999</c:v>
                </c:pt>
                <c:pt idx="10">
                  <c:v>13.719999999999999</c:v>
                </c:pt>
                <c:pt idx="11">
                  <c:v>13.719999999999999</c:v>
                </c:pt>
                <c:pt idx="12">
                  <c:v>13.719999999999999</c:v>
                </c:pt>
              </c:numCache>
            </c:numRef>
          </c:val>
          <c:smooth val="0"/>
          <c:extLst>
            <c:ext xmlns:c16="http://schemas.microsoft.com/office/drawing/2014/chart" uri="{C3380CC4-5D6E-409C-BE32-E72D297353CC}">
              <c16:uniqueId val="{00000002-3122-4318-A1D3-299F76D9CCE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'GF02'!$B$25</c:f>
              <c:strCache>
                <c:ptCount val="1"/>
                <c:pt idx="0">
                  <c:v>Datos</c:v>
                </c:pt>
              </c:strCache>
            </c:strRef>
          </c:tx>
          <c:spPr>
            <a:solidFill>
              <a:srgbClr val="004586"/>
            </a:solidFill>
            <a:ln w="25400">
              <a:noFill/>
            </a:ln>
          </c:spPr>
          <c:invertIfNegative val="0"/>
          <c:cat>
            <c:strRef>
              <c:f>'GF02'!$A$26:$A$38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'GF02'!$B$26:$B$38</c:f>
              <c:numCache>
                <c:formatCode>0%</c:formatCode>
                <c:ptCount val="13"/>
                <c:pt idx="0">
                  <c:v>0</c:v>
                </c:pt>
                <c:pt idx="1">
                  <c:v>0</c:v>
                </c:pt>
                <c:pt idx="2">
                  <c:v>0.29692077368872333</c:v>
                </c:pt>
                <c:pt idx="3">
                  <c:v>0</c:v>
                </c:pt>
                <c:pt idx="4">
                  <c:v>0</c:v>
                </c:pt>
                <c:pt idx="5">
                  <c:v>0.45785337064879955</c:v>
                </c:pt>
                <c:pt idx="6">
                  <c:v>0</c:v>
                </c:pt>
                <c:pt idx="7">
                  <c:v>0</c:v>
                </c:pt>
                <c:pt idx="8">
                  <c:v>0.70437997005488995</c:v>
                </c:pt>
                <c:pt idx="9">
                  <c:v>0</c:v>
                </c:pt>
                <c:pt idx="10">
                  <c:v>0</c:v>
                </c:pt>
                <c:pt idx="11">
                  <c:v>0.99609657114290728</c:v>
                </c:pt>
                <c:pt idx="12">
                  <c:v>0.99609657114290728</c:v>
                </c:pt>
              </c:numCache>
            </c:numRef>
          </c:val>
          <c:extLst>
            <c:ext xmlns:c16="http://schemas.microsoft.com/office/drawing/2014/chart" uri="{C3380CC4-5D6E-409C-BE32-E72D297353CC}">
              <c16:uniqueId val="{00000000-2F5F-4358-A453-BF5664DAC9C2}"/>
            </c:ext>
          </c:extLst>
        </c:ser>
        <c:ser>
          <c:idx val="1"/>
          <c:order val="1"/>
          <c:tx>
            <c:strRef>
              <c:f>'GF02'!$C$25</c:f>
              <c:strCache>
                <c:ptCount val="1"/>
                <c:pt idx="0">
                  <c:v>Meta Vigencia</c:v>
                </c:pt>
              </c:strCache>
            </c:strRef>
          </c:tx>
          <c:spPr>
            <a:solidFill>
              <a:srgbClr val="FF420E"/>
            </a:solidFill>
            <a:ln w="25400">
              <a:noFill/>
            </a:ln>
          </c:spPr>
          <c:invertIfNegative val="0"/>
          <c:cat>
            <c:strRef>
              <c:f>'GF02'!$A$26:$A$38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'GF02'!$C$26:$C$38</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1-2F5F-4358-A453-BF5664DAC9C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'GF02'!$D$25</c:f>
              <c:strCache>
                <c:ptCount val="1"/>
                <c:pt idx="0">
                  <c:v>Meta - Rango</c:v>
                </c:pt>
              </c:strCache>
            </c:strRef>
          </c:tx>
          <c:spPr>
            <a:ln w="38100">
              <a:solidFill>
                <a:srgbClr val="FFD320"/>
              </a:solidFill>
              <a:prstDash val="solid"/>
            </a:ln>
          </c:spPr>
          <c:marker>
            <c:symbol val="none"/>
          </c:marker>
          <c:cat>
            <c:strRef>
              <c:f>'GF02'!$A$26:$A$38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'GF02'!$D$26:$D$38</c:f>
              <c:numCache>
                <c:formatCode>0%</c:formatCode>
                <c:ptCount val="13"/>
                <c:pt idx="0">
                  <c:v>0.88200000000000001</c:v>
                </c:pt>
                <c:pt idx="1">
                  <c:v>0.88200000000000001</c:v>
                </c:pt>
                <c:pt idx="2">
                  <c:v>0.88200000000000001</c:v>
                </c:pt>
                <c:pt idx="3">
                  <c:v>0.88200000000000001</c:v>
                </c:pt>
                <c:pt idx="4">
                  <c:v>0.88200000000000001</c:v>
                </c:pt>
                <c:pt idx="5">
                  <c:v>0.88200000000000001</c:v>
                </c:pt>
                <c:pt idx="6">
                  <c:v>0.88200000000000001</c:v>
                </c:pt>
                <c:pt idx="7">
                  <c:v>0.88200000000000001</c:v>
                </c:pt>
                <c:pt idx="8">
                  <c:v>0.88200000000000001</c:v>
                </c:pt>
                <c:pt idx="9">
                  <c:v>0.88200000000000001</c:v>
                </c:pt>
                <c:pt idx="10">
                  <c:v>0.88200000000000001</c:v>
                </c:pt>
                <c:pt idx="11">
                  <c:v>0.88200000000000001</c:v>
                </c:pt>
                <c:pt idx="12">
                  <c:v>0.88200000000000001</c:v>
                </c:pt>
              </c:numCache>
            </c:numRef>
          </c:val>
          <c:smooth val="0"/>
          <c:extLst>
            <c:ext xmlns:c16="http://schemas.microsoft.com/office/drawing/2014/chart" uri="{C3380CC4-5D6E-409C-BE32-E72D297353CC}">
              <c16:uniqueId val="{00000002-2F5F-4358-A453-BF5664DAC9C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'GF07'!$B$25</c:f>
              <c:strCache>
                <c:ptCount val="1"/>
                <c:pt idx="0">
                  <c:v>Datos</c:v>
                </c:pt>
              </c:strCache>
            </c:strRef>
          </c:tx>
          <c:spPr>
            <a:solidFill>
              <a:srgbClr val="004586"/>
            </a:solidFill>
            <a:ln w="25400">
              <a:noFill/>
            </a:ln>
          </c:spPr>
          <c:invertIfNegative val="0"/>
          <c:cat>
            <c:strRef>
              <c:f>'GF07'!$A$26:$A$38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'GF07'!$B$26:$B$38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681E-4B4D-BB2C-6EC9CCE10699}"/>
            </c:ext>
          </c:extLst>
        </c:ser>
        <c:ser>
          <c:idx val="1"/>
          <c:order val="1"/>
          <c:tx>
            <c:strRef>
              <c:f>'GF07'!$C$25</c:f>
              <c:strCache>
                <c:ptCount val="1"/>
                <c:pt idx="0">
                  <c:v>Meta Vigencia</c:v>
                </c:pt>
              </c:strCache>
            </c:strRef>
          </c:tx>
          <c:spPr>
            <a:solidFill>
              <a:srgbClr val="FF420E"/>
            </a:solidFill>
            <a:ln w="25400">
              <a:noFill/>
            </a:ln>
          </c:spPr>
          <c:invertIfNegative val="0"/>
          <c:cat>
            <c:strRef>
              <c:f>'GF07'!$A$26:$A$38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81E-4B4D-BB2C-6EC9CCE1069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'GF07'!$D$25</c:f>
              <c:strCache>
                <c:ptCount val="1"/>
                <c:pt idx="0">
                  <c:v>Meta - Rango</c:v>
                </c:pt>
              </c:strCache>
            </c:strRef>
          </c:tx>
          <c:spPr>
            <a:ln w="38100">
              <a:solidFill>
                <a:srgbClr val="FFD320"/>
              </a:solidFill>
              <a:prstDash val="solid"/>
            </a:ln>
          </c:spPr>
          <c:marker>
            <c:symbol val="none"/>
          </c:marker>
          <c:cat>
            <c:strRef>
              <c:f>'GF07'!$A$26:$A$38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81E-4B4D-BB2C-6EC9CCE1069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'GF08'!$B$25</c:f>
              <c:strCache>
                <c:ptCount val="1"/>
                <c:pt idx="0">
                  <c:v>Datos</c:v>
                </c:pt>
              </c:strCache>
            </c:strRef>
          </c:tx>
          <c:spPr>
            <a:solidFill>
              <a:srgbClr val="004586"/>
            </a:solidFill>
            <a:ln w="25400">
              <a:noFill/>
            </a:ln>
          </c:spPr>
          <c:invertIfNegative val="0"/>
          <c:cat>
            <c:strRef>
              <c:f>'GF08'!$A$26:$A$38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'GF08'!$B$26:$B$38</c:f>
              <c:numCache>
                <c:formatCode>0%</c:formatCode>
                <c:ptCount val="13"/>
                <c:pt idx="0">
                  <c:v>0</c:v>
                </c:pt>
                <c:pt idx="1">
                  <c:v>0</c:v>
                </c:pt>
                <c:pt idx="2">
                  <c:v>0</c:v>
                </c:pt>
                <c:pt idx="3">
                  <c:v>0</c:v>
                </c:pt>
                <c:pt idx="4">
                  <c:v>0</c:v>
                </c:pt>
                <c:pt idx="5">
                  <c:v>0.49356274907183145</c:v>
                </c:pt>
                <c:pt idx="6">
                  <c:v>0</c:v>
                </c:pt>
                <c:pt idx="7">
                  <c:v>0</c:v>
                </c:pt>
                <c:pt idx="8">
                  <c:v>0</c:v>
                </c:pt>
                <c:pt idx="9">
                  <c:v>0</c:v>
                </c:pt>
                <c:pt idx="10">
                  <c:v>0</c:v>
                </c:pt>
                <c:pt idx="11">
                  <c:v>0.86676879031741572</c:v>
                </c:pt>
                <c:pt idx="12">
                  <c:v>0.86676879031741572</c:v>
                </c:pt>
              </c:numCache>
            </c:numRef>
          </c:val>
          <c:extLst>
            <c:ext xmlns:c16="http://schemas.microsoft.com/office/drawing/2014/chart" uri="{C3380CC4-5D6E-409C-BE32-E72D297353CC}">
              <c16:uniqueId val="{00000000-1F1C-4BA9-BB6E-FDB7A12AE310}"/>
            </c:ext>
          </c:extLst>
        </c:ser>
        <c:ser>
          <c:idx val="1"/>
          <c:order val="1"/>
          <c:tx>
            <c:strRef>
              <c:f>'GF08'!$C$25</c:f>
              <c:strCache>
                <c:ptCount val="1"/>
                <c:pt idx="0">
                  <c:v>Meta Vigencia</c:v>
                </c:pt>
              </c:strCache>
            </c:strRef>
          </c:tx>
          <c:spPr>
            <a:solidFill>
              <a:srgbClr val="FF420E"/>
            </a:solidFill>
            <a:ln w="25400">
              <a:noFill/>
            </a:ln>
          </c:spPr>
          <c:invertIfNegative val="0"/>
          <c:cat>
            <c:strRef>
              <c:f>'GF08'!$A$26:$A$38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1F1C-4BA9-BB6E-FDB7A12AE31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'GF08'!$D$25</c:f>
              <c:strCache>
                <c:ptCount val="1"/>
                <c:pt idx="0">
                  <c:v>Meta - Rango</c:v>
                </c:pt>
              </c:strCache>
            </c:strRef>
          </c:tx>
          <c:spPr>
            <a:ln w="38100">
              <a:solidFill>
                <a:srgbClr val="FFD320"/>
              </a:solidFill>
              <a:prstDash val="solid"/>
            </a:ln>
          </c:spPr>
          <c:marker>
            <c:symbol val="none"/>
          </c:marker>
          <c:cat>
            <c:strRef>
              <c:f>'GF08'!$A$26:$A$38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1F1C-4BA9-BB6E-FDB7A12AE31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'GF09'!$B$25</c:f>
              <c:strCache>
                <c:ptCount val="1"/>
                <c:pt idx="0">
                  <c:v>Datos</c:v>
                </c:pt>
              </c:strCache>
            </c:strRef>
          </c:tx>
          <c:spPr>
            <a:solidFill>
              <a:srgbClr val="004586"/>
            </a:solidFill>
            <a:ln w="25400">
              <a:noFill/>
            </a:ln>
          </c:spPr>
          <c:invertIfNegative val="0"/>
          <c:cat>
            <c:strRef>
              <c:f>'GF09'!$A$26:$A$38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'GF09'!$B$26:$B$38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0170-4950-A87E-B198313F3024}"/>
            </c:ext>
          </c:extLst>
        </c:ser>
        <c:ser>
          <c:idx val="1"/>
          <c:order val="1"/>
          <c:tx>
            <c:strRef>
              <c:f>'GF09'!$C$25</c:f>
              <c:strCache>
                <c:ptCount val="1"/>
                <c:pt idx="0">
                  <c:v>Meta Vigencia</c:v>
                </c:pt>
              </c:strCache>
            </c:strRef>
          </c:tx>
          <c:spPr>
            <a:solidFill>
              <a:srgbClr val="FF420E"/>
            </a:solidFill>
            <a:ln w="25400">
              <a:noFill/>
            </a:ln>
          </c:spPr>
          <c:invertIfNegative val="0"/>
          <c:cat>
            <c:strRef>
              <c:f>'GF09'!$A$26:$A$38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'GF09'!$C$26:$C$38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170-4950-A87E-B198313F302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'GF09'!$D$25</c:f>
              <c:strCache>
                <c:ptCount val="1"/>
                <c:pt idx="0">
                  <c:v>Meta - Rango</c:v>
                </c:pt>
              </c:strCache>
            </c:strRef>
          </c:tx>
          <c:spPr>
            <a:ln w="38100">
              <a:solidFill>
                <a:srgbClr val="FFD320"/>
              </a:solidFill>
              <a:prstDash val="solid"/>
            </a:ln>
          </c:spPr>
          <c:marker>
            <c:symbol val="none"/>
          </c:marker>
          <c:cat>
            <c:strRef>
              <c:f>'GF09'!$A$26:$A$38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'GF09'!$D$26:$D$38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170-4950-A87E-B198313F302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'GF11'!$B$25</c:f>
              <c:strCache>
                <c:ptCount val="1"/>
                <c:pt idx="0">
                  <c:v>Datos</c:v>
                </c:pt>
              </c:strCache>
            </c:strRef>
          </c:tx>
          <c:spPr>
            <a:solidFill>
              <a:srgbClr val="004586"/>
            </a:solidFill>
            <a:ln w="25400">
              <a:noFill/>
            </a:ln>
          </c:spPr>
          <c:invertIfNegative val="0"/>
          <c:cat>
            <c:strRef>
              <c:f>'GF11'!$A$26:$A$38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'GF11'!$B$26:$B$38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08CC-42A0-B7E9-E574ED463C85}"/>
            </c:ext>
          </c:extLst>
        </c:ser>
        <c:ser>
          <c:idx val="1"/>
          <c:order val="1"/>
          <c:tx>
            <c:strRef>
              <c:f>'GF11'!$C$25</c:f>
              <c:strCache>
                <c:ptCount val="1"/>
                <c:pt idx="0">
                  <c:v>Meta Vigencia</c:v>
                </c:pt>
              </c:strCache>
            </c:strRef>
          </c:tx>
          <c:spPr>
            <a:solidFill>
              <a:srgbClr val="FF420E"/>
            </a:solidFill>
            <a:ln w="25400">
              <a:noFill/>
            </a:ln>
          </c:spPr>
          <c:invertIfNegative val="0"/>
          <c:cat>
            <c:strRef>
              <c:f>'GF11'!$A$26:$A$38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8CC-42A0-B7E9-E574ED463C8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'GF11'!$D$25</c:f>
              <c:strCache>
                <c:ptCount val="1"/>
                <c:pt idx="0">
                  <c:v>Meta - Rango</c:v>
                </c:pt>
              </c:strCache>
            </c:strRef>
          </c:tx>
          <c:spPr>
            <a:ln w="38100">
              <a:solidFill>
                <a:srgbClr val="FFD320"/>
              </a:solidFill>
              <a:prstDash val="solid"/>
            </a:ln>
          </c:spPr>
          <c:marker>
            <c:symbol val="none"/>
          </c:marker>
          <c:cat>
            <c:strRef>
              <c:f>'GF11'!$A$26:$A$38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'GF11'!$D$26:$D$38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8CC-42A0-B7E9-E574ED463C8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'CT17'!$B$25</c:f>
              <c:strCache>
                <c:ptCount val="1"/>
                <c:pt idx="0">
                  <c:v>Datos</c:v>
                </c:pt>
              </c:strCache>
            </c:strRef>
          </c:tx>
          <c:spPr>
            <a:solidFill>
              <a:srgbClr val="004586"/>
            </a:solidFill>
            <a:ln w="25400">
              <a:noFill/>
            </a:ln>
          </c:spPr>
          <c:invertIfNegative val="0"/>
          <c:cat>
            <c:strRef>
              <c:f>'CT17'!$A$26:$A$38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'CT17'!$B$26:$B$38</c:f>
              <c:numCache>
                <c:formatCode>_-* #,##0.0_-;\-* #,##0.0_-;_-* "-"??_-;_-@_-</c:formatCode>
                <c:ptCount val="13"/>
                <c:pt idx="0">
                  <c:v>0</c:v>
                </c:pt>
                <c:pt idx="1">
                  <c:v>0</c:v>
                </c:pt>
                <c:pt idx="2">
                  <c:v>0</c:v>
                </c:pt>
                <c:pt idx="3">
                  <c:v>1</c:v>
                </c:pt>
                <c:pt idx="4">
                  <c:v>0</c:v>
                </c:pt>
                <c:pt idx="5">
                  <c:v>0</c:v>
                </c:pt>
                <c:pt idx="6">
                  <c:v>0</c:v>
                </c:pt>
                <c:pt idx="7">
                  <c:v>0</c:v>
                </c:pt>
                <c:pt idx="8">
                  <c:v>0</c:v>
                </c:pt>
                <c:pt idx="9">
                  <c:v>0</c:v>
                </c:pt>
                <c:pt idx="10">
                  <c:v>9</c:v>
                </c:pt>
                <c:pt idx="11">
                  <c:v>0</c:v>
                </c:pt>
                <c:pt idx="12">
                  <c:v>10</c:v>
                </c:pt>
              </c:numCache>
            </c:numRef>
          </c:val>
          <c:extLst>
            <c:ext xmlns:c16="http://schemas.microsoft.com/office/drawing/2014/chart" uri="{C3380CC4-5D6E-409C-BE32-E72D297353CC}">
              <c16:uniqueId val="{00000000-58A3-46C6-AFEE-53EEF4597C21}"/>
            </c:ext>
          </c:extLst>
        </c:ser>
        <c:ser>
          <c:idx val="1"/>
          <c:order val="1"/>
          <c:tx>
            <c:strRef>
              <c:f>'CT17'!$C$25</c:f>
              <c:strCache>
                <c:ptCount val="1"/>
                <c:pt idx="0">
                  <c:v>Meta Vigencia</c:v>
                </c:pt>
              </c:strCache>
            </c:strRef>
          </c:tx>
          <c:spPr>
            <a:solidFill>
              <a:srgbClr val="FF420E"/>
            </a:solidFill>
            <a:ln w="25400">
              <a:noFill/>
            </a:ln>
          </c:spPr>
          <c:invertIfNegative val="0"/>
          <c:cat>
            <c:strRef>
              <c:f>'CT17'!$A$26:$A$38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'CT17'!$C$26:$C$38</c:f>
              <c:numCache>
                <c:formatCode>_-* #,##0.0_-;\-* #,##0.0_-;_-* "-"??_-;_-@_-</c:formatCode>
                <c:ptCount val="13"/>
                <c:pt idx="0">
                  <c:v>10</c:v>
                </c:pt>
                <c:pt idx="1">
                  <c:v>10</c:v>
                </c:pt>
                <c:pt idx="2">
                  <c:v>10</c:v>
                </c:pt>
                <c:pt idx="3">
                  <c:v>10</c:v>
                </c:pt>
                <c:pt idx="4">
                  <c:v>10</c:v>
                </c:pt>
                <c:pt idx="5">
                  <c:v>10</c:v>
                </c:pt>
                <c:pt idx="6">
                  <c:v>10</c:v>
                </c:pt>
                <c:pt idx="7">
                  <c:v>10</c:v>
                </c:pt>
                <c:pt idx="8">
                  <c:v>10</c:v>
                </c:pt>
                <c:pt idx="9">
                  <c:v>10</c:v>
                </c:pt>
                <c:pt idx="10">
                  <c:v>10</c:v>
                </c:pt>
                <c:pt idx="11">
                  <c:v>10</c:v>
                </c:pt>
                <c:pt idx="12">
                  <c:v>10</c:v>
                </c:pt>
              </c:numCache>
            </c:numRef>
          </c:val>
          <c:extLst>
            <c:ext xmlns:c16="http://schemas.microsoft.com/office/drawing/2014/chart" uri="{C3380CC4-5D6E-409C-BE32-E72D297353CC}">
              <c16:uniqueId val="{00000001-58A3-46C6-AFEE-53EEF4597C2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'CT17'!$D$25</c:f>
              <c:strCache>
                <c:ptCount val="1"/>
                <c:pt idx="0">
                  <c:v>Meta - Rango</c:v>
                </c:pt>
              </c:strCache>
            </c:strRef>
          </c:tx>
          <c:spPr>
            <a:ln w="38100">
              <a:solidFill>
                <a:srgbClr val="FFD320"/>
              </a:solidFill>
              <a:prstDash val="solid"/>
            </a:ln>
          </c:spPr>
          <c:marker>
            <c:symbol val="none"/>
          </c:marker>
          <c:cat>
            <c:strRef>
              <c:f>'CT17'!$A$26:$A$38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'CT17'!$D$26:$D$38</c:f>
              <c:numCache>
                <c:formatCode>_-* #,##0.0_-;\-* #,##0.0_-;_-* "-"??_-;_-@_-</c:formatCode>
                <c:ptCount val="13"/>
                <c:pt idx="0">
                  <c:v>9.8000000000000007</c:v>
                </c:pt>
                <c:pt idx="1">
                  <c:v>9.8000000000000007</c:v>
                </c:pt>
                <c:pt idx="2">
                  <c:v>9.8000000000000007</c:v>
                </c:pt>
                <c:pt idx="3">
                  <c:v>9.8000000000000007</c:v>
                </c:pt>
                <c:pt idx="4">
                  <c:v>9.8000000000000007</c:v>
                </c:pt>
                <c:pt idx="5">
                  <c:v>9.8000000000000007</c:v>
                </c:pt>
                <c:pt idx="6">
                  <c:v>9.8000000000000007</c:v>
                </c:pt>
                <c:pt idx="7">
                  <c:v>9.8000000000000007</c:v>
                </c:pt>
                <c:pt idx="8">
                  <c:v>9.8000000000000007</c:v>
                </c:pt>
                <c:pt idx="9">
                  <c:v>9.8000000000000007</c:v>
                </c:pt>
                <c:pt idx="10">
                  <c:v>9.8000000000000007</c:v>
                </c:pt>
                <c:pt idx="11">
                  <c:v>9.8000000000000007</c:v>
                </c:pt>
                <c:pt idx="12">
                  <c:v>9.8000000000000007</c:v>
                </c:pt>
              </c:numCache>
            </c:numRef>
          </c:val>
          <c:smooth val="0"/>
          <c:extLst>
            <c:ext xmlns:c16="http://schemas.microsoft.com/office/drawing/2014/chart" uri="{C3380CC4-5D6E-409C-BE32-E72D297353CC}">
              <c16:uniqueId val="{00000002-58A3-46C6-AFEE-53EEF4597C2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'SE25'!$B$25</c:f>
              <c:strCache>
                <c:ptCount val="1"/>
                <c:pt idx="0">
                  <c:v>Datos</c:v>
                </c:pt>
              </c:strCache>
            </c:strRef>
          </c:tx>
          <c:spPr>
            <a:solidFill>
              <a:srgbClr val="004586"/>
            </a:solidFill>
            <a:ln w="25400">
              <a:noFill/>
            </a:ln>
          </c:spPr>
          <c:invertIfNegative val="0"/>
          <c:cat>
            <c:strRef>
              <c:f>'SE25'!$A$26:$A$38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'SE25'!$B$26:$B$38</c:f>
              <c:numCache>
                <c:formatCode>_(* #,##0.00_);_(* \(#,##0.00\);_(* "-"??_);_(@_)</c:formatCode>
                <c:ptCount val="13"/>
                <c:pt idx="0">
                  <c:v>0</c:v>
                </c:pt>
                <c:pt idx="1">
                  <c:v>0</c:v>
                </c:pt>
                <c:pt idx="2">
                  <c:v>0</c:v>
                </c:pt>
                <c:pt idx="3">
                  <c:v>0</c:v>
                </c:pt>
                <c:pt idx="4">
                  <c:v>0</c:v>
                </c:pt>
                <c:pt idx="5">
                  <c:v>0</c:v>
                </c:pt>
                <c:pt idx="6">
                  <c:v>0</c:v>
                </c:pt>
                <c:pt idx="7">
                  <c:v>0</c:v>
                </c:pt>
                <c:pt idx="8">
                  <c:v>0</c:v>
                </c:pt>
                <c:pt idx="9">
                  <c:v>0</c:v>
                </c:pt>
                <c:pt idx="10">
                  <c:v>1</c:v>
                </c:pt>
                <c:pt idx="11">
                  <c:v>0</c:v>
                </c:pt>
                <c:pt idx="12">
                  <c:v>1</c:v>
                </c:pt>
              </c:numCache>
            </c:numRef>
          </c:val>
          <c:extLst>
            <c:ext xmlns:c16="http://schemas.microsoft.com/office/drawing/2014/chart" uri="{C3380CC4-5D6E-409C-BE32-E72D297353CC}">
              <c16:uniqueId val="{00000000-7543-4039-A908-4EED59BCCDA0}"/>
            </c:ext>
          </c:extLst>
        </c:ser>
        <c:ser>
          <c:idx val="1"/>
          <c:order val="1"/>
          <c:tx>
            <c:strRef>
              <c:f>'SE25'!$C$25</c:f>
              <c:strCache>
                <c:ptCount val="1"/>
                <c:pt idx="0">
                  <c:v>Meta Vigencia</c:v>
                </c:pt>
              </c:strCache>
            </c:strRef>
          </c:tx>
          <c:spPr>
            <a:solidFill>
              <a:srgbClr val="FF420E"/>
            </a:solidFill>
            <a:ln w="25400">
              <a:noFill/>
            </a:ln>
          </c:spPr>
          <c:invertIfNegative val="0"/>
          <c:cat>
            <c:strRef>
              <c:f>'SE25'!$A$26:$A$38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'SE25'!$C$26:$C$38</c:f>
              <c:numCache>
                <c:formatCode>_(* #,##0.00_);_(* \(#,##0.00\);_(* "-"??_);_(@_)</c:formatCode>
                <c:ptCount val="13"/>
                <c:pt idx="0">
                  <c:v>3</c:v>
                </c:pt>
                <c:pt idx="1">
                  <c:v>3</c:v>
                </c:pt>
                <c:pt idx="2">
                  <c:v>3</c:v>
                </c:pt>
                <c:pt idx="3">
                  <c:v>3</c:v>
                </c:pt>
                <c:pt idx="4">
                  <c:v>3</c:v>
                </c:pt>
                <c:pt idx="5">
                  <c:v>3</c:v>
                </c:pt>
                <c:pt idx="6">
                  <c:v>3</c:v>
                </c:pt>
                <c:pt idx="7">
                  <c:v>3</c:v>
                </c:pt>
                <c:pt idx="8">
                  <c:v>3</c:v>
                </c:pt>
                <c:pt idx="9">
                  <c:v>3</c:v>
                </c:pt>
                <c:pt idx="10">
                  <c:v>3</c:v>
                </c:pt>
                <c:pt idx="11">
                  <c:v>3</c:v>
                </c:pt>
                <c:pt idx="12">
                  <c:v>3</c:v>
                </c:pt>
              </c:numCache>
            </c:numRef>
          </c:val>
          <c:extLst>
            <c:ext xmlns:c16="http://schemas.microsoft.com/office/drawing/2014/chart" uri="{C3380CC4-5D6E-409C-BE32-E72D297353CC}">
              <c16:uniqueId val="{00000001-7543-4039-A908-4EED59BCCDA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'SE25'!$D$25</c:f>
              <c:strCache>
                <c:ptCount val="1"/>
                <c:pt idx="0">
                  <c:v>Meta - Rango</c:v>
                </c:pt>
              </c:strCache>
            </c:strRef>
          </c:tx>
          <c:spPr>
            <a:ln w="38100">
              <a:solidFill>
                <a:srgbClr val="FFD320"/>
              </a:solidFill>
              <a:prstDash val="solid"/>
            </a:ln>
          </c:spPr>
          <c:marker>
            <c:symbol val="none"/>
          </c:marker>
          <c:cat>
            <c:strRef>
              <c:f>'SE25'!$A$26:$A$38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'SE25'!$D$26:$D$38</c:f>
              <c:numCache>
                <c:formatCode>_(* #,##0.00_);_(* \(#,##0.00\);_(* "-"??_);_(@_)</c:formatCode>
                <c:ptCount val="13"/>
                <c:pt idx="0">
                  <c:v>2.94</c:v>
                </c:pt>
                <c:pt idx="1">
                  <c:v>2.94</c:v>
                </c:pt>
                <c:pt idx="2">
                  <c:v>2.94</c:v>
                </c:pt>
                <c:pt idx="3">
                  <c:v>2.94</c:v>
                </c:pt>
                <c:pt idx="4">
                  <c:v>2.94</c:v>
                </c:pt>
                <c:pt idx="5">
                  <c:v>2.94</c:v>
                </c:pt>
                <c:pt idx="6">
                  <c:v>2.94</c:v>
                </c:pt>
                <c:pt idx="7">
                  <c:v>2.94</c:v>
                </c:pt>
                <c:pt idx="8">
                  <c:v>2.94</c:v>
                </c:pt>
                <c:pt idx="9">
                  <c:v>2.94</c:v>
                </c:pt>
                <c:pt idx="10">
                  <c:v>2.94</c:v>
                </c:pt>
                <c:pt idx="11">
                  <c:v>2.94</c:v>
                </c:pt>
                <c:pt idx="12">
                  <c:v>2.94</c:v>
                </c:pt>
              </c:numCache>
            </c:numRef>
          </c:val>
          <c:smooth val="0"/>
          <c:extLst>
            <c:ext xmlns:c16="http://schemas.microsoft.com/office/drawing/2014/chart" uri="{C3380CC4-5D6E-409C-BE32-E72D297353CC}">
              <c16:uniqueId val="{00000002-7543-4039-A908-4EED59BCCDA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'SE46'!$B$25</c:f>
              <c:strCache>
                <c:ptCount val="1"/>
                <c:pt idx="0">
                  <c:v>Datos</c:v>
                </c:pt>
              </c:strCache>
            </c:strRef>
          </c:tx>
          <c:spPr>
            <a:solidFill>
              <a:srgbClr val="004586"/>
            </a:solidFill>
            <a:ln w="25400">
              <a:noFill/>
            </a:ln>
          </c:spPr>
          <c:invertIfNegative val="0"/>
          <c:cat>
            <c:strRef>
              <c:f>'SE46'!$A$26:$A$38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'SE46'!$B$26:$B$38</c:f>
              <c:numCache>
                <c:formatCode>_-* #,##0.0_-;\-* #,##0.0_-;_-* "-"??_-;_-@_-</c:formatCode>
                <c:ptCount val="13"/>
                <c:pt idx="0">
                  <c:v>0</c:v>
                </c:pt>
                <c:pt idx="1">
                  <c:v>0</c:v>
                </c:pt>
                <c:pt idx="2">
                  <c:v>0</c:v>
                </c:pt>
                <c:pt idx="3">
                  <c:v>0</c:v>
                </c:pt>
                <c:pt idx="4">
                  <c:v>0</c:v>
                </c:pt>
                <c:pt idx="5">
                  <c:v>400</c:v>
                </c:pt>
                <c:pt idx="6">
                  <c:v>0</c:v>
                </c:pt>
                <c:pt idx="7">
                  <c:v>0</c:v>
                </c:pt>
                <c:pt idx="8">
                  <c:v>0</c:v>
                </c:pt>
                <c:pt idx="9">
                  <c:v>0</c:v>
                </c:pt>
                <c:pt idx="10">
                  <c:v>0</c:v>
                </c:pt>
                <c:pt idx="11">
                  <c:v>1240</c:v>
                </c:pt>
                <c:pt idx="12">
                  <c:v>1640</c:v>
                </c:pt>
              </c:numCache>
            </c:numRef>
          </c:val>
          <c:extLst>
            <c:ext xmlns:c16="http://schemas.microsoft.com/office/drawing/2014/chart" uri="{C3380CC4-5D6E-409C-BE32-E72D297353CC}">
              <c16:uniqueId val="{00000000-54D8-4225-99D7-695B42D953B8}"/>
            </c:ext>
          </c:extLst>
        </c:ser>
        <c:ser>
          <c:idx val="1"/>
          <c:order val="1"/>
          <c:tx>
            <c:strRef>
              <c:f>'SE46'!$C$25</c:f>
              <c:strCache>
                <c:ptCount val="1"/>
                <c:pt idx="0">
                  <c:v>Meta Vigencia</c:v>
                </c:pt>
              </c:strCache>
            </c:strRef>
          </c:tx>
          <c:spPr>
            <a:solidFill>
              <a:srgbClr val="FF420E"/>
            </a:solidFill>
            <a:ln w="25400">
              <a:noFill/>
            </a:ln>
          </c:spPr>
          <c:invertIfNegative val="0"/>
          <c:cat>
            <c:strRef>
              <c:f>'SE46'!$A$26:$A$38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'SE46'!$C$26:$C$38</c:f>
              <c:numCache>
                <c:formatCode>_-* #,##0.0_-;\-* #,##0.0_-;_-* "-"??_-;_-@_-</c:formatCode>
                <c:ptCount val="13"/>
                <c:pt idx="0">
                  <c:v>1600</c:v>
                </c:pt>
                <c:pt idx="1">
                  <c:v>1600</c:v>
                </c:pt>
                <c:pt idx="2">
                  <c:v>1600</c:v>
                </c:pt>
                <c:pt idx="3">
                  <c:v>1600</c:v>
                </c:pt>
                <c:pt idx="4">
                  <c:v>1600</c:v>
                </c:pt>
                <c:pt idx="5">
                  <c:v>1600</c:v>
                </c:pt>
                <c:pt idx="6">
                  <c:v>1600</c:v>
                </c:pt>
                <c:pt idx="7">
                  <c:v>1600</c:v>
                </c:pt>
                <c:pt idx="8">
                  <c:v>1600</c:v>
                </c:pt>
                <c:pt idx="9">
                  <c:v>1600</c:v>
                </c:pt>
                <c:pt idx="10">
                  <c:v>1600</c:v>
                </c:pt>
                <c:pt idx="11">
                  <c:v>1600</c:v>
                </c:pt>
                <c:pt idx="12">
                  <c:v>1600</c:v>
                </c:pt>
              </c:numCache>
            </c:numRef>
          </c:val>
          <c:extLst>
            <c:ext xmlns:c16="http://schemas.microsoft.com/office/drawing/2014/chart" uri="{C3380CC4-5D6E-409C-BE32-E72D297353CC}">
              <c16:uniqueId val="{00000001-54D8-4225-99D7-695B42D953B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'SE46'!$D$25</c:f>
              <c:strCache>
                <c:ptCount val="1"/>
                <c:pt idx="0">
                  <c:v>Meta - Rango</c:v>
                </c:pt>
              </c:strCache>
            </c:strRef>
          </c:tx>
          <c:spPr>
            <a:ln w="38100">
              <a:solidFill>
                <a:srgbClr val="FFD320"/>
              </a:solidFill>
              <a:prstDash val="solid"/>
            </a:ln>
          </c:spPr>
          <c:marker>
            <c:symbol val="none"/>
          </c:marker>
          <c:cat>
            <c:strRef>
              <c:f>'SE46'!$A$26:$A$38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'SE46'!$D$26:$D$38</c:f>
              <c:numCache>
                <c:formatCode>_-* #,##0.0_-;\-* #,##0.0_-;_-* "-"??_-;_-@_-</c:formatCode>
                <c:ptCount val="13"/>
                <c:pt idx="0">
                  <c:v>1568</c:v>
                </c:pt>
                <c:pt idx="1">
                  <c:v>1568</c:v>
                </c:pt>
                <c:pt idx="2">
                  <c:v>1568</c:v>
                </c:pt>
                <c:pt idx="3">
                  <c:v>1568</c:v>
                </c:pt>
                <c:pt idx="4">
                  <c:v>1568</c:v>
                </c:pt>
                <c:pt idx="5">
                  <c:v>1568</c:v>
                </c:pt>
                <c:pt idx="6">
                  <c:v>1568</c:v>
                </c:pt>
                <c:pt idx="7">
                  <c:v>1568</c:v>
                </c:pt>
                <c:pt idx="8">
                  <c:v>1568</c:v>
                </c:pt>
                <c:pt idx="9">
                  <c:v>1568</c:v>
                </c:pt>
                <c:pt idx="10">
                  <c:v>1568</c:v>
                </c:pt>
                <c:pt idx="11">
                  <c:v>1568</c:v>
                </c:pt>
                <c:pt idx="12">
                  <c:v>1568</c:v>
                </c:pt>
              </c:numCache>
            </c:numRef>
          </c:val>
          <c:smooth val="0"/>
          <c:extLst>
            <c:ext xmlns:c16="http://schemas.microsoft.com/office/drawing/2014/chart" uri="{C3380CC4-5D6E-409C-BE32-E72D297353CC}">
              <c16:uniqueId val="{00000002-54D8-4225-99D7-695B42D953B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'JC08'!$B$25</c:f>
              <c:strCache>
                <c:ptCount val="1"/>
                <c:pt idx="0">
                  <c:v>Datos</c:v>
                </c:pt>
              </c:strCache>
            </c:strRef>
          </c:tx>
          <c:spPr>
            <a:solidFill>
              <a:srgbClr val="004586"/>
            </a:solidFill>
            <a:ln w="25400">
              <a:noFill/>
            </a:ln>
          </c:spPr>
          <c:invertIfNegative val="0"/>
          <c:cat>
            <c:strRef>
              <c:f>'JC08'!$A$26:$A$38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'JC08'!$B$26:$B$38</c:f>
              <c:numCache>
                <c:formatCode>_-* #,##0.0_-;\-* #,##0.0_-;_-* "-"??_-;_-@_-</c:formatCode>
                <c:ptCount val="13"/>
                <c:pt idx="0">
                  <c:v>0</c:v>
                </c:pt>
                <c:pt idx="1">
                  <c:v>0</c:v>
                </c:pt>
                <c:pt idx="2">
                  <c:v>0</c:v>
                </c:pt>
                <c:pt idx="3">
                  <c:v>0</c:v>
                </c:pt>
                <c:pt idx="4">
                  <c:v>0</c:v>
                </c:pt>
                <c:pt idx="5">
                  <c:v>7</c:v>
                </c:pt>
                <c:pt idx="6">
                  <c:v>0</c:v>
                </c:pt>
                <c:pt idx="7">
                  <c:v>0</c:v>
                </c:pt>
                <c:pt idx="8">
                  <c:v>0</c:v>
                </c:pt>
                <c:pt idx="9">
                  <c:v>0</c:v>
                </c:pt>
                <c:pt idx="10">
                  <c:v>0</c:v>
                </c:pt>
                <c:pt idx="11">
                  <c:v>7</c:v>
                </c:pt>
                <c:pt idx="12">
                  <c:v>14</c:v>
                </c:pt>
              </c:numCache>
            </c:numRef>
          </c:val>
          <c:extLst>
            <c:ext xmlns:c16="http://schemas.microsoft.com/office/drawing/2014/chart" uri="{C3380CC4-5D6E-409C-BE32-E72D297353CC}">
              <c16:uniqueId val="{00000000-B927-4D78-9372-FF8E803889F1}"/>
            </c:ext>
          </c:extLst>
        </c:ser>
        <c:ser>
          <c:idx val="1"/>
          <c:order val="1"/>
          <c:tx>
            <c:strRef>
              <c:f>'JC08'!$C$25</c:f>
              <c:strCache>
                <c:ptCount val="1"/>
                <c:pt idx="0">
                  <c:v>Meta Vigencia</c:v>
                </c:pt>
              </c:strCache>
            </c:strRef>
          </c:tx>
          <c:spPr>
            <a:solidFill>
              <a:srgbClr val="FF420E"/>
            </a:solidFill>
            <a:ln w="25400">
              <a:noFill/>
            </a:ln>
          </c:spPr>
          <c:invertIfNegative val="0"/>
          <c:cat>
            <c:strRef>
              <c:f>'JC08'!$A$26:$A$38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'JC08'!$C$26:$C$38</c:f>
              <c:numCache>
                <c:formatCode>_-* #,##0.0_-;\-* #,##0.0_-;_-* "-"??_-;_-@_-</c:formatCode>
                <c:ptCount val="13"/>
                <c:pt idx="0">
                  <c:v>14</c:v>
                </c:pt>
                <c:pt idx="1">
                  <c:v>14</c:v>
                </c:pt>
                <c:pt idx="2">
                  <c:v>14</c:v>
                </c:pt>
                <c:pt idx="3">
                  <c:v>14</c:v>
                </c:pt>
                <c:pt idx="4">
                  <c:v>14</c:v>
                </c:pt>
                <c:pt idx="5">
                  <c:v>14</c:v>
                </c:pt>
                <c:pt idx="6">
                  <c:v>14</c:v>
                </c:pt>
                <c:pt idx="7">
                  <c:v>14</c:v>
                </c:pt>
                <c:pt idx="8">
                  <c:v>14</c:v>
                </c:pt>
                <c:pt idx="9">
                  <c:v>14</c:v>
                </c:pt>
                <c:pt idx="10">
                  <c:v>14</c:v>
                </c:pt>
                <c:pt idx="11">
                  <c:v>14</c:v>
                </c:pt>
                <c:pt idx="12">
                  <c:v>14</c:v>
                </c:pt>
              </c:numCache>
            </c:numRef>
          </c:val>
          <c:extLst>
            <c:ext xmlns:c16="http://schemas.microsoft.com/office/drawing/2014/chart" uri="{C3380CC4-5D6E-409C-BE32-E72D297353CC}">
              <c16:uniqueId val="{00000001-B927-4D78-9372-FF8E803889F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'JC08'!$D$25</c:f>
              <c:strCache>
                <c:ptCount val="1"/>
                <c:pt idx="0">
                  <c:v>Meta - Rango</c:v>
                </c:pt>
              </c:strCache>
            </c:strRef>
          </c:tx>
          <c:spPr>
            <a:ln w="38100">
              <a:solidFill>
                <a:srgbClr val="FFD320"/>
              </a:solidFill>
              <a:prstDash val="solid"/>
            </a:ln>
          </c:spPr>
          <c:marker>
            <c:symbol val="none"/>
          </c:marker>
          <c:cat>
            <c:strRef>
              <c:f>'JC08'!$A$26:$A$38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'JC08'!$D$26:$D$38</c:f>
              <c:numCache>
                <c:formatCode>_-* #,##0.0_-;\-* #,##0.0_-;_-* "-"??_-;_-@_-</c:formatCode>
                <c:ptCount val="13"/>
                <c:pt idx="0">
                  <c:v>13.719999999999999</c:v>
                </c:pt>
                <c:pt idx="1">
                  <c:v>13.719999999999999</c:v>
                </c:pt>
                <c:pt idx="2">
                  <c:v>13.719999999999999</c:v>
                </c:pt>
                <c:pt idx="3">
                  <c:v>13.719999999999999</c:v>
                </c:pt>
                <c:pt idx="4">
                  <c:v>13.719999999999999</c:v>
                </c:pt>
                <c:pt idx="5">
                  <c:v>13.719999999999999</c:v>
                </c:pt>
                <c:pt idx="6">
                  <c:v>13.719999999999999</c:v>
                </c:pt>
                <c:pt idx="7">
                  <c:v>13.719999999999999</c:v>
                </c:pt>
                <c:pt idx="8">
                  <c:v>13.719999999999999</c:v>
                </c:pt>
                <c:pt idx="9">
                  <c:v>13.719999999999999</c:v>
                </c:pt>
                <c:pt idx="10">
                  <c:v>13.719999999999999</c:v>
                </c:pt>
                <c:pt idx="11">
                  <c:v>13.719999999999999</c:v>
                </c:pt>
                <c:pt idx="12">
                  <c:v>13.719999999999999</c:v>
                </c:pt>
              </c:numCache>
            </c:numRef>
          </c:val>
          <c:smooth val="0"/>
          <c:extLst>
            <c:ext xmlns:c16="http://schemas.microsoft.com/office/drawing/2014/chart" uri="{C3380CC4-5D6E-409C-BE32-E72D297353CC}">
              <c16:uniqueId val="{00000002-B927-4D78-9372-FF8E803889F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'TR06'!$B$25</c:f>
              <c:strCache>
                <c:ptCount val="1"/>
                <c:pt idx="0">
                  <c:v>Datos</c:v>
                </c:pt>
              </c:strCache>
            </c:strRef>
          </c:tx>
          <c:spPr>
            <a:solidFill>
              <a:srgbClr val="004586"/>
            </a:solidFill>
            <a:ln w="25400">
              <a:noFill/>
            </a:ln>
          </c:spPr>
          <c:invertIfNegative val="0"/>
          <c:cat>
            <c:strRef>
              <c:f>'TR06'!$A$26:$A$38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'TR06'!$B$26:$B$38</c:f>
              <c:numCache>
                <c:formatCode>0%</c:formatCode>
                <c:ptCount val="13"/>
                <c:pt idx="0">
                  <c:v>0</c:v>
                </c:pt>
                <c:pt idx="1">
                  <c:v>0</c:v>
                </c:pt>
                <c:pt idx="2">
                  <c:v>0.8571428571428571</c:v>
                </c:pt>
                <c:pt idx="3">
                  <c:v>0</c:v>
                </c:pt>
                <c:pt idx="4">
                  <c:v>0</c:v>
                </c:pt>
                <c:pt idx="5">
                  <c:v>0.7857142857142857</c:v>
                </c:pt>
                <c:pt idx="6">
                  <c:v>0</c:v>
                </c:pt>
                <c:pt idx="7">
                  <c:v>0</c:v>
                </c:pt>
                <c:pt idx="8">
                  <c:v>0.90476190476190477</c:v>
                </c:pt>
                <c:pt idx="9">
                  <c:v>0</c:v>
                </c:pt>
                <c:pt idx="10">
                  <c:v>0</c:v>
                </c:pt>
                <c:pt idx="11">
                  <c:v>1</c:v>
                </c:pt>
                <c:pt idx="12">
                  <c:v>0.87037037037037035</c:v>
                </c:pt>
              </c:numCache>
            </c:numRef>
          </c:val>
          <c:extLst>
            <c:ext xmlns:c16="http://schemas.microsoft.com/office/drawing/2014/chart" uri="{C3380CC4-5D6E-409C-BE32-E72D297353CC}">
              <c16:uniqueId val="{00000000-4258-4F2C-A6BA-AC7BE90C2012}"/>
            </c:ext>
          </c:extLst>
        </c:ser>
        <c:ser>
          <c:idx val="1"/>
          <c:order val="1"/>
          <c:tx>
            <c:strRef>
              <c:f>'TR06'!$C$25</c:f>
              <c:strCache>
                <c:ptCount val="1"/>
                <c:pt idx="0">
                  <c:v>Meta Vigencia</c:v>
                </c:pt>
              </c:strCache>
            </c:strRef>
          </c:tx>
          <c:spPr>
            <a:solidFill>
              <a:srgbClr val="FF420E"/>
            </a:solidFill>
            <a:ln w="25400">
              <a:noFill/>
            </a:ln>
          </c:spPr>
          <c:invertIfNegative val="0"/>
          <c:cat>
            <c:strRef>
              <c:f>'TR06'!$A$26:$A$38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'TR06'!$C$26:$C$38</c:f>
              <c:numCache>
                <c:formatCode>0%</c:formatCode>
                <c:ptCount val="13"/>
                <c:pt idx="0">
                  <c:v>0.85</c:v>
                </c:pt>
                <c:pt idx="1">
                  <c:v>0.85</c:v>
                </c:pt>
                <c:pt idx="2">
                  <c:v>0.85</c:v>
                </c:pt>
                <c:pt idx="3">
                  <c:v>0.85</c:v>
                </c:pt>
                <c:pt idx="4">
                  <c:v>0.85</c:v>
                </c:pt>
                <c:pt idx="5">
                  <c:v>0.85</c:v>
                </c:pt>
                <c:pt idx="6">
                  <c:v>0.85</c:v>
                </c:pt>
                <c:pt idx="7">
                  <c:v>0.85</c:v>
                </c:pt>
                <c:pt idx="8">
                  <c:v>0.85</c:v>
                </c:pt>
                <c:pt idx="9">
                  <c:v>0.85</c:v>
                </c:pt>
                <c:pt idx="10">
                  <c:v>0.85</c:v>
                </c:pt>
                <c:pt idx="11">
                  <c:v>0.85</c:v>
                </c:pt>
                <c:pt idx="12">
                  <c:v>0.85</c:v>
                </c:pt>
              </c:numCache>
            </c:numRef>
          </c:val>
          <c:extLst>
            <c:ext xmlns:c16="http://schemas.microsoft.com/office/drawing/2014/chart" uri="{C3380CC4-5D6E-409C-BE32-E72D297353CC}">
              <c16:uniqueId val="{00000001-4258-4F2C-A6BA-AC7BE90C201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'TR06'!$D$25</c:f>
              <c:strCache>
                <c:ptCount val="1"/>
                <c:pt idx="0">
                  <c:v>Meta - Rango</c:v>
                </c:pt>
              </c:strCache>
            </c:strRef>
          </c:tx>
          <c:spPr>
            <a:ln w="38100">
              <a:solidFill>
                <a:srgbClr val="FFD320"/>
              </a:solidFill>
              <a:prstDash val="solid"/>
            </a:ln>
          </c:spPr>
          <c:marker>
            <c:symbol val="none"/>
          </c:marker>
          <c:cat>
            <c:strRef>
              <c:f>'TR06'!$A$26:$A$38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'TR06'!$D$26:$D$38</c:f>
              <c:numCache>
                <c:formatCode>0%</c:formatCode>
                <c:ptCount val="13"/>
                <c:pt idx="0">
                  <c:v>0.83299999999999996</c:v>
                </c:pt>
                <c:pt idx="1">
                  <c:v>0.83299999999999996</c:v>
                </c:pt>
                <c:pt idx="2">
                  <c:v>0.83299999999999996</c:v>
                </c:pt>
                <c:pt idx="3">
                  <c:v>0.83299999999999996</c:v>
                </c:pt>
                <c:pt idx="4">
                  <c:v>0.83299999999999996</c:v>
                </c:pt>
                <c:pt idx="5">
                  <c:v>0.83299999999999996</c:v>
                </c:pt>
                <c:pt idx="6">
                  <c:v>0.83299999999999996</c:v>
                </c:pt>
                <c:pt idx="7">
                  <c:v>0.83299999999999996</c:v>
                </c:pt>
                <c:pt idx="8">
                  <c:v>0.83299999999999996</c:v>
                </c:pt>
                <c:pt idx="9">
                  <c:v>0.83299999999999996</c:v>
                </c:pt>
                <c:pt idx="10">
                  <c:v>0.83299999999999996</c:v>
                </c:pt>
                <c:pt idx="11">
                  <c:v>0.83299999999999996</c:v>
                </c:pt>
                <c:pt idx="12">
                  <c:v>0.83299999999999996</c:v>
                </c:pt>
              </c:numCache>
            </c:numRef>
          </c:val>
          <c:smooth val="0"/>
          <c:extLst>
            <c:ext xmlns:c16="http://schemas.microsoft.com/office/drawing/2014/chart" uri="{C3380CC4-5D6E-409C-BE32-E72D297353CC}">
              <c16:uniqueId val="{00000002-4258-4F2C-A6BA-AC7BE90C201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'SE35'!$B$25</c:f>
              <c:strCache>
                <c:ptCount val="1"/>
                <c:pt idx="0">
                  <c:v>Datos</c:v>
                </c:pt>
              </c:strCache>
            </c:strRef>
          </c:tx>
          <c:spPr>
            <a:solidFill>
              <a:srgbClr val="004586"/>
            </a:solidFill>
            <a:ln w="25400">
              <a:noFill/>
            </a:ln>
          </c:spPr>
          <c:invertIfNegative val="0"/>
          <c:cat>
            <c:strRef>
              <c:f>'SE35'!$A$26:$A$38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'SE35'!$B$26:$B$38</c:f>
              <c:numCache>
                <c:formatCode>0%</c:formatCode>
                <c:ptCount val="13"/>
                <c:pt idx="0">
                  <c:v>0</c:v>
                </c:pt>
                <c:pt idx="1">
                  <c:v>0</c:v>
                </c:pt>
                <c:pt idx="2">
                  <c:v>0.873</c:v>
                </c:pt>
                <c:pt idx="3">
                  <c:v>0</c:v>
                </c:pt>
                <c:pt idx="4">
                  <c:v>0</c:v>
                </c:pt>
                <c:pt idx="5">
                  <c:v>0.49</c:v>
                </c:pt>
                <c:pt idx="6">
                  <c:v>0</c:v>
                </c:pt>
                <c:pt idx="7">
                  <c:v>0</c:v>
                </c:pt>
                <c:pt idx="8">
                  <c:v>0.82</c:v>
                </c:pt>
                <c:pt idx="9">
                  <c:v>0</c:v>
                </c:pt>
                <c:pt idx="10">
                  <c:v>0</c:v>
                </c:pt>
                <c:pt idx="11">
                  <c:v>0.76</c:v>
                </c:pt>
                <c:pt idx="12">
                  <c:v>0.7357499999999999</c:v>
                </c:pt>
              </c:numCache>
            </c:numRef>
          </c:val>
          <c:extLst>
            <c:ext xmlns:c16="http://schemas.microsoft.com/office/drawing/2014/chart" uri="{C3380CC4-5D6E-409C-BE32-E72D297353CC}">
              <c16:uniqueId val="{00000000-2CE9-4A3F-B042-291585F8463C}"/>
            </c:ext>
          </c:extLst>
        </c:ser>
        <c:ser>
          <c:idx val="1"/>
          <c:order val="1"/>
          <c:tx>
            <c:strRef>
              <c:f>'SE35'!$C$25</c:f>
              <c:strCache>
                <c:ptCount val="1"/>
                <c:pt idx="0">
                  <c:v>Meta Vigencia</c:v>
                </c:pt>
              </c:strCache>
            </c:strRef>
          </c:tx>
          <c:spPr>
            <a:solidFill>
              <a:srgbClr val="FF420E"/>
            </a:solidFill>
            <a:ln w="25400">
              <a:noFill/>
            </a:ln>
          </c:spPr>
          <c:invertIfNegative val="0"/>
          <c:cat>
            <c:strRef>
              <c:f>'SE35'!$A$26:$A$38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'SE35'!$C$26:$C$38</c:f>
              <c:numCache>
                <c:formatCode>0%</c:formatCode>
                <c:ptCount val="13"/>
                <c:pt idx="0">
                  <c:v>0.8</c:v>
                </c:pt>
                <c:pt idx="1">
                  <c:v>0.8</c:v>
                </c:pt>
                <c:pt idx="2">
                  <c:v>0.8</c:v>
                </c:pt>
                <c:pt idx="3">
                  <c:v>0.8</c:v>
                </c:pt>
                <c:pt idx="4">
                  <c:v>0.8</c:v>
                </c:pt>
                <c:pt idx="5">
                  <c:v>0.8</c:v>
                </c:pt>
                <c:pt idx="6">
                  <c:v>0.8</c:v>
                </c:pt>
                <c:pt idx="7">
                  <c:v>0.8</c:v>
                </c:pt>
                <c:pt idx="8">
                  <c:v>0.8</c:v>
                </c:pt>
                <c:pt idx="9">
                  <c:v>0.8</c:v>
                </c:pt>
                <c:pt idx="10">
                  <c:v>0.8</c:v>
                </c:pt>
                <c:pt idx="11">
                  <c:v>0.8</c:v>
                </c:pt>
                <c:pt idx="12">
                  <c:v>0.8</c:v>
                </c:pt>
              </c:numCache>
            </c:numRef>
          </c:val>
          <c:extLst>
            <c:ext xmlns:c16="http://schemas.microsoft.com/office/drawing/2014/chart" uri="{C3380CC4-5D6E-409C-BE32-E72D297353CC}">
              <c16:uniqueId val="{00000001-2CE9-4A3F-B042-291585F8463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'SE35'!$D$25</c:f>
              <c:strCache>
                <c:ptCount val="1"/>
                <c:pt idx="0">
                  <c:v>Meta - Rango</c:v>
                </c:pt>
              </c:strCache>
            </c:strRef>
          </c:tx>
          <c:spPr>
            <a:ln w="38100">
              <a:solidFill>
                <a:srgbClr val="FFD320"/>
              </a:solidFill>
              <a:prstDash val="solid"/>
            </a:ln>
          </c:spPr>
          <c:marker>
            <c:symbol val="none"/>
          </c:marker>
          <c:cat>
            <c:strRef>
              <c:f>'SE35'!$A$26:$A$38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'SE35'!$D$26:$D$38</c:f>
              <c:numCache>
                <c:formatCode>0%</c:formatCode>
                <c:ptCount val="13"/>
                <c:pt idx="0">
                  <c:v>0.78400000000000003</c:v>
                </c:pt>
                <c:pt idx="1">
                  <c:v>0.78400000000000003</c:v>
                </c:pt>
                <c:pt idx="2">
                  <c:v>0.78400000000000003</c:v>
                </c:pt>
                <c:pt idx="3">
                  <c:v>0.78400000000000003</c:v>
                </c:pt>
                <c:pt idx="4">
                  <c:v>0.78400000000000003</c:v>
                </c:pt>
                <c:pt idx="5">
                  <c:v>0.78400000000000003</c:v>
                </c:pt>
                <c:pt idx="6">
                  <c:v>0.78400000000000003</c:v>
                </c:pt>
                <c:pt idx="7">
                  <c:v>0.78400000000000003</c:v>
                </c:pt>
                <c:pt idx="8">
                  <c:v>0.78400000000000003</c:v>
                </c:pt>
                <c:pt idx="9">
                  <c:v>0.78400000000000003</c:v>
                </c:pt>
                <c:pt idx="10">
                  <c:v>0.78400000000000003</c:v>
                </c:pt>
                <c:pt idx="11">
                  <c:v>0.78400000000000003</c:v>
                </c:pt>
                <c:pt idx="12">
                  <c:v>0.78400000000000003</c:v>
                </c:pt>
              </c:numCache>
            </c:numRef>
          </c:val>
          <c:smooth val="0"/>
          <c:extLst>
            <c:ext xmlns:c16="http://schemas.microsoft.com/office/drawing/2014/chart" uri="{C3380CC4-5D6E-409C-BE32-E72D297353CC}">
              <c16:uniqueId val="{00000002-2CE9-4A3F-B042-291585F8463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'AT12'!$B$25</c:f>
              <c:strCache>
                <c:ptCount val="1"/>
                <c:pt idx="0">
                  <c:v>Datos</c:v>
                </c:pt>
              </c:strCache>
            </c:strRef>
          </c:tx>
          <c:spPr>
            <a:solidFill>
              <a:srgbClr val="004586"/>
            </a:solidFill>
            <a:ln w="25400">
              <a:noFill/>
            </a:ln>
          </c:spPr>
          <c:invertIfNegative val="0"/>
          <c:cat>
            <c:strRef>
              <c:f>'AT12'!$A$26:$A$38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'AT12'!$B$26:$B$38</c:f>
              <c:numCache>
                <c:formatCode>0%</c:formatCode>
                <c:ptCount val="13"/>
                <c:pt idx="0">
                  <c:v>0</c:v>
                </c:pt>
                <c:pt idx="1">
                  <c:v>0</c:v>
                </c:pt>
                <c:pt idx="2">
                  <c:v>0.5</c:v>
                </c:pt>
                <c:pt idx="3">
                  <c:v>0</c:v>
                </c:pt>
                <c:pt idx="4">
                  <c:v>0</c:v>
                </c:pt>
                <c:pt idx="5">
                  <c:v>1.4545454545454546</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E52-4785-ACAC-449794BBD2CC}"/>
            </c:ext>
          </c:extLst>
        </c:ser>
        <c:ser>
          <c:idx val="1"/>
          <c:order val="1"/>
          <c:tx>
            <c:strRef>
              <c:f>'AT12'!$C$25</c:f>
              <c:strCache>
                <c:ptCount val="1"/>
                <c:pt idx="0">
                  <c:v>Meta Vigencia</c:v>
                </c:pt>
              </c:strCache>
            </c:strRef>
          </c:tx>
          <c:spPr>
            <a:solidFill>
              <a:srgbClr val="FF420E"/>
            </a:solidFill>
            <a:ln w="25400">
              <a:noFill/>
            </a:ln>
          </c:spPr>
          <c:invertIfNegative val="0"/>
          <c:cat>
            <c:strRef>
              <c:f>'AT12'!$A$26:$A$38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'AT12'!$C$26:$C$38</c:f>
              <c:numCache>
                <c:formatCode>0%</c:formatCode>
                <c:ptCount val="13"/>
                <c:pt idx="0">
                  <c:v>0.85</c:v>
                </c:pt>
                <c:pt idx="1">
                  <c:v>0.85</c:v>
                </c:pt>
                <c:pt idx="2">
                  <c:v>0.85</c:v>
                </c:pt>
                <c:pt idx="3">
                  <c:v>0.85</c:v>
                </c:pt>
                <c:pt idx="4">
                  <c:v>0.85</c:v>
                </c:pt>
                <c:pt idx="5">
                  <c:v>0.85</c:v>
                </c:pt>
                <c:pt idx="6">
                  <c:v>0.85</c:v>
                </c:pt>
                <c:pt idx="7">
                  <c:v>0.85</c:v>
                </c:pt>
                <c:pt idx="8">
                  <c:v>0.85</c:v>
                </c:pt>
                <c:pt idx="9">
                  <c:v>0.85</c:v>
                </c:pt>
                <c:pt idx="10">
                  <c:v>0.85</c:v>
                </c:pt>
                <c:pt idx="11">
                  <c:v>0.85</c:v>
                </c:pt>
                <c:pt idx="12">
                  <c:v>0.85</c:v>
                </c:pt>
              </c:numCache>
            </c:numRef>
          </c:val>
          <c:extLst>
            <c:ext xmlns:c16="http://schemas.microsoft.com/office/drawing/2014/chart" uri="{C3380CC4-5D6E-409C-BE32-E72D297353CC}">
              <c16:uniqueId val="{00000001-6E52-4785-ACAC-449794BBD2C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'AT12'!$D$25</c:f>
              <c:strCache>
                <c:ptCount val="1"/>
                <c:pt idx="0">
                  <c:v>Meta - Rango</c:v>
                </c:pt>
              </c:strCache>
            </c:strRef>
          </c:tx>
          <c:spPr>
            <a:ln w="38100">
              <a:solidFill>
                <a:srgbClr val="FFD320"/>
              </a:solidFill>
              <a:prstDash val="solid"/>
            </a:ln>
          </c:spPr>
          <c:marker>
            <c:symbol val="none"/>
          </c:marker>
          <c:cat>
            <c:strRef>
              <c:f>'AT12'!$A$26:$A$38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'AT12'!$D$26:$D$38</c:f>
              <c:numCache>
                <c:formatCode>0%</c:formatCode>
                <c:ptCount val="13"/>
                <c:pt idx="0">
                  <c:v>0.83299999999999996</c:v>
                </c:pt>
                <c:pt idx="1">
                  <c:v>0.83299999999999996</c:v>
                </c:pt>
                <c:pt idx="2">
                  <c:v>0.83299999999999996</c:v>
                </c:pt>
                <c:pt idx="3">
                  <c:v>0.83299999999999996</c:v>
                </c:pt>
                <c:pt idx="4">
                  <c:v>0.83299999999999996</c:v>
                </c:pt>
                <c:pt idx="5">
                  <c:v>0.83299999999999996</c:v>
                </c:pt>
                <c:pt idx="6">
                  <c:v>0.83299999999999996</c:v>
                </c:pt>
                <c:pt idx="7">
                  <c:v>0.83299999999999996</c:v>
                </c:pt>
                <c:pt idx="8">
                  <c:v>0.83299999999999996</c:v>
                </c:pt>
                <c:pt idx="9">
                  <c:v>0.83299999999999996</c:v>
                </c:pt>
                <c:pt idx="10">
                  <c:v>0.83299999999999996</c:v>
                </c:pt>
                <c:pt idx="11">
                  <c:v>0.83299999999999996</c:v>
                </c:pt>
                <c:pt idx="12">
                  <c:v>0.83299999999999996</c:v>
                </c:pt>
              </c:numCache>
            </c:numRef>
          </c:val>
          <c:smooth val="0"/>
          <c:extLst>
            <c:ext xmlns:c16="http://schemas.microsoft.com/office/drawing/2014/chart" uri="{C3380CC4-5D6E-409C-BE32-E72D297353CC}">
              <c16:uniqueId val="{00000002-6E52-4785-ACAC-449794BBD2C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'CT04'!$B$25</c:f>
              <c:strCache>
                <c:ptCount val="1"/>
                <c:pt idx="0">
                  <c:v>Datos</c:v>
                </c:pt>
              </c:strCache>
            </c:strRef>
          </c:tx>
          <c:spPr>
            <a:solidFill>
              <a:srgbClr val="004586"/>
            </a:solidFill>
            <a:ln w="25400">
              <a:noFill/>
            </a:ln>
          </c:spPr>
          <c:invertIfNegative val="0"/>
          <c:cat>
            <c:strRef>
              <c:f>'CT04'!$A$26:$A$38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'CT04'!$B$26:$B$38</c:f>
              <c:numCache>
                <c:formatCode>0%</c:formatCode>
                <c:ptCount val="13"/>
                <c:pt idx="0">
                  <c:v>0</c:v>
                </c:pt>
                <c:pt idx="1">
                  <c:v>0</c:v>
                </c:pt>
                <c:pt idx="2">
                  <c:v>0.88888888888888884</c:v>
                </c:pt>
                <c:pt idx="3">
                  <c:v>0</c:v>
                </c:pt>
                <c:pt idx="4">
                  <c:v>0</c:v>
                </c:pt>
                <c:pt idx="5">
                  <c:v>0.72727272727272729</c:v>
                </c:pt>
                <c:pt idx="6">
                  <c:v>0</c:v>
                </c:pt>
                <c:pt idx="7">
                  <c:v>0</c:v>
                </c:pt>
                <c:pt idx="8">
                  <c:v>0.68181818181818177</c:v>
                </c:pt>
                <c:pt idx="9">
                  <c:v>0</c:v>
                </c:pt>
                <c:pt idx="10">
                  <c:v>0</c:v>
                </c:pt>
                <c:pt idx="11">
                  <c:v>1</c:v>
                </c:pt>
                <c:pt idx="12">
                  <c:v>0.85185185185185186</c:v>
                </c:pt>
              </c:numCache>
            </c:numRef>
          </c:val>
          <c:extLst>
            <c:ext xmlns:c16="http://schemas.microsoft.com/office/drawing/2014/chart" uri="{C3380CC4-5D6E-409C-BE32-E72D297353CC}">
              <c16:uniqueId val="{00000000-E13F-490B-B8BD-27A45C09064F}"/>
            </c:ext>
          </c:extLst>
        </c:ser>
        <c:ser>
          <c:idx val="1"/>
          <c:order val="1"/>
          <c:tx>
            <c:strRef>
              <c:f>'CT04'!$C$25</c:f>
              <c:strCache>
                <c:ptCount val="1"/>
                <c:pt idx="0">
                  <c:v>Meta Vigencia</c:v>
                </c:pt>
              </c:strCache>
            </c:strRef>
          </c:tx>
          <c:spPr>
            <a:solidFill>
              <a:srgbClr val="FF420E"/>
            </a:solidFill>
            <a:ln w="25400">
              <a:noFill/>
            </a:ln>
          </c:spPr>
          <c:invertIfNegative val="0"/>
          <c:cat>
            <c:strRef>
              <c:f>'CT04'!$A$26:$A$38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'CT04'!$C$26:$C$38</c:f>
              <c:numCache>
                <c:formatCode>0%</c:formatCode>
                <c:ptCount val="13"/>
                <c:pt idx="0">
                  <c:v>0.85</c:v>
                </c:pt>
                <c:pt idx="1">
                  <c:v>0.85</c:v>
                </c:pt>
                <c:pt idx="2">
                  <c:v>0.85</c:v>
                </c:pt>
                <c:pt idx="3">
                  <c:v>0.85</c:v>
                </c:pt>
                <c:pt idx="4">
                  <c:v>0.85</c:v>
                </c:pt>
                <c:pt idx="5">
                  <c:v>0.85</c:v>
                </c:pt>
                <c:pt idx="6">
                  <c:v>0.85</c:v>
                </c:pt>
                <c:pt idx="7">
                  <c:v>0.85</c:v>
                </c:pt>
                <c:pt idx="8">
                  <c:v>0.85</c:v>
                </c:pt>
                <c:pt idx="9">
                  <c:v>0.85</c:v>
                </c:pt>
                <c:pt idx="10">
                  <c:v>0.85</c:v>
                </c:pt>
                <c:pt idx="11">
                  <c:v>0.85</c:v>
                </c:pt>
                <c:pt idx="12">
                  <c:v>0.85</c:v>
                </c:pt>
              </c:numCache>
            </c:numRef>
          </c:val>
          <c:extLst>
            <c:ext xmlns:c16="http://schemas.microsoft.com/office/drawing/2014/chart" uri="{C3380CC4-5D6E-409C-BE32-E72D297353CC}">
              <c16:uniqueId val="{00000001-E13F-490B-B8BD-27A45C09064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'CT04'!$D$25</c:f>
              <c:strCache>
                <c:ptCount val="1"/>
                <c:pt idx="0">
                  <c:v>Meta - Rango</c:v>
                </c:pt>
              </c:strCache>
            </c:strRef>
          </c:tx>
          <c:spPr>
            <a:ln w="38100">
              <a:solidFill>
                <a:srgbClr val="FFD320"/>
              </a:solidFill>
              <a:prstDash val="solid"/>
            </a:ln>
          </c:spPr>
          <c:marker>
            <c:symbol val="none"/>
          </c:marker>
          <c:cat>
            <c:strRef>
              <c:f>'CT04'!$A$26:$A$38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'CT04'!$D$26:$D$38</c:f>
              <c:numCache>
                <c:formatCode>0%</c:formatCode>
                <c:ptCount val="13"/>
                <c:pt idx="0">
                  <c:v>0.83299999999999996</c:v>
                </c:pt>
                <c:pt idx="1">
                  <c:v>0.83299999999999996</c:v>
                </c:pt>
                <c:pt idx="2">
                  <c:v>0.83299999999999996</c:v>
                </c:pt>
                <c:pt idx="3">
                  <c:v>0.83299999999999996</c:v>
                </c:pt>
                <c:pt idx="4">
                  <c:v>0.83299999999999996</c:v>
                </c:pt>
                <c:pt idx="5">
                  <c:v>0.83299999999999996</c:v>
                </c:pt>
                <c:pt idx="6">
                  <c:v>0.83299999999999996</c:v>
                </c:pt>
                <c:pt idx="7">
                  <c:v>0.83299999999999996</c:v>
                </c:pt>
                <c:pt idx="8">
                  <c:v>0.83299999999999996</c:v>
                </c:pt>
                <c:pt idx="9">
                  <c:v>0.83299999999999996</c:v>
                </c:pt>
                <c:pt idx="10">
                  <c:v>0.83299999999999996</c:v>
                </c:pt>
                <c:pt idx="11">
                  <c:v>0.83299999999999996</c:v>
                </c:pt>
                <c:pt idx="12">
                  <c:v>0.83299999999999996</c:v>
                </c:pt>
              </c:numCache>
            </c:numRef>
          </c:val>
          <c:smooth val="0"/>
          <c:extLst>
            <c:ext xmlns:c16="http://schemas.microsoft.com/office/drawing/2014/chart" uri="{C3380CC4-5D6E-409C-BE32-E72D297353CC}">
              <c16:uniqueId val="{00000002-E13F-490B-B8BD-27A45C09064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'CT28'!$B$25</c:f>
              <c:strCache>
                <c:ptCount val="1"/>
                <c:pt idx="0">
                  <c:v>Datos</c:v>
                </c:pt>
              </c:strCache>
            </c:strRef>
          </c:tx>
          <c:spPr>
            <a:solidFill>
              <a:srgbClr val="004586"/>
            </a:solidFill>
            <a:ln w="25400">
              <a:noFill/>
            </a:ln>
          </c:spPr>
          <c:invertIfNegative val="0"/>
          <c:cat>
            <c:strRef>
              <c:f>'CT28'!$A$26:$A$38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'CT28'!$B$26:$B$38</c:f>
              <c:numCache>
                <c:formatCode>_-* #,##0.0_-;\-* #,##0.0_-;_-* "-"??_-;_-@_-</c:formatCode>
                <c:ptCount val="13"/>
                <c:pt idx="0">
                  <c:v>0</c:v>
                </c:pt>
                <c:pt idx="1">
                  <c:v>0</c:v>
                </c:pt>
                <c:pt idx="2">
                  <c:v>6</c:v>
                </c:pt>
                <c:pt idx="3">
                  <c:v>0</c:v>
                </c:pt>
                <c:pt idx="4">
                  <c:v>0</c:v>
                </c:pt>
                <c:pt idx="5">
                  <c:v>2</c:v>
                </c:pt>
                <c:pt idx="6">
                  <c:v>0</c:v>
                </c:pt>
                <c:pt idx="7">
                  <c:v>0</c:v>
                </c:pt>
                <c:pt idx="8">
                  <c:v>3</c:v>
                </c:pt>
                <c:pt idx="9">
                  <c:v>0</c:v>
                </c:pt>
                <c:pt idx="10">
                  <c:v>0</c:v>
                </c:pt>
                <c:pt idx="11">
                  <c:v>5</c:v>
                </c:pt>
                <c:pt idx="12">
                  <c:v>16</c:v>
                </c:pt>
              </c:numCache>
            </c:numRef>
          </c:val>
          <c:extLst>
            <c:ext xmlns:c16="http://schemas.microsoft.com/office/drawing/2014/chart" uri="{C3380CC4-5D6E-409C-BE32-E72D297353CC}">
              <c16:uniqueId val="{00000000-BB91-4AE7-945E-01DEFE129E75}"/>
            </c:ext>
          </c:extLst>
        </c:ser>
        <c:ser>
          <c:idx val="1"/>
          <c:order val="1"/>
          <c:tx>
            <c:strRef>
              <c:f>'CT28'!$C$25</c:f>
              <c:strCache>
                <c:ptCount val="1"/>
                <c:pt idx="0">
                  <c:v>Meta Vigencia</c:v>
                </c:pt>
              </c:strCache>
            </c:strRef>
          </c:tx>
          <c:spPr>
            <a:solidFill>
              <a:srgbClr val="FF420E"/>
            </a:solidFill>
            <a:ln w="25400">
              <a:noFill/>
            </a:ln>
          </c:spPr>
          <c:invertIfNegative val="0"/>
          <c:cat>
            <c:strRef>
              <c:f>'CT28'!$A$26:$A$38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'CT28'!$C$26:$C$38</c:f>
              <c:numCache>
                <c:formatCode>_-* #,##0.0_-;\-* #,##0.0_-;_-* "-"??_-;_-@_-</c:formatCode>
                <c:ptCount val="13"/>
                <c:pt idx="0">
                  <c:v>17</c:v>
                </c:pt>
                <c:pt idx="1">
                  <c:v>17</c:v>
                </c:pt>
                <c:pt idx="2">
                  <c:v>17</c:v>
                </c:pt>
                <c:pt idx="3">
                  <c:v>17</c:v>
                </c:pt>
                <c:pt idx="4">
                  <c:v>17</c:v>
                </c:pt>
                <c:pt idx="5">
                  <c:v>17</c:v>
                </c:pt>
                <c:pt idx="6">
                  <c:v>17</c:v>
                </c:pt>
                <c:pt idx="7">
                  <c:v>17</c:v>
                </c:pt>
                <c:pt idx="8">
                  <c:v>17</c:v>
                </c:pt>
                <c:pt idx="9">
                  <c:v>17</c:v>
                </c:pt>
                <c:pt idx="10">
                  <c:v>17</c:v>
                </c:pt>
                <c:pt idx="11">
                  <c:v>17</c:v>
                </c:pt>
                <c:pt idx="12">
                  <c:v>17</c:v>
                </c:pt>
              </c:numCache>
            </c:numRef>
          </c:val>
          <c:extLst>
            <c:ext xmlns:c16="http://schemas.microsoft.com/office/drawing/2014/chart" uri="{C3380CC4-5D6E-409C-BE32-E72D297353CC}">
              <c16:uniqueId val="{00000001-BB91-4AE7-945E-01DEFE129E7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'CT28'!$D$25</c:f>
              <c:strCache>
                <c:ptCount val="1"/>
                <c:pt idx="0">
                  <c:v>Meta - Rango</c:v>
                </c:pt>
              </c:strCache>
            </c:strRef>
          </c:tx>
          <c:spPr>
            <a:ln w="38100">
              <a:solidFill>
                <a:srgbClr val="FFD320"/>
              </a:solidFill>
              <a:prstDash val="solid"/>
            </a:ln>
          </c:spPr>
          <c:marker>
            <c:symbol val="none"/>
          </c:marker>
          <c:cat>
            <c:strRef>
              <c:f>'CT28'!$A$26:$A$38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'CT28'!$D$26:$D$38</c:f>
              <c:numCache>
                <c:formatCode>_-* #,##0.0_-;\-* #,##0.0_-;_-* "-"??_-;_-@_-</c:formatCode>
                <c:ptCount val="13"/>
                <c:pt idx="0">
                  <c:v>16.66</c:v>
                </c:pt>
                <c:pt idx="1">
                  <c:v>16.66</c:v>
                </c:pt>
                <c:pt idx="2">
                  <c:v>16.66</c:v>
                </c:pt>
                <c:pt idx="3">
                  <c:v>16.66</c:v>
                </c:pt>
                <c:pt idx="4">
                  <c:v>16.66</c:v>
                </c:pt>
                <c:pt idx="5">
                  <c:v>16.66</c:v>
                </c:pt>
                <c:pt idx="6">
                  <c:v>16.66</c:v>
                </c:pt>
                <c:pt idx="7">
                  <c:v>16.66</c:v>
                </c:pt>
                <c:pt idx="8">
                  <c:v>16.66</c:v>
                </c:pt>
                <c:pt idx="9">
                  <c:v>16.66</c:v>
                </c:pt>
                <c:pt idx="10">
                  <c:v>16.66</c:v>
                </c:pt>
                <c:pt idx="11">
                  <c:v>16.66</c:v>
                </c:pt>
                <c:pt idx="12">
                  <c:v>16.66</c:v>
                </c:pt>
              </c:numCache>
            </c:numRef>
          </c:val>
          <c:smooth val="0"/>
          <c:extLst>
            <c:ext xmlns:c16="http://schemas.microsoft.com/office/drawing/2014/chart" uri="{C3380CC4-5D6E-409C-BE32-E72D297353CC}">
              <c16:uniqueId val="{00000002-BB91-4AE7-945E-01DEFE129E7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'SE27'!$B$25</c:f>
              <c:strCache>
                <c:ptCount val="1"/>
                <c:pt idx="0">
                  <c:v>Datos</c:v>
                </c:pt>
              </c:strCache>
            </c:strRef>
          </c:tx>
          <c:spPr>
            <a:solidFill>
              <a:srgbClr val="004586"/>
            </a:solidFill>
            <a:ln w="25400">
              <a:noFill/>
            </a:ln>
          </c:spPr>
          <c:invertIfNegative val="0"/>
          <c:cat>
            <c:strRef>
              <c:f>'SE27'!$A$26:$A$38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'SE27'!$B$26:$B$38</c:f>
              <c:numCache>
                <c:formatCode>0%</c:formatCode>
                <c:ptCount val="13"/>
                <c:pt idx="0">
                  <c:v>0</c:v>
                </c:pt>
                <c:pt idx="1">
                  <c:v>0</c:v>
                </c:pt>
                <c:pt idx="2">
                  <c:v>0.51388888888888884</c:v>
                </c:pt>
                <c:pt idx="3">
                  <c:v>0</c:v>
                </c:pt>
                <c:pt idx="4">
                  <c:v>0</c:v>
                </c:pt>
                <c:pt idx="5">
                  <c:v>0.55555555555555558</c:v>
                </c:pt>
                <c:pt idx="6">
                  <c:v>0</c:v>
                </c:pt>
                <c:pt idx="7">
                  <c:v>0</c:v>
                </c:pt>
                <c:pt idx="8">
                  <c:v>0.63888888888888884</c:v>
                </c:pt>
                <c:pt idx="9">
                  <c:v>0</c:v>
                </c:pt>
                <c:pt idx="10">
                  <c:v>0</c:v>
                </c:pt>
                <c:pt idx="11">
                  <c:v>0.66666666666666663</c:v>
                </c:pt>
                <c:pt idx="12">
                  <c:v>0.66666666666666663</c:v>
                </c:pt>
              </c:numCache>
            </c:numRef>
          </c:val>
          <c:extLst>
            <c:ext xmlns:c16="http://schemas.microsoft.com/office/drawing/2014/chart" uri="{C3380CC4-5D6E-409C-BE32-E72D297353CC}">
              <c16:uniqueId val="{00000000-5AEA-492B-ABDC-06A7FDB50847}"/>
            </c:ext>
          </c:extLst>
        </c:ser>
        <c:ser>
          <c:idx val="1"/>
          <c:order val="1"/>
          <c:tx>
            <c:strRef>
              <c:f>'SE27'!$C$25</c:f>
              <c:strCache>
                <c:ptCount val="1"/>
                <c:pt idx="0">
                  <c:v>Meta Vigencia</c:v>
                </c:pt>
              </c:strCache>
            </c:strRef>
          </c:tx>
          <c:spPr>
            <a:solidFill>
              <a:srgbClr val="FF420E"/>
            </a:solidFill>
            <a:ln w="25400">
              <a:noFill/>
            </a:ln>
          </c:spPr>
          <c:invertIfNegative val="0"/>
          <c:cat>
            <c:strRef>
              <c:f>'SE27'!$A$26:$A$38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'SE27'!$C$26:$C$38</c:f>
              <c:numCache>
                <c:formatCode>0%</c:formatCode>
                <c:ptCount val="13"/>
                <c:pt idx="0">
                  <c:v>0.66666666666666663</c:v>
                </c:pt>
                <c:pt idx="1">
                  <c:v>0.66666666666666663</c:v>
                </c:pt>
                <c:pt idx="2">
                  <c:v>0.66666666666666663</c:v>
                </c:pt>
                <c:pt idx="3">
                  <c:v>0.66666666666666663</c:v>
                </c:pt>
                <c:pt idx="4">
                  <c:v>0.66666666666666663</c:v>
                </c:pt>
                <c:pt idx="5">
                  <c:v>0.66666666666666663</c:v>
                </c:pt>
                <c:pt idx="6">
                  <c:v>0.66666666666666663</c:v>
                </c:pt>
                <c:pt idx="7">
                  <c:v>0.66666666666666663</c:v>
                </c:pt>
                <c:pt idx="8">
                  <c:v>0.66666666666666663</c:v>
                </c:pt>
                <c:pt idx="9">
                  <c:v>0.66666666666666663</c:v>
                </c:pt>
                <c:pt idx="10">
                  <c:v>0.66666666666666663</c:v>
                </c:pt>
                <c:pt idx="11">
                  <c:v>0.66666666666666663</c:v>
                </c:pt>
                <c:pt idx="12">
                  <c:v>0.66666666666666663</c:v>
                </c:pt>
              </c:numCache>
            </c:numRef>
          </c:val>
          <c:extLst>
            <c:ext xmlns:c16="http://schemas.microsoft.com/office/drawing/2014/chart" uri="{C3380CC4-5D6E-409C-BE32-E72D297353CC}">
              <c16:uniqueId val="{00000001-5AEA-492B-ABDC-06A7FDB5084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'SE27'!$D$25</c:f>
              <c:strCache>
                <c:ptCount val="1"/>
                <c:pt idx="0">
                  <c:v>Meta - Rango</c:v>
                </c:pt>
              </c:strCache>
            </c:strRef>
          </c:tx>
          <c:spPr>
            <a:ln w="38100">
              <a:solidFill>
                <a:srgbClr val="FFD320"/>
              </a:solidFill>
              <a:prstDash val="solid"/>
            </a:ln>
          </c:spPr>
          <c:marker>
            <c:symbol val="none"/>
          </c:marker>
          <c:cat>
            <c:strRef>
              <c:f>'SE27'!$A$26:$A$38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'SE27'!$D$26:$D$38</c:f>
              <c:numCache>
                <c:formatCode>0%</c:formatCode>
                <c:ptCount val="13"/>
                <c:pt idx="0">
                  <c:v>0.65333333333333332</c:v>
                </c:pt>
                <c:pt idx="1">
                  <c:v>0.65333333333333332</c:v>
                </c:pt>
                <c:pt idx="2">
                  <c:v>0.65333333333333332</c:v>
                </c:pt>
                <c:pt idx="3">
                  <c:v>0.65333333333333332</c:v>
                </c:pt>
                <c:pt idx="4">
                  <c:v>0.65333333333333332</c:v>
                </c:pt>
                <c:pt idx="5">
                  <c:v>0.65333333333333332</c:v>
                </c:pt>
                <c:pt idx="6">
                  <c:v>0.65333333333333332</c:v>
                </c:pt>
                <c:pt idx="7">
                  <c:v>0.65333333333333332</c:v>
                </c:pt>
                <c:pt idx="8">
                  <c:v>0.65333333333333332</c:v>
                </c:pt>
                <c:pt idx="9">
                  <c:v>0.65333333333333332</c:v>
                </c:pt>
                <c:pt idx="10">
                  <c:v>0.65333333333333332</c:v>
                </c:pt>
                <c:pt idx="11">
                  <c:v>0.65333333333333332</c:v>
                </c:pt>
                <c:pt idx="12">
                  <c:v>0.65333333333333332</c:v>
                </c:pt>
              </c:numCache>
            </c:numRef>
          </c:val>
          <c:smooth val="0"/>
          <c:extLst>
            <c:ext xmlns:c16="http://schemas.microsoft.com/office/drawing/2014/chart" uri="{C3380CC4-5D6E-409C-BE32-E72D297353CC}">
              <c16:uniqueId val="{00000002-5AEA-492B-ABDC-06A7FDB5084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'CT32'!$B$25</c:f>
              <c:strCache>
                <c:ptCount val="1"/>
                <c:pt idx="0">
                  <c:v>Datos</c:v>
                </c:pt>
              </c:strCache>
            </c:strRef>
          </c:tx>
          <c:spPr>
            <a:solidFill>
              <a:srgbClr val="004586"/>
            </a:solidFill>
            <a:ln w="25400">
              <a:noFill/>
            </a:ln>
          </c:spPr>
          <c:invertIfNegative val="0"/>
          <c:cat>
            <c:numRef>
              <c:f>'CT32'!$B$26:$B$38</c:f>
              <c:numCache>
                <c:formatCode>0%</c:formatCode>
                <c:ptCount val="13"/>
                <c:pt idx="0">
                  <c:v>0</c:v>
                </c:pt>
                <c:pt idx="1">
                  <c:v>0</c:v>
                </c:pt>
                <c:pt idx="2">
                  <c:v>0.37641723356009071</c:v>
                </c:pt>
                <c:pt idx="3">
                  <c:v>0</c:v>
                </c:pt>
                <c:pt idx="4">
                  <c:v>0</c:v>
                </c:pt>
                <c:pt idx="5">
                  <c:v>0.30839002267573695</c:v>
                </c:pt>
                <c:pt idx="6">
                  <c:v>0</c:v>
                </c:pt>
                <c:pt idx="7">
                  <c:v>0</c:v>
                </c:pt>
                <c:pt idx="8">
                  <c:v>0.2199546485260771</c:v>
                </c:pt>
                <c:pt idx="9">
                  <c:v>0</c:v>
                </c:pt>
                <c:pt idx="10">
                  <c:v>0</c:v>
                </c:pt>
                <c:pt idx="11">
                  <c:v>9.297052154195011E-2</c:v>
                </c:pt>
                <c:pt idx="12" formatCode="0.0%">
                  <c:v>0.99773242630385484</c:v>
                </c:pt>
              </c:numCache>
            </c:numRef>
          </c:cat>
          <c:val>
            <c:numRef>
              <c:f>'CT32'!$B$26:$B$38</c:f>
              <c:numCache>
                <c:formatCode>0%</c:formatCode>
                <c:ptCount val="13"/>
                <c:pt idx="0">
                  <c:v>0</c:v>
                </c:pt>
                <c:pt idx="1">
                  <c:v>0</c:v>
                </c:pt>
                <c:pt idx="2">
                  <c:v>0.37641723356009071</c:v>
                </c:pt>
                <c:pt idx="3">
                  <c:v>0</c:v>
                </c:pt>
                <c:pt idx="4">
                  <c:v>0</c:v>
                </c:pt>
                <c:pt idx="5">
                  <c:v>0.30839002267573695</c:v>
                </c:pt>
                <c:pt idx="6">
                  <c:v>0</c:v>
                </c:pt>
                <c:pt idx="7">
                  <c:v>0</c:v>
                </c:pt>
                <c:pt idx="8">
                  <c:v>0.2199546485260771</c:v>
                </c:pt>
                <c:pt idx="9">
                  <c:v>0</c:v>
                </c:pt>
                <c:pt idx="10">
                  <c:v>0</c:v>
                </c:pt>
                <c:pt idx="11">
                  <c:v>9.297052154195011E-2</c:v>
                </c:pt>
                <c:pt idx="12" formatCode="0.0%">
                  <c:v>0.99773242630385484</c:v>
                </c:pt>
              </c:numCache>
            </c:numRef>
          </c:val>
          <c:extLst>
            <c:ext xmlns:c16="http://schemas.microsoft.com/office/drawing/2014/chart" uri="{C3380CC4-5D6E-409C-BE32-E72D297353CC}">
              <c16:uniqueId val="{00000000-A10B-4942-B3C6-C9B7C91FAA11}"/>
            </c:ext>
          </c:extLst>
        </c:ser>
        <c:ser>
          <c:idx val="1"/>
          <c:order val="1"/>
          <c:tx>
            <c:strRef>
              <c:f>'CT32'!$C$25</c:f>
              <c:strCache>
                <c:ptCount val="1"/>
                <c:pt idx="0">
                  <c:v>Meta Vigencia</c:v>
                </c:pt>
              </c:strCache>
            </c:strRef>
          </c:tx>
          <c:spPr>
            <a:solidFill>
              <a:srgbClr val="FF420E"/>
            </a:solidFill>
            <a:ln w="25400">
              <a:noFill/>
            </a:ln>
          </c:spPr>
          <c:invertIfNegative val="0"/>
          <c:cat>
            <c:numRef>
              <c:f>'CT32'!$B$26:$B$38</c:f>
              <c:numCache>
                <c:formatCode>0%</c:formatCode>
                <c:ptCount val="13"/>
                <c:pt idx="0">
                  <c:v>0</c:v>
                </c:pt>
                <c:pt idx="1">
                  <c:v>0</c:v>
                </c:pt>
                <c:pt idx="2">
                  <c:v>0.37641723356009071</c:v>
                </c:pt>
                <c:pt idx="3">
                  <c:v>0</c:v>
                </c:pt>
                <c:pt idx="4">
                  <c:v>0</c:v>
                </c:pt>
                <c:pt idx="5">
                  <c:v>0.30839002267573695</c:v>
                </c:pt>
                <c:pt idx="6">
                  <c:v>0</c:v>
                </c:pt>
                <c:pt idx="7">
                  <c:v>0</c:v>
                </c:pt>
                <c:pt idx="8">
                  <c:v>0.2199546485260771</c:v>
                </c:pt>
                <c:pt idx="9">
                  <c:v>0</c:v>
                </c:pt>
                <c:pt idx="10">
                  <c:v>0</c:v>
                </c:pt>
                <c:pt idx="11">
                  <c:v>9.297052154195011E-2</c:v>
                </c:pt>
                <c:pt idx="12" formatCode="0.0%">
                  <c:v>0.99773242630385484</c:v>
                </c:pt>
              </c:numCache>
            </c:numRef>
          </c:cat>
          <c:val>
            <c:numRef>
              <c:f>'CT32'!$C$26:$C$38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formatCode="0.0%">
                  <c:v>1</c:v>
                </c:pt>
              </c:numCache>
            </c:numRef>
          </c:val>
          <c:extLst>
            <c:ext xmlns:c16="http://schemas.microsoft.com/office/drawing/2014/chart" uri="{C3380CC4-5D6E-409C-BE32-E72D297353CC}">
              <c16:uniqueId val="{00000001-A10B-4942-B3C6-C9B7C91FAA1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'CT32'!$D$25</c:f>
              <c:strCache>
                <c:ptCount val="1"/>
                <c:pt idx="0">
                  <c:v>Meta - Rango</c:v>
                </c:pt>
              </c:strCache>
            </c:strRef>
          </c:tx>
          <c:spPr>
            <a:ln w="38100">
              <a:solidFill>
                <a:srgbClr val="FFD320"/>
              </a:solidFill>
              <a:prstDash val="solid"/>
            </a:ln>
          </c:spPr>
          <c:marker>
            <c:symbol val="none"/>
          </c:marker>
          <c:cat>
            <c:strRef>
              <c:f>'CT32'!$A$26:$A$38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'CT32'!$D$26:$D$38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formatCode="0.0%">
                  <c:v>0.98</c:v>
                </c:pt>
              </c:numCache>
            </c:numRef>
          </c:val>
          <c:smooth val="0"/>
          <c:extLst>
            <c:ext xmlns:c16="http://schemas.microsoft.com/office/drawing/2014/chart" uri="{C3380CC4-5D6E-409C-BE32-E72D297353CC}">
              <c16:uniqueId val="{00000002-A10B-4942-B3C6-C9B7C91FAA1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'SE47'!$B$25</c:f>
              <c:strCache>
                <c:ptCount val="1"/>
                <c:pt idx="0">
                  <c:v>Datos</c:v>
                </c:pt>
              </c:strCache>
            </c:strRef>
          </c:tx>
          <c:spPr>
            <a:solidFill>
              <a:srgbClr val="004586"/>
            </a:solidFill>
            <a:ln w="25400">
              <a:noFill/>
            </a:ln>
          </c:spPr>
          <c:invertIfNegative val="0"/>
          <c:cat>
            <c:strRef>
              <c:f>'SE47'!$A$26:$A$38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'SE47'!$B$26:$B$38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0C44-4159-81DB-1995A7E01BA5}"/>
            </c:ext>
          </c:extLst>
        </c:ser>
        <c:ser>
          <c:idx val="1"/>
          <c:order val="1"/>
          <c:tx>
            <c:strRef>
              <c:f>'SE47'!$C$25</c:f>
              <c:strCache>
                <c:ptCount val="1"/>
                <c:pt idx="0">
                  <c:v>Meta Vigencia</c:v>
                </c:pt>
              </c:strCache>
            </c:strRef>
          </c:tx>
          <c:spPr>
            <a:solidFill>
              <a:srgbClr val="FF420E"/>
            </a:solidFill>
            <a:ln w="25400">
              <a:noFill/>
            </a:ln>
          </c:spPr>
          <c:invertIfNegative val="0"/>
          <c:cat>
            <c:strRef>
              <c:f>'SE47'!$A$26:$A$38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C44-4159-81DB-1995A7E01BA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'SE47'!$D$25</c:f>
              <c:strCache>
                <c:ptCount val="1"/>
                <c:pt idx="0">
                  <c:v>Meta - Rango</c:v>
                </c:pt>
              </c:strCache>
            </c:strRef>
          </c:tx>
          <c:spPr>
            <a:ln w="38100">
              <a:solidFill>
                <a:srgbClr val="FFD320"/>
              </a:solidFill>
              <a:prstDash val="solid"/>
            </a:ln>
          </c:spPr>
          <c:marker>
            <c:symbol val="none"/>
          </c:marker>
          <c:cat>
            <c:strRef>
              <c:f>'SE47'!$A$26:$A$38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C44-4159-81DB-1995A7E01BA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'SE28'!$B$25</c:f>
              <c:strCache>
                <c:ptCount val="1"/>
                <c:pt idx="0">
                  <c:v>Datos</c:v>
                </c:pt>
              </c:strCache>
            </c:strRef>
          </c:tx>
          <c:spPr>
            <a:solidFill>
              <a:srgbClr val="004586"/>
            </a:solidFill>
            <a:ln w="25400">
              <a:noFill/>
            </a:ln>
          </c:spPr>
          <c:invertIfNegative val="0"/>
          <c:cat>
            <c:strRef>
              <c:f>'SE28'!$A$26:$A$38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'SE28'!$B$26:$B$38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D66B-4B89-85B8-00780C4422C1}"/>
            </c:ext>
          </c:extLst>
        </c:ser>
        <c:ser>
          <c:idx val="1"/>
          <c:order val="1"/>
          <c:tx>
            <c:strRef>
              <c:f>'SE28'!$C$25</c:f>
              <c:strCache>
                <c:ptCount val="1"/>
                <c:pt idx="0">
                  <c:v>Meta Vigencia</c:v>
                </c:pt>
              </c:strCache>
            </c:strRef>
          </c:tx>
          <c:spPr>
            <a:solidFill>
              <a:srgbClr val="FF420E"/>
            </a:solidFill>
            <a:ln w="25400">
              <a:noFill/>
            </a:ln>
          </c:spPr>
          <c:invertIfNegative val="0"/>
          <c:cat>
            <c:strRef>
              <c:f>'SE28'!$A$26:$A$38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D66B-4B89-85B8-00780C4422C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'SE28'!$D$25</c:f>
              <c:strCache>
                <c:ptCount val="1"/>
                <c:pt idx="0">
                  <c:v>Meta - Rango</c:v>
                </c:pt>
              </c:strCache>
            </c:strRef>
          </c:tx>
          <c:spPr>
            <a:ln w="38100">
              <a:solidFill>
                <a:srgbClr val="FFD320"/>
              </a:solidFill>
              <a:prstDash val="solid"/>
            </a:ln>
          </c:spPr>
          <c:marker>
            <c:symbol val="none"/>
          </c:marker>
          <c:cat>
            <c:strRef>
              <c:f>'SE28'!$A$26:$A$38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D66B-4B89-85B8-00780C4422C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'CT21'!$B$25</c:f>
              <c:strCache>
                <c:ptCount val="1"/>
                <c:pt idx="0">
                  <c:v>Datos</c:v>
                </c:pt>
              </c:strCache>
            </c:strRef>
          </c:tx>
          <c:spPr>
            <a:solidFill>
              <a:srgbClr val="004586"/>
            </a:solidFill>
            <a:ln w="25400">
              <a:noFill/>
            </a:ln>
          </c:spPr>
          <c:invertIfNegative val="0"/>
          <c:cat>
            <c:strRef>
              <c:f>'CT21'!$A$26:$A$38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'CT21'!$B$26:$B$38</c:f>
              <c:numCache>
                <c:formatCode>_-* #,##0.0_-;\-* #,##0.0_-;_-* "-"??_-;_-@_-</c:formatCode>
                <c:ptCount val="13"/>
                <c:pt idx="0">
                  <c:v>0</c:v>
                </c:pt>
                <c:pt idx="1">
                  <c:v>0</c:v>
                </c:pt>
                <c:pt idx="2">
                  <c:v>5</c:v>
                </c:pt>
                <c:pt idx="3">
                  <c:v>0</c:v>
                </c:pt>
                <c:pt idx="4">
                  <c:v>0</c:v>
                </c:pt>
                <c:pt idx="5">
                  <c:v>4</c:v>
                </c:pt>
                <c:pt idx="6">
                  <c:v>0</c:v>
                </c:pt>
                <c:pt idx="7">
                  <c:v>0</c:v>
                </c:pt>
                <c:pt idx="8">
                  <c:v>5</c:v>
                </c:pt>
                <c:pt idx="9">
                  <c:v>0</c:v>
                </c:pt>
                <c:pt idx="10">
                  <c:v>0</c:v>
                </c:pt>
                <c:pt idx="11">
                  <c:v>1</c:v>
                </c:pt>
                <c:pt idx="12">
                  <c:v>15</c:v>
                </c:pt>
              </c:numCache>
            </c:numRef>
          </c:val>
          <c:extLst>
            <c:ext xmlns:c16="http://schemas.microsoft.com/office/drawing/2014/chart" uri="{C3380CC4-5D6E-409C-BE32-E72D297353CC}">
              <c16:uniqueId val="{00000000-F9B2-4CCD-92D7-E42CDF0DD0DA}"/>
            </c:ext>
          </c:extLst>
        </c:ser>
        <c:ser>
          <c:idx val="1"/>
          <c:order val="1"/>
          <c:tx>
            <c:strRef>
              <c:f>'CT21'!$C$25</c:f>
              <c:strCache>
                <c:ptCount val="1"/>
                <c:pt idx="0">
                  <c:v>Meta Vigencia</c:v>
                </c:pt>
              </c:strCache>
            </c:strRef>
          </c:tx>
          <c:spPr>
            <a:solidFill>
              <a:srgbClr val="FF420E"/>
            </a:solidFill>
            <a:ln w="25400">
              <a:noFill/>
            </a:ln>
          </c:spPr>
          <c:invertIfNegative val="0"/>
          <c:cat>
            <c:strRef>
              <c:f>'CT21'!$A$26:$A$38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'CT21'!$C$26:$C$38</c:f>
              <c:numCache>
                <c:formatCode>_-* #,##0.0_-;\-* #,##0.0_-;_-* "-"??_-;_-@_-</c:formatCode>
                <c:ptCount val="13"/>
                <c:pt idx="0">
                  <c:v>10</c:v>
                </c:pt>
                <c:pt idx="1">
                  <c:v>10</c:v>
                </c:pt>
                <c:pt idx="2">
                  <c:v>10</c:v>
                </c:pt>
                <c:pt idx="3">
                  <c:v>10</c:v>
                </c:pt>
                <c:pt idx="4">
                  <c:v>10</c:v>
                </c:pt>
                <c:pt idx="5">
                  <c:v>10</c:v>
                </c:pt>
                <c:pt idx="6">
                  <c:v>10</c:v>
                </c:pt>
                <c:pt idx="7">
                  <c:v>10</c:v>
                </c:pt>
                <c:pt idx="8">
                  <c:v>10</c:v>
                </c:pt>
                <c:pt idx="9">
                  <c:v>10</c:v>
                </c:pt>
                <c:pt idx="10">
                  <c:v>10</c:v>
                </c:pt>
                <c:pt idx="11">
                  <c:v>10</c:v>
                </c:pt>
                <c:pt idx="12">
                  <c:v>10</c:v>
                </c:pt>
              </c:numCache>
            </c:numRef>
          </c:val>
          <c:extLst>
            <c:ext xmlns:c16="http://schemas.microsoft.com/office/drawing/2014/chart" uri="{C3380CC4-5D6E-409C-BE32-E72D297353CC}">
              <c16:uniqueId val="{00000001-F9B2-4CCD-92D7-E42CDF0DD0D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'CT21'!$D$25</c:f>
              <c:strCache>
                <c:ptCount val="1"/>
                <c:pt idx="0">
                  <c:v>Meta - Rango</c:v>
                </c:pt>
              </c:strCache>
            </c:strRef>
          </c:tx>
          <c:spPr>
            <a:ln w="38100">
              <a:solidFill>
                <a:srgbClr val="FFD320"/>
              </a:solidFill>
              <a:prstDash val="solid"/>
            </a:ln>
          </c:spPr>
          <c:marker>
            <c:symbol val="none"/>
          </c:marker>
          <c:cat>
            <c:strRef>
              <c:f>'CT21'!$A$26:$A$38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'CT21'!$D$26:$D$38</c:f>
              <c:numCache>
                <c:formatCode>_-* #,##0.0_-;\-* #,##0.0_-;_-* "-"??_-;_-@_-</c:formatCode>
                <c:ptCount val="13"/>
                <c:pt idx="0">
                  <c:v>9.8000000000000007</c:v>
                </c:pt>
                <c:pt idx="1">
                  <c:v>9.8000000000000007</c:v>
                </c:pt>
                <c:pt idx="2">
                  <c:v>9.8000000000000007</c:v>
                </c:pt>
                <c:pt idx="3">
                  <c:v>9.8000000000000007</c:v>
                </c:pt>
                <c:pt idx="4">
                  <c:v>9.8000000000000007</c:v>
                </c:pt>
                <c:pt idx="5">
                  <c:v>9.8000000000000007</c:v>
                </c:pt>
                <c:pt idx="6">
                  <c:v>9.8000000000000007</c:v>
                </c:pt>
                <c:pt idx="7">
                  <c:v>9.8000000000000007</c:v>
                </c:pt>
                <c:pt idx="8">
                  <c:v>9.8000000000000007</c:v>
                </c:pt>
                <c:pt idx="9">
                  <c:v>9.8000000000000007</c:v>
                </c:pt>
                <c:pt idx="10">
                  <c:v>9.8000000000000007</c:v>
                </c:pt>
                <c:pt idx="11">
                  <c:v>9.8000000000000007</c:v>
                </c:pt>
                <c:pt idx="12">
                  <c:v>9.8000000000000007</c:v>
                </c:pt>
              </c:numCache>
            </c:numRef>
          </c:val>
          <c:smooth val="0"/>
          <c:extLst>
            <c:ext xmlns:c16="http://schemas.microsoft.com/office/drawing/2014/chart" uri="{C3380CC4-5D6E-409C-BE32-E72D297353CC}">
              <c16:uniqueId val="{00000002-F9B2-4CCD-92D7-E42CDF0DD0D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'AT05'!$B$25</c:f>
              <c:strCache>
                <c:ptCount val="1"/>
                <c:pt idx="0">
                  <c:v>Datos</c:v>
                </c:pt>
              </c:strCache>
            </c:strRef>
          </c:tx>
          <c:spPr>
            <a:solidFill>
              <a:srgbClr val="004586"/>
            </a:solidFill>
            <a:ln w="25400">
              <a:noFill/>
            </a:ln>
          </c:spPr>
          <c:invertIfNegative val="0"/>
          <c:cat>
            <c:strRef>
              <c:f>'AT05'!$A$26:$A$38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'AT05'!$B$26:$B$38</c:f>
              <c:numCache>
                <c:formatCode>_-* #,##0.0_-;\-* #,##0.0_-;_-* "-"??_-;_-@_-</c:formatCode>
                <c:ptCount val="13"/>
                <c:pt idx="0">
                  <c:v>0</c:v>
                </c:pt>
                <c:pt idx="1">
                  <c:v>0</c:v>
                </c:pt>
                <c:pt idx="2">
                  <c:v>0</c:v>
                </c:pt>
                <c:pt idx="3">
                  <c:v>4</c:v>
                </c:pt>
                <c:pt idx="4">
                  <c:v>0</c:v>
                </c:pt>
                <c:pt idx="5">
                  <c:v>0</c:v>
                </c:pt>
                <c:pt idx="6">
                  <c:v>0</c:v>
                </c:pt>
                <c:pt idx="7">
                  <c:v>14</c:v>
                </c:pt>
                <c:pt idx="8">
                  <c:v>0</c:v>
                </c:pt>
                <c:pt idx="9">
                  <c:v>0</c:v>
                </c:pt>
                <c:pt idx="10">
                  <c:v>0</c:v>
                </c:pt>
                <c:pt idx="11">
                  <c:v>2</c:v>
                </c:pt>
                <c:pt idx="12">
                  <c:v>20</c:v>
                </c:pt>
              </c:numCache>
            </c:numRef>
          </c:val>
          <c:extLst>
            <c:ext xmlns:c16="http://schemas.microsoft.com/office/drawing/2014/chart" uri="{C3380CC4-5D6E-409C-BE32-E72D297353CC}">
              <c16:uniqueId val="{00000000-30F6-498A-A584-312E1129B125}"/>
            </c:ext>
          </c:extLst>
        </c:ser>
        <c:ser>
          <c:idx val="1"/>
          <c:order val="1"/>
          <c:tx>
            <c:strRef>
              <c:f>'AT05'!$C$25</c:f>
              <c:strCache>
                <c:ptCount val="1"/>
                <c:pt idx="0">
                  <c:v>Meta Vigencia</c:v>
                </c:pt>
              </c:strCache>
            </c:strRef>
          </c:tx>
          <c:spPr>
            <a:solidFill>
              <a:srgbClr val="FF420E"/>
            </a:solidFill>
            <a:ln w="25400">
              <a:noFill/>
            </a:ln>
          </c:spPr>
          <c:invertIfNegative val="0"/>
          <c:cat>
            <c:strRef>
              <c:f>'AT05'!$A$26:$A$38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'AT05'!$C$26:$C$38</c:f>
              <c:numCache>
                <c:formatCode>_-* #,##0.0_-;\-* #,##0.0_-;_-* "-"??_-;_-@_-</c:formatCode>
                <c:ptCount val="13"/>
                <c:pt idx="0">
                  <c:v>20</c:v>
                </c:pt>
                <c:pt idx="1">
                  <c:v>20</c:v>
                </c:pt>
                <c:pt idx="2">
                  <c:v>20</c:v>
                </c:pt>
                <c:pt idx="3">
                  <c:v>20</c:v>
                </c:pt>
                <c:pt idx="4">
                  <c:v>20</c:v>
                </c:pt>
                <c:pt idx="5">
                  <c:v>20</c:v>
                </c:pt>
                <c:pt idx="6">
                  <c:v>20</c:v>
                </c:pt>
                <c:pt idx="7">
                  <c:v>20</c:v>
                </c:pt>
                <c:pt idx="8">
                  <c:v>20</c:v>
                </c:pt>
                <c:pt idx="9">
                  <c:v>20</c:v>
                </c:pt>
                <c:pt idx="10">
                  <c:v>20</c:v>
                </c:pt>
                <c:pt idx="11">
                  <c:v>20</c:v>
                </c:pt>
                <c:pt idx="12">
                  <c:v>20</c:v>
                </c:pt>
              </c:numCache>
            </c:numRef>
          </c:val>
          <c:extLst>
            <c:ext xmlns:c16="http://schemas.microsoft.com/office/drawing/2014/chart" uri="{C3380CC4-5D6E-409C-BE32-E72D297353CC}">
              <c16:uniqueId val="{00000001-30F6-498A-A584-312E1129B12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'AT05'!$D$25</c:f>
              <c:strCache>
                <c:ptCount val="1"/>
                <c:pt idx="0">
                  <c:v>Meta - Rango</c:v>
                </c:pt>
              </c:strCache>
            </c:strRef>
          </c:tx>
          <c:spPr>
            <a:ln w="38100">
              <a:solidFill>
                <a:srgbClr val="FFD320"/>
              </a:solidFill>
              <a:prstDash val="solid"/>
            </a:ln>
          </c:spPr>
          <c:marker>
            <c:symbol val="none"/>
          </c:marker>
          <c:cat>
            <c:strRef>
              <c:f>'AT05'!$A$26:$A$38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'AT05'!$D$26:$D$38</c:f>
              <c:numCache>
                <c:formatCode>_-* #,##0.0_-;\-* #,##0.0_-;_-* "-"??_-;_-@_-</c:formatCode>
                <c:ptCount val="13"/>
                <c:pt idx="0">
                  <c:v>19.600000000000001</c:v>
                </c:pt>
                <c:pt idx="1">
                  <c:v>19.600000000000001</c:v>
                </c:pt>
                <c:pt idx="2">
                  <c:v>19.600000000000001</c:v>
                </c:pt>
                <c:pt idx="3">
                  <c:v>19.600000000000001</c:v>
                </c:pt>
                <c:pt idx="4">
                  <c:v>19.600000000000001</c:v>
                </c:pt>
                <c:pt idx="5">
                  <c:v>19.600000000000001</c:v>
                </c:pt>
                <c:pt idx="6">
                  <c:v>19.600000000000001</c:v>
                </c:pt>
                <c:pt idx="7">
                  <c:v>19.600000000000001</c:v>
                </c:pt>
                <c:pt idx="8">
                  <c:v>19.600000000000001</c:v>
                </c:pt>
                <c:pt idx="9">
                  <c:v>19.600000000000001</c:v>
                </c:pt>
                <c:pt idx="10">
                  <c:v>19.600000000000001</c:v>
                </c:pt>
                <c:pt idx="11">
                  <c:v>19.600000000000001</c:v>
                </c:pt>
                <c:pt idx="12">
                  <c:v>19.600000000000001</c:v>
                </c:pt>
              </c:numCache>
            </c:numRef>
          </c:val>
          <c:smooth val="0"/>
          <c:extLst>
            <c:ext xmlns:c16="http://schemas.microsoft.com/office/drawing/2014/chart" uri="{C3380CC4-5D6E-409C-BE32-E72D297353CC}">
              <c16:uniqueId val="{00000002-30F6-498A-A584-312E1129B12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'AT11'!$B$25</c:f>
              <c:strCache>
                <c:ptCount val="1"/>
                <c:pt idx="0">
                  <c:v>Datos</c:v>
                </c:pt>
              </c:strCache>
            </c:strRef>
          </c:tx>
          <c:spPr>
            <a:solidFill>
              <a:srgbClr val="004586"/>
            </a:solidFill>
            <a:ln w="25400">
              <a:noFill/>
            </a:ln>
          </c:spPr>
          <c:invertIfNegative val="0"/>
          <c:cat>
            <c:strRef>
              <c:f>'AT11'!$A$26:$A$38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'AT11'!$B$26:$B$38</c:f>
              <c:numCache>
                <c:formatCode>_-* #,##0.0_-;\-* #,##0.0_-;_-* "-"??_-;_-@_-</c:formatCode>
                <c:ptCount val="13"/>
                <c:pt idx="0">
                  <c:v>0</c:v>
                </c:pt>
                <c:pt idx="1">
                  <c:v>0</c:v>
                </c:pt>
                <c:pt idx="2">
                  <c:v>1</c:v>
                </c:pt>
                <c:pt idx="3">
                  <c:v>4</c:v>
                </c:pt>
                <c:pt idx="4">
                  <c:v>5</c:v>
                </c:pt>
                <c:pt idx="5">
                  <c:v>16</c:v>
                </c:pt>
                <c:pt idx="6">
                  <c:v>7</c:v>
                </c:pt>
                <c:pt idx="7">
                  <c:v>17</c:v>
                </c:pt>
                <c:pt idx="8">
                  <c:v>5</c:v>
                </c:pt>
                <c:pt idx="9">
                  <c:v>12</c:v>
                </c:pt>
                <c:pt idx="10">
                  <c:v>8</c:v>
                </c:pt>
                <c:pt idx="11">
                  <c:v>10</c:v>
                </c:pt>
                <c:pt idx="12">
                  <c:v>85</c:v>
                </c:pt>
              </c:numCache>
            </c:numRef>
          </c:val>
          <c:extLst>
            <c:ext xmlns:c16="http://schemas.microsoft.com/office/drawing/2014/chart" uri="{C3380CC4-5D6E-409C-BE32-E72D297353CC}">
              <c16:uniqueId val="{00000000-5FE5-4B9B-A994-1869075948CA}"/>
            </c:ext>
          </c:extLst>
        </c:ser>
        <c:ser>
          <c:idx val="1"/>
          <c:order val="1"/>
          <c:tx>
            <c:strRef>
              <c:f>'AT11'!$C$25</c:f>
              <c:strCache>
                <c:ptCount val="1"/>
                <c:pt idx="0">
                  <c:v>Meta Vigencia</c:v>
                </c:pt>
              </c:strCache>
            </c:strRef>
          </c:tx>
          <c:spPr>
            <a:solidFill>
              <a:srgbClr val="FF420E"/>
            </a:solidFill>
            <a:ln w="25400">
              <a:noFill/>
            </a:ln>
          </c:spPr>
          <c:invertIfNegative val="0"/>
          <c:cat>
            <c:strRef>
              <c:f>'AT11'!$A$26:$A$38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'AT11'!$C$26:$C$38</c:f>
              <c:numCache>
                <c:formatCode>_-* #,##0.0_-;\-* #,##0.0_-;_-* "-"??_-;_-@_-</c:formatCode>
                <c:ptCount val="13"/>
                <c:pt idx="0">
                  <c:v>40</c:v>
                </c:pt>
                <c:pt idx="1">
                  <c:v>40</c:v>
                </c:pt>
                <c:pt idx="2">
                  <c:v>40</c:v>
                </c:pt>
                <c:pt idx="3">
                  <c:v>40</c:v>
                </c:pt>
                <c:pt idx="4">
                  <c:v>40</c:v>
                </c:pt>
                <c:pt idx="5">
                  <c:v>40</c:v>
                </c:pt>
                <c:pt idx="6">
                  <c:v>40</c:v>
                </c:pt>
                <c:pt idx="7">
                  <c:v>40</c:v>
                </c:pt>
                <c:pt idx="8">
                  <c:v>40</c:v>
                </c:pt>
                <c:pt idx="9">
                  <c:v>40</c:v>
                </c:pt>
                <c:pt idx="10">
                  <c:v>40</c:v>
                </c:pt>
                <c:pt idx="11">
                  <c:v>40</c:v>
                </c:pt>
                <c:pt idx="12">
                  <c:v>40</c:v>
                </c:pt>
              </c:numCache>
            </c:numRef>
          </c:val>
          <c:extLst>
            <c:ext xmlns:c16="http://schemas.microsoft.com/office/drawing/2014/chart" uri="{C3380CC4-5D6E-409C-BE32-E72D297353CC}">
              <c16:uniqueId val="{00000001-5FE5-4B9B-A994-1869075948C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'AT11'!$D$25</c:f>
              <c:strCache>
                <c:ptCount val="1"/>
                <c:pt idx="0">
                  <c:v>Meta - Rango</c:v>
                </c:pt>
              </c:strCache>
            </c:strRef>
          </c:tx>
          <c:spPr>
            <a:ln w="38100">
              <a:solidFill>
                <a:srgbClr val="FFD320"/>
              </a:solidFill>
              <a:prstDash val="solid"/>
            </a:ln>
          </c:spPr>
          <c:marker>
            <c:symbol val="none"/>
          </c:marker>
          <c:cat>
            <c:strRef>
              <c:f>'AT11'!$A$26:$A$38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'AT11'!$D$26:$D$38</c:f>
              <c:numCache>
                <c:formatCode>_-* #,##0.0_-;\-* #,##0.0_-;_-* "-"??_-;_-@_-</c:formatCode>
                <c:ptCount val="13"/>
                <c:pt idx="0">
                  <c:v>39.200000000000003</c:v>
                </c:pt>
                <c:pt idx="1">
                  <c:v>39.200000000000003</c:v>
                </c:pt>
                <c:pt idx="2">
                  <c:v>39.200000000000003</c:v>
                </c:pt>
                <c:pt idx="3">
                  <c:v>39.200000000000003</c:v>
                </c:pt>
                <c:pt idx="4">
                  <c:v>39.200000000000003</c:v>
                </c:pt>
                <c:pt idx="5">
                  <c:v>39.200000000000003</c:v>
                </c:pt>
                <c:pt idx="6">
                  <c:v>39.200000000000003</c:v>
                </c:pt>
                <c:pt idx="7">
                  <c:v>39.200000000000003</c:v>
                </c:pt>
                <c:pt idx="8">
                  <c:v>39.200000000000003</c:v>
                </c:pt>
                <c:pt idx="9">
                  <c:v>39.200000000000003</c:v>
                </c:pt>
                <c:pt idx="10">
                  <c:v>39.200000000000003</c:v>
                </c:pt>
                <c:pt idx="11">
                  <c:v>39.200000000000003</c:v>
                </c:pt>
                <c:pt idx="12">
                  <c:v>39.200000000000003</c:v>
                </c:pt>
              </c:numCache>
            </c:numRef>
          </c:val>
          <c:smooth val="0"/>
          <c:extLst>
            <c:ext xmlns:c16="http://schemas.microsoft.com/office/drawing/2014/chart" uri="{C3380CC4-5D6E-409C-BE32-E72D297353CC}">
              <c16:uniqueId val="{00000002-5FE5-4B9B-A994-1869075948C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'SE11'!$B$25</c:f>
              <c:strCache>
                <c:ptCount val="1"/>
                <c:pt idx="0">
                  <c:v>Datos</c:v>
                </c:pt>
              </c:strCache>
            </c:strRef>
          </c:tx>
          <c:spPr>
            <a:solidFill>
              <a:srgbClr val="004586"/>
            </a:solidFill>
            <a:ln w="25400">
              <a:noFill/>
            </a:ln>
          </c:spPr>
          <c:invertIfNegative val="0"/>
          <c:cat>
            <c:strRef>
              <c:f>'SE11'!$A$26:$A$38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'SE11'!$B$26:$B$38</c:f>
              <c:numCache>
                <c:formatCode>_-* #,##0.0_-;\-* #,##0.0_-;_-* "-"??_-;_-@_-</c:formatCode>
                <c:ptCount val="13"/>
                <c:pt idx="0">
                  <c:v>0</c:v>
                </c:pt>
                <c:pt idx="1">
                  <c:v>0</c:v>
                </c:pt>
                <c:pt idx="2">
                  <c:v>0</c:v>
                </c:pt>
                <c:pt idx="3">
                  <c:v>6</c:v>
                </c:pt>
                <c:pt idx="4">
                  <c:v>0</c:v>
                </c:pt>
                <c:pt idx="5">
                  <c:v>0</c:v>
                </c:pt>
                <c:pt idx="6">
                  <c:v>0</c:v>
                </c:pt>
                <c:pt idx="7">
                  <c:v>1</c:v>
                </c:pt>
                <c:pt idx="8">
                  <c:v>0</c:v>
                </c:pt>
                <c:pt idx="9">
                  <c:v>0</c:v>
                </c:pt>
                <c:pt idx="10">
                  <c:v>0</c:v>
                </c:pt>
                <c:pt idx="11">
                  <c:v>9</c:v>
                </c:pt>
                <c:pt idx="12">
                  <c:v>16</c:v>
                </c:pt>
              </c:numCache>
            </c:numRef>
          </c:val>
          <c:extLst>
            <c:ext xmlns:c16="http://schemas.microsoft.com/office/drawing/2014/chart" uri="{C3380CC4-5D6E-409C-BE32-E72D297353CC}">
              <c16:uniqueId val="{00000000-BDF1-4BCF-8293-CDFCFB081613}"/>
            </c:ext>
          </c:extLst>
        </c:ser>
        <c:ser>
          <c:idx val="1"/>
          <c:order val="1"/>
          <c:tx>
            <c:strRef>
              <c:f>'SE11'!$C$25</c:f>
              <c:strCache>
                <c:ptCount val="1"/>
                <c:pt idx="0">
                  <c:v>Meta Vigencia</c:v>
                </c:pt>
              </c:strCache>
            </c:strRef>
          </c:tx>
          <c:spPr>
            <a:solidFill>
              <a:srgbClr val="FF420E"/>
            </a:solidFill>
            <a:ln w="25400">
              <a:noFill/>
            </a:ln>
          </c:spPr>
          <c:invertIfNegative val="0"/>
          <c:cat>
            <c:strRef>
              <c:f>'SE11'!$A$26:$A$38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'SE11'!$C$26:$C$38</c:f>
              <c:numCache>
                <c:formatCode>_-* #,##0.0_-;\-* #,##0.0_-;_-* "-"??_-;_-@_-</c:formatCode>
                <c:ptCount val="13"/>
                <c:pt idx="0">
                  <c:v>11</c:v>
                </c:pt>
                <c:pt idx="1">
                  <c:v>11</c:v>
                </c:pt>
                <c:pt idx="2">
                  <c:v>11</c:v>
                </c:pt>
                <c:pt idx="3">
                  <c:v>11</c:v>
                </c:pt>
                <c:pt idx="4">
                  <c:v>11</c:v>
                </c:pt>
                <c:pt idx="5">
                  <c:v>11</c:v>
                </c:pt>
                <c:pt idx="6">
                  <c:v>11</c:v>
                </c:pt>
                <c:pt idx="7">
                  <c:v>11</c:v>
                </c:pt>
                <c:pt idx="8">
                  <c:v>11</c:v>
                </c:pt>
                <c:pt idx="9">
                  <c:v>11</c:v>
                </c:pt>
                <c:pt idx="10">
                  <c:v>11</c:v>
                </c:pt>
                <c:pt idx="11">
                  <c:v>11</c:v>
                </c:pt>
                <c:pt idx="12">
                  <c:v>11</c:v>
                </c:pt>
              </c:numCache>
            </c:numRef>
          </c:val>
          <c:extLst>
            <c:ext xmlns:c16="http://schemas.microsoft.com/office/drawing/2014/chart" uri="{C3380CC4-5D6E-409C-BE32-E72D297353CC}">
              <c16:uniqueId val="{00000001-BDF1-4BCF-8293-CDFCFB08161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'SE11'!$D$25</c:f>
              <c:strCache>
                <c:ptCount val="1"/>
                <c:pt idx="0">
                  <c:v>Meta - Rango</c:v>
                </c:pt>
              </c:strCache>
            </c:strRef>
          </c:tx>
          <c:spPr>
            <a:ln w="38100">
              <a:solidFill>
                <a:srgbClr val="FFD320"/>
              </a:solidFill>
              <a:prstDash val="solid"/>
            </a:ln>
          </c:spPr>
          <c:marker>
            <c:symbol val="none"/>
          </c:marker>
          <c:cat>
            <c:strRef>
              <c:f>'SE11'!$A$26:$A$38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'SE11'!$D$26:$D$38</c:f>
              <c:numCache>
                <c:formatCode>_-* #,##0.0_-;\-* #,##0.0_-;_-* "-"??_-;_-@_-</c:formatCode>
                <c:ptCount val="13"/>
                <c:pt idx="0">
                  <c:v>10.78</c:v>
                </c:pt>
                <c:pt idx="1">
                  <c:v>10.78</c:v>
                </c:pt>
                <c:pt idx="2">
                  <c:v>10.78</c:v>
                </c:pt>
                <c:pt idx="3">
                  <c:v>10.78</c:v>
                </c:pt>
                <c:pt idx="4">
                  <c:v>10.78</c:v>
                </c:pt>
                <c:pt idx="5">
                  <c:v>10.78</c:v>
                </c:pt>
                <c:pt idx="6">
                  <c:v>10.78</c:v>
                </c:pt>
                <c:pt idx="7">
                  <c:v>10.78</c:v>
                </c:pt>
                <c:pt idx="8">
                  <c:v>10.78</c:v>
                </c:pt>
                <c:pt idx="9">
                  <c:v>10.78</c:v>
                </c:pt>
                <c:pt idx="10">
                  <c:v>10.78</c:v>
                </c:pt>
                <c:pt idx="11">
                  <c:v>10.78</c:v>
                </c:pt>
                <c:pt idx="12">
                  <c:v>10.78</c:v>
                </c:pt>
              </c:numCache>
            </c:numRef>
          </c:val>
          <c:smooth val="0"/>
          <c:extLst>
            <c:ext xmlns:c16="http://schemas.microsoft.com/office/drawing/2014/chart" uri="{C3380CC4-5D6E-409C-BE32-E72D297353CC}">
              <c16:uniqueId val="{00000002-BDF1-4BCF-8293-CDFCFB08161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'DE09'!$B$25</c:f>
              <c:strCache>
                <c:ptCount val="1"/>
                <c:pt idx="0">
                  <c:v>Datos</c:v>
                </c:pt>
              </c:strCache>
            </c:strRef>
          </c:tx>
          <c:spPr>
            <a:solidFill>
              <a:srgbClr val="004586"/>
            </a:solidFill>
            <a:ln w="25400">
              <a:noFill/>
            </a:ln>
          </c:spPr>
          <c:invertIfNegative val="0"/>
          <c:cat>
            <c:strRef>
              <c:f>'DE09'!$A$26:$A$38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'DE09'!$B$26:$B$38</c:f>
              <c:numCache>
                <c:formatCode>_-* #,##0.0_-;\-* #,##0.0_-;_-* "-"??_-;_-@_-</c:formatCode>
                <c:ptCount val="13"/>
                <c:pt idx="0">
                  <c:v>0</c:v>
                </c:pt>
                <c:pt idx="1">
                  <c:v>0</c:v>
                </c:pt>
                <c:pt idx="2">
                  <c:v>0</c:v>
                </c:pt>
                <c:pt idx="3">
                  <c:v>4</c:v>
                </c:pt>
                <c:pt idx="4">
                  <c:v>0</c:v>
                </c:pt>
                <c:pt idx="5">
                  <c:v>0</c:v>
                </c:pt>
                <c:pt idx="6">
                  <c:v>0</c:v>
                </c:pt>
                <c:pt idx="7">
                  <c:v>3</c:v>
                </c:pt>
                <c:pt idx="8">
                  <c:v>0</c:v>
                </c:pt>
                <c:pt idx="9">
                  <c:v>0</c:v>
                </c:pt>
                <c:pt idx="10">
                  <c:v>0</c:v>
                </c:pt>
                <c:pt idx="11">
                  <c:v>5</c:v>
                </c:pt>
                <c:pt idx="12">
                  <c:v>12</c:v>
                </c:pt>
              </c:numCache>
            </c:numRef>
          </c:val>
          <c:extLst>
            <c:ext xmlns:c16="http://schemas.microsoft.com/office/drawing/2014/chart" uri="{C3380CC4-5D6E-409C-BE32-E72D297353CC}">
              <c16:uniqueId val="{00000000-5CA5-4237-8B91-2BFF21B87CCB}"/>
            </c:ext>
          </c:extLst>
        </c:ser>
        <c:ser>
          <c:idx val="1"/>
          <c:order val="1"/>
          <c:tx>
            <c:strRef>
              <c:f>'DE09'!$C$25</c:f>
              <c:strCache>
                <c:ptCount val="1"/>
                <c:pt idx="0">
                  <c:v>Meta Vigencia</c:v>
                </c:pt>
              </c:strCache>
            </c:strRef>
          </c:tx>
          <c:spPr>
            <a:solidFill>
              <a:srgbClr val="FF420E"/>
            </a:solidFill>
            <a:ln w="25400">
              <a:noFill/>
            </a:ln>
          </c:spPr>
          <c:invertIfNegative val="0"/>
          <c:cat>
            <c:strRef>
              <c:f>'DE09'!$A$26:$A$38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'DE09'!$C$26:$C$38</c:f>
              <c:numCache>
                <c:formatCode>_-* #,##0.0_-;\-* #,##0.0_-;_-* "-"??_-;_-@_-</c:formatCode>
                <c:ptCount val="13"/>
                <c:pt idx="0">
                  <c:v>12</c:v>
                </c:pt>
                <c:pt idx="1">
                  <c:v>12</c:v>
                </c:pt>
                <c:pt idx="2">
                  <c:v>12</c:v>
                </c:pt>
                <c:pt idx="3">
                  <c:v>12</c:v>
                </c:pt>
                <c:pt idx="4">
                  <c:v>12</c:v>
                </c:pt>
                <c:pt idx="5">
                  <c:v>12</c:v>
                </c:pt>
                <c:pt idx="6">
                  <c:v>12</c:v>
                </c:pt>
                <c:pt idx="7">
                  <c:v>12</c:v>
                </c:pt>
                <c:pt idx="8">
                  <c:v>12</c:v>
                </c:pt>
                <c:pt idx="9">
                  <c:v>12</c:v>
                </c:pt>
                <c:pt idx="10">
                  <c:v>12</c:v>
                </c:pt>
                <c:pt idx="11">
                  <c:v>12</c:v>
                </c:pt>
                <c:pt idx="12">
                  <c:v>12</c:v>
                </c:pt>
              </c:numCache>
            </c:numRef>
          </c:val>
          <c:extLst>
            <c:ext xmlns:c16="http://schemas.microsoft.com/office/drawing/2014/chart" uri="{C3380CC4-5D6E-409C-BE32-E72D297353CC}">
              <c16:uniqueId val="{00000001-5CA5-4237-8B91-2BFF21B87CC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'DE09'!$D$25</c:f>
              <c:strCache>
                <c:ptCount val="1"/>
                <c:pt idx="0">
                  <c:v>Meta - Rango</c:v>
                </c:pt>
              </c:strCache>
            </c:strRef>
          </c:tx>
          <c:spPr>
            <a:ln w="38100">
              <a:solidFill>
                <a:srgbClr val="FFD320"/>
              </a:solidFill>
              <a:prstDash val="solid"/>
            </a:ln>
          </c:spPr>
          <c:marker>
            <c:symbol val="none"/>
          </c:marker>
          <c:cat>
            <c:strRef>
              <c:f>'DE09'!$A$26:$A$38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'DE09'!$D$26:$D$38</c:f>
              <c:numCache>
                <c:formatCode>_-* #,##0.0_-;\-* #,##0.0_-;_-* "-"??_-;_-@_-</c:formatCode>
                <c:ptCount val="13"/>
                <c:pt idx="0">
                  <c:v>11.76</c:v>
                </c:pt>
                <c:pt idx="1">
                  <c:v>11.76</c:v>
                </c:pt>
                <c:pt idx="2">
                  <c:v>11.76</c:v>
                </c:pt>
                <c:pt idx="3">
                  <c:v>11.76</c:v>
                </c:pt>
                <c:pt idx="4">
                  <c:v>11.76</c:v>
                </c:pt>
                <c:pt idx="5">
                  <c:v>11.76</c:v>
                </c:pt>
                <c:pt idx="6">
                  <c:v>11.76</c:v>
                </c:pt>
                <c:pt idx="7">
                  <c:v>11.76</c:v>
                </c:pt>
                <c:pt idx="8">
                  <c:v>11.76</c:v>
                </c:pt>
                <c:pt idx="9">
                  <c:v>11.76</c:v>
                </c:pt>
                <c:pt idx="10">
                  <c:v>11.76</c:v>
                </c:pt>
                <c:pt idx="11">
                  <c:v>11.76</c:v>
                </c:pt>
                <c:pt idx="12">
                  <c:v>11.76</c:v>
                </c:pt>
              </c:numCache>
            </c:numRef>
          </c:val>
          <c:smooth val="0"/>
          <c:extLst>
            <c:ext xmlns:c16="http://schemas.microsoft.com/office/drawing/2014/chart" uri="{C3380CC4-5D6E-409C-BE32-E72D297353CC}">
              <c16:uniqueId val="{00000002-5CA5-4237-8B91-2BFF21B87CC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'SE33'!$B$25</c:f>
              <c:strCache>
                <c:ptCount val="1"/>
                <c:pt idx="0">
                  <c:v>Datos</c:v>
                </c:pt>
              </c:strCache>
            </c:strRef>
          </c:tx>
          <c:spPr>
            <a:solidFill>
              <a:srgbClr val="004586"/>
            </a:solidFill>
            <a:ln w="25400">
              <a:noFill/>
            </a:ln>
          </c:spPr>
          <c:invertIfNegative val="0"/>
          <c:cat>
            <c:strRef>
              <c:f>'SE33'!$A$26:$A$38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'SE33'!$B$26:$B$38</c:f>
              <c:numCache>
                <c:formatCode>_-* #,##0.0_-;\-* #,##0.0_-;_-* "-"??_-;_-@_-</c:formatCode>
                <c:ptCount val="13"/>
                <c:pt idx="0">
                  <c:v>0</c:v>
                </c:pt>
                <c:pt idx="1">
                  <c:v>0</c:v>
                </c:pt>
                <c:pt idx="2">
                  <c:v>8</c:v>
                </c:pt>
                <c:pt idx="3">
                  <c:v>0</c:v>
                </c:pt>
                <c:pt idx="4">
                  <c:v>0</c:v>
                </c:pt>
                <c:pt idx="5">
                  <c:v>8</c:v>
                </c:pt>
                <c:pt idx="6">
                  <c:v>0</c:v>
                </c:pt>
                <c:pt idx="7">
                  <c:v>0</c:v>
                </c:pt>
                <c:pt idx="8">
                  <c:v>5</c:v>
                </c:pt>
                <c:pt idx="9">
                  <c:v>0</c:v>
                </c:pt>
                <c:pt idx="10">
                  <c:v>0</c:v>
                </c:pt>
                <c:pt idx="11">
                  <c:v>14</c:v>
                </c:pt>
                <c:pt idx="12">
                  <c:v>35</c:v>
                </c:pt>
              </c:numCache>
            </c:numRef>
          </c:val>
          <c:extLst>
            <c:ext xmlns:c16="http://schemas.microsoft.com/office/drawing/2014/chart" uri="{C3380CC4-5D6E-409C-BE32-E72D297353CC}">
              <c16:uniqueId val="{00000000-3335-431D-B859-751D67573E4D}"/>
            </c:ext>
          </c:extLst>
        </c:ser>
        <c:ser>
          <c:idx val="1"/>
          <c:order val="1"/>
          <c:tx>
            <c:strRef>
              <c:f>'SE33'!$C$25</c:f>
              <c:strCache>
                <c:ptCount val="1"/>
                <c:pt idx="0">
                  <c:v>Meta Vigencia</c:v>
                </c:pt>
              </c:strCache>
            </c:strRef>
          </c:tx>
          <c:spPr>
            <a:solidFill>
              <a:srgbClr val="FF420E"/>
            </a:solidFill>
            <a:ln w="25400">
              <a:noFill/>
            </a:ln>
          </c:spPr>
          <c:invertIfNegative val="0"/>
          <c:cat>
            <c:strRef>
              <c:f>'SE33'!$A$26:$A$38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'SE33'!$C$26:$C$38</c:f>
              <c:numCache>
                <c:formatCode>_-* #,##0.0_-;\-* #,##0.0_-;_-* "-"??_-;_-@_-</c:formatCode>
                <c:ptCount val="13"/>
                <c:pt idx="0">
                  <c:v>32</c:v>
                </c:pt>
                <c:pt idx="1">
                  <c:v>32</c:v>
                </c:pt>
                <c:pt idx="2">
                  <c:v>32</c:v>
                </c:pt>
                <c:pt idx="3">
                  <c:v>32</c:v>
                </c:pt>
                <c:pt idx="4">
                  <c:v>32</c:v>
                </c:pt>
                <c:pt idx="5">
                  <c:v>32</c:v>
                </c:pt>
                <c:pt idx="6">
                  <c:v>32</c:v>
                </c:pt>
                <c:pt idx="7">
                  <c:v>32</c:v>
                </c:pt>
                <c:pt idx="8">
                  <c:v>32</c:v>
                </c:pt>
                <c:pt idx="9">
                  <c:v>32</c:v>
                </c:pt>
                <c:pt idx="10">
                  <c:v>32</c:v>
                </c:pt>
                <c:pt idx="11">
                  <c:v>32</c:v>
                </c:pt>
                <c:pt idx="12">
                  <c:v>32</c:v>
                </c:pt>
              </c:numCache>
            </c:numRef>
          </c:val>
          <c:extLst>
            <c:ext xmlns:c16="http://schemas.microsoft.com/office/drawing/2014/chart" uri="{C3380CC4-5D6E-409C-BE32-E72D297353CC}">
              <c16:uniqueId val="{00000001-3335-431D-B859-751D67573E4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'SE33'!$D$25</c:f>
              <c:strCache>
                <c:ptCount val="1"/>
                <c:pt idx="0">
                  <c:v>Meta - Rango</c:v>
                </c:pt>
              </c:strCache>
            </c:strRef>
          </c:tx>
          <c:spPr>
            <a:ln w="38100">
              <a:solidFill>
                <a:srgbClr val="FFD320"/>
              </a:solidFill>
              <a:prstDash val="solid"/>
            </a:ln>
          </c:spPr>
          <c:marker>
            <c:symbol val="none"/>
          </c:marker>
          <c:cat>
            <c:strRef>
              <c:f>'SE33'!$A$26:$A$38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'SE33'!$D$26:$D$38</c:f>
              <c:numCache>
                <c:formatCode>_-* #,##0.0_-;\-* #,##0.0_-;_-* "-"??_-;_-@_-</c:formatCode>
                <c:ptCount val="13"/>
                <c:pt idx="0">
                  <c:v>31.36</c:v>
                </c:pt>
                <c:pt idx="1">
                  <c:v>31.36</c:v>
                </c:pt>
                <c:pt idx="2">
                  <c:v>31.36</c:v>
                </c:pt>
                <c:pt idx="3">
                  <c:v>31.36</c:v>
                </c:pt>
                <c:pt idx="4">
                  <c:v>31.36</c:v>
                </c:pt>
                <c:pt idx="5">
                  <c:v>31.36</c:v>
                </c:pt>
                <c:pt idx="6">
                  <c:v>31.36</c:v>
                </c:pt>
                <c:pt idx="7">
                  <c:v>31.36</c:v>
                </c:pt>
                <c:pt idx="8">
                  <c:v>31.36</c:v>
                </c:pt>
                <c:pt idx="9">
                  <c:v>31.36</c:v>
                </c:pt>
                <c:pt idx="10">
                  <c:v>31.36</c:v>
                </c:pt>
                <c:pt idx="11">
                  <c:v>31.36</c:v>
                </c:pt>
                <c:pt idx="12">
                  <c:v>31.36</c:v>
                </c:pt>
              </c:numCache>
            </c:numRef>
          </c:val>
          <c:smooth val="0"/>
          <c:extLst>
            <c:ext xmlns:c16="http://schemas.microsoft.com/office/drawing/2014/chart" uri="{C3380CC4-5D6E-409C-BE32-E72D297353CC}">
              <c16:uniqueId val="{00000002-3335-431D-B859-751D67573E4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'SE34'!$B$25</c:f>
              <c:strCache>
                <c:ptCount val="1"/>
                <c:pt idx="0">
                  <c:v>Datos</c:v>
                </c:pt>
              </c:strCache>
            </c:strRef>
          </c:tx>
          <c:spPr>
            <a:solidFill>
              <a:srgbClr val="004586"/>
            </a:solidFill>
            <a:ln w="25400">
              <a:noFill/>
            </a:ln>
          </c:spPr>
          <c:invertIfNegative val="0"/>
          <c:cat>
            <c:strRef>
              <c:f>'SE34'!$A$26:$A$38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'SE34'!$B$26:$B$38</c:f>
              <c:numCache>
                <c:formatCode>_-* #,##0.0_-;\-* #,##0.0_-;_-* "-"??_-;_-@_-</c:formatCode>
                <c:ptCount val="13"/>
                <c:pt idx="0">
                  <c:v>0</c:v>
                </c:pt>
                <c:pt idx="1">
                  <c:v>0</c:v>
                </c:pt>
                <c:pt idx="2">
                  <c:v>0</c:v>
                </c:pt>
                <c:pt idx="3">
                  <c:v>14</c:v>
                </c:pt>
                <c:pt idx="4">
                  <c:v>0</c:v>
                </c:pt>
                <c:pt idx="5">
                  <c:v>0</c:v>
                </c:pt>
                <c:pt idx="6">
                  <c:v>0</c:v>
                </c:pt>
                <c:pt idx="7">
                  <c:v>41</c:v>
                </c:pt>
                <c:pt idx="8">
                  <c:v>0</c:v>
                </c:pt>
                <c:pt idx="9">
                  <c:v>0</c:v>
                </c:pt>
                <c:pt idx="10">
                  <c:v>0</c:v>
                </c:pt>
                <c:pt idx="11">
                  <c:v>24</c:v>
                </c:pt>
                <c:pt idx="12">
                  <c:v>79</c:v>
                </c:pt>
              </c:numCache>
            </c:numRef>
          </c:val>
          <c:extLst>
            <c:ext xmlns:c16="http://schemas.microsoft.com/office/drawing/2014/chart" uri="{C3380CC4-5D6E-409C-BE32-E72D297353CC}">
              <c16:uniqueId val="{00000000-762E-411B-805E-CABA5A34D6B4}"/>
            </c:ext>
          </c:extLst>
        </c:ser>
        <c:ser>
          <c:idx val="1"/>
          <c:order val="1"/>
          <c:tx>
            <c:strRef>
              <c:f>'SE34'!$C$25</c:f>
              <c:strCache>
                <c:ptCount val="1"/>
                <c:pt idx="0">
                  <c:v>Meta Vigencia</c:v>
                </c:pt>
              </c:strCache>
            </c:strRef>
          </c:tx>
          <c:spPr>
            <a:solidFill>
              <a:srgbClr val="FF420E"/>
            </a:solidFill>
            <a:ln w="25400">
              <a:noFill/>
            </a:ln>
          </c:spPr>
          <c:invertIfNegative val="0"/>
          <c:cat>
            <c:strRef>
              <c:f>'SE34'!$A$26:$A$38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'SE34'!$C$26:$C$38</c:f>
              <c:numCache>
                <c:formatCode>_-* #,##0.0_-;\-* #,##0.0_-;_-* "-"??_-;_-@_-</c:formatCode>
                <c:ptCount val="13"/>
                <c:pt idx="0">
                  <c:v>70</c:v>
                </c:pt>
                <c:pt idx="1">
                  <c:v>70</c:v>
                </c:pt>
                <c:pt idx="2">
                  <c:v>70</c:v>
                </c:pt>
                <c:pt idx="3">
                  <c:v>70</c:v>
                </c:pt>
                <c:pt idx="4">
                  <c:v>70</c:v>
                </c:pt>
                <c:pt idx="5">
                  <c:v>70</c:v>
                </c:pt>
                <c:pt idx="6">
                  <c:v>70</c:v>
                </c:pt>
                <c:pt idx="7">
                  <c:v>70</c:v>
                </c:pt>
                <c:pt idx="8">
                  <c:v>70</c:v>
                </c:pt>
                <c:pt idx="9">
                  <c:v>70</c:v>
                </c:pt>
                <c:pt idx="10">
                  <c:v>70</c:v>
                </c:pt>
                <c:pt idx="11">
                  <c:v>70</c:v>
                </c:pt>
                <c:pt idx="12">
                  <c:v>70</c:v>
                </c:pt>
              </c:numCache>
            </c:numRef>
          </c:val>
          <c:extLst>
            <c:ext xmlns:c16="http://schemas.microsoft.com/office/drawing/2014/chart" uri="{C3380CC4-5D6E-409C-BE32-E72D297353CC}">
              <c16:uniqueId val="{00000001-762E-411B-805E-CABA5A34D6B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'SE34'!$D$25</c:f>
              <c:strCache>
                <c:ptCount val="1"/>
                <c:pt idx="0">
                  <c:v>Meta - Rango</c:v>
                </c:pt>
              </c:strCache>
            </c:strRef>
          </c:tx>
          <c:spPr>
            <a:ln w="38100">
              <a:solidFill>
                <a:srgbClr val="FFD320"/>
              </a:solidFill>
              <a:prstDash val="solid"/>
            </a:ln>
          </c:spPr>
          <c:marker>
            <c:symbol val="none"/>
          </c:marker>
          <c:cat>
            <c:strRef>
              <c:f>'SE34'!$A$26:$A$38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'SE34'!$D$26:$D$38</c:f>
              <c:numCache>
                <c:formatCode>_-* #,##0.0_-;\-* #,##0.0_-;_-* "-"??_-;_-@_-</c:formatCode>
                <c:ptCount val="13"/>
                <c:pt idx="0">
                  <c:v>68.599999999999994</c:v>
                </c:pt>
                <c:pt idx="1">
                  <c:v>68.599999999999994</c:v>
                </c:pt>
                <c:pt idx="2">
                  <c:v>68.599999999999994</c:v>
                </c:pt>
                <c:pt idx="3">
                  <c:v>68.599999999999994</c:v>
                </c:pt>
                <c:pt idx="4">
                  <c:v>68.599999999999994</c:v>
                </c:pt>
                <c:pt idx="5">
                  <c:v>68.599999999999994</c:v>
                </c:pt>
                <c:pt idx="6">
                  <c:v>68.599999999999994</c:v>
                </c:pt>
                <c:pt idx="7">
                  <c:v>68.599999999999994</c:v>
                </c:pt>
                <c:pt idx="8">
                  <c:v>68.599999999999994</c:v>
                </c:pt>
                <c:pt idx="9">
                  <c:v>68.599999999999994</c:v>
                </c:pt>
                <c:pt idx="10">
                  <c:v>68.599999999999994</c:v>
                </c:pt>
                <c:pt idx="11">
                  <c:v>68.599999999999994</c:v>
                </c:pt>
                <c:pt idx="12">
                  <c:v>68.599999999999994</c:v>
                </c:pt>
              </c:numCache>
            </c:numRef>
          </c:val>
          <c:smooth val="0"/>
          <c:extLst>
            <c:ext xmlns:c16="http://schemas.microsoft.com/office/drawing/2014/chart" uri="{C3380CC4-5D6E-409C-BE32-E72D297353CC}">
              <c16:uniqueId val="{00000002-762E-411B-805E-CABA5A34D6B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'SE48'!$B$25</c:f>
              <c:strCache>
                <c:ptCount val="1"/>
                <c:pt idx="0">
                  <c:v>Datos</c:v>
                </c:pt>
              </c:strCache>
            </c:strRef>
          </c:tx>
          <c:spPr>
            <a:solidFill>
              <a:srgbClr val="004586"/>
            </a:solidFill>
            <a:ln w="25400">
              <a:noFill/>
            </a:ln>
          </c:spPr>
          <c:invertIfNegative val="0"/>
          <c:cat>
            <c:strRef>
              <c:f>'SE48'!$A$26:$A$38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'SE48'!$B$26:$B$38</c:f>
              <c:numCache>
                <c:formatCode>_-* #,##0.0_-;\-* #,##0.0_-;_-* "-"??_-;_-@_-</c:formatCode>
                <c:ptCount val="13"/>
                <c:pt idx="0">
                  <c:v>0</c:v>
                </c:pt>
                <c:pt idx="1">
                  <c:v>0</c:v>
                </c:pt>
                <c:pt idx="2">
                  <c:v>0</c:v>
                </c:pt>
                <c:pt idx="3">
                  <c:v>4</c:v>
                </c:pt>
                <c:pt idx="4">
                  <c:v>0</c:v>
                </c:pt>
                <c:pt idx="5">
                  <c:v>0</c:v>
                </c:pt>
                <c:pt idx="6">
                  <c:v>0</c:v>
                </c:pt>
                <c:pt idx="7">
                  <c:v>5</c:v>
                </c:pt>
                <c:pt idx="8">
                  <c:v>0</c:v>
                </c:pt>
                <c:pt idx="9">
                  <c:v>0</c:v>
                </c:pt>
                <c:pt idx="10">
                  <c:v>0</c:v>
                </c:pt>
                <c:pt idx="11">
                  <c:v>8</c:v>
                </c:pt>
                <c:pt idx="12">
                  <c:v>17</c:v>
                </c:pt>
              </c:numCache>
            </c:numRef>
          </c:val>
          <c:extLst>
            <c:ext xmlns:c16="http://schemas.microsoft.com/office/drawing/2014/chart" uri="{C3380CC4-5D6E-409C-BE32-E72D297353CC}">
              <c16:uniqueId val="{00000000-6A84-4103-9E12-5063E5A9FBCD}"/>
            </c:ext>
          </c:extLst>
        </c:ser>
        <c:ser>
          <c:idx val="1"/>
          <c:order val="1"/>
          <c:tx>
            <c:strRef>
              <c:f>'SE48'!$C$25</c:f>
              <c:strCache>
                <c:ptCount val="1"/>
                <c:pt idx="0">
                  <c:v>Meta Vigencia</c:v>
                </c:pt>
              </c:strCache>
            </c:strRef>
          </c:tx>
          <c:spPr>
            <a:solidFill>
              <a:srgbClr val="FF420E"/>
            </a:solidFill>
            <a:ln w="25400">
              <a:noFill/>
            </a:ln>
          </c:spPr>
          <c:invertIfNegative val="0"/>
          <c:cat>
            <c:strRef>
              <c:f>'SE48'!$A$26:$A$38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'SE48'!$C$26:$C$38</c:f>
              <c:numCache>
                <c:formatCode>_-* #,##0.0_-;\-* #,##0.0_-;_-* "-"??_-;_-@_-</c:formatCode>
                <c:ptCount val="13"/>
                <c:pt idx="0">
                  <c:v>11</c:v>
                </c:pt>
                <c:pt idx="1">
                  <c:v>11</c:v>
                </c:pt>
                <c:pt idx="2">
                  <c:v>11</c:v>
                </c:pt>
                <c:pt idx="3">
                  <c:v>11</c:v>
                </c:pt>
                <c:pt idx="4">
                  <c:v>11</c:v>
                </c:pt>
                <c:pt idx="5">
                  <c:v>11</c:v>
                </c:pt>
                <c:pt idx="6">
                  <c:v>11</c:v>
                </c:pt>
                <c:pt idx="7">
                  <c:v>11</c:v>
                </c:pt>
                <c:pt idx="8">
                  <c:v>11</c:v>
                </c:pt>
                <c:pt idx="9">
                  <c:v>11</c:v>
                </c:pt>
                <c:pt idx="10">
                  <c:v>11</c:v>
                </c:pt>
                <c:pt idx="11">
                  <c:v>11</c:v>
                </c:pt>
                <c:pt idx="12">
                  <c:v>11</c:v>
                </c:pt>
              </c:numCache>
            </c:numRef>
          </c:val>
          <c:extLst>
            <c:ext xmlns:c16="http://schemas.microsoft.com/office/drawing/2014/chart" uri="{C3380CC4-5D6E-409C-BE32-E72D297353CC}">
              <c16:uniqueId val="{00000001-6A84-4103-9E12-5063E5A9FBC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'SE48'!$D$25</c:f>
              <c:strCache>
                <c:ptCount val="1"/>
                <c:pt idx="0">
                  <c:v>Meta - Rango</c:v>
                </c:pt>
              </c:strCache>
            </c:strRef>
          </c:tx>
          <c:spPr>
            <a:ln w="38100">
              <a:solidFill>
                <a:srgbClr val="FFD320"/>
              </a:solidFill>
              <a:prstDash val="solid"/>
            </a:ln>
          </c:spPr>
          <c:marker>
            <c:symbol val="none"/>
          </c:marker>
          <c:cat>
            <c:strRef>
              <c:f>'SE48'!$A$26:$A$38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'SE48'!$D$26:$D$38</c:f>
              <c:numCache>
                <c:formatCode>_-* #,##0.0_-;\-* #,##0.0_-;_-* "-"??_-;_-@_-</c:formatCode>
                <c:ptCount val="13"/>
                <c:pt idx="0">
                  <c:v>10.78</c:v>
                </c:pt>
                <c:pt idx="1">
                  <c:v>10.78</c:v>
                </c:pt>
                <c:pt idx="2">
                  <c:v>10.78</c:v>
                </c:pt>
                <c:pt idx="3">
                  <c:v>10.78</c:v>
                </c:pt>
                <c:pt idx="4">
                  <c:v>10.78</c:v>
                </c:pt>
                <c:pt idx="5">
                  <c:v>10.78</c:v>
                </c:pt>
                <c:pt idx="6">
                  <c:v>10.78</c:v>
                </c:pt>
                <c:pt idx="7">
                  <c:v>10.78</c:v>
                </c:pt>
                <c:pt idx="8">
                  <c:v>10.78</c:v>
                </c:pt>
                <c:pt idx="9">
                  <c:v>10.78</c:v>
                </c:pt>
                <c:pt idx="10">
                  <c:v>10.78</c:v>
                </c:pt>
                <c:pt idx="11">
                  <c:v>10.78</c:v>
                </c:pt>
                <c:pt idx="12">
                  <c:v>10.78</c:v>
                </c:pt>
              </c:numCache>
            </c:numRef>
          </c:val>
          <c:smooth val="0"/>
          <c:extLst>
            <c:ext xmlns:c16="http://schemas.microsoft.com/office/drawing/2014/chart" uri="{C3380CC4-5D6E-409C-BE32-E72D297353CC}">
              <c16:uniqueId val="{00000002-6A84-4103-9E12-5063E5A9FBC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'GF02-D'!$B$25</c:f>
              <c:strCache>
                <c:ptCount val="1"/>
                <c:pt idx="0">
                  <c:v>Datos</c:v>
                </c:pt>
              </c:strCache>
            </c:strRef>
          </c:tx>
          <c:spPr>
            <a:solidFill>
              <a:srgbClr val="004586"/>
            </a:solidFill>
            <a:ln w="25400">
              <a:noFill/>
            </a:ln>
          </c:spPr>
          <c:invertIfNegative val="0"/>
          <c:cat>
            <c:strRef>
              <c:f>'GF02-D'!$A$26:$A$38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'GF02-D'!$B$26:$B$38</c:f>
              <c:numCache>
                <c:formatCode>0%</c:formatCode>
                <c:ptCount val="13"/>
                <c:pt idx="0">
                  <c:v>0</c:v>
                </c:pt>
                <c:pt idx="1">
                  <c:v>0</c:v>
                </c:pt>
                <c:pt idx="2">
                  <c:v>0.54681711428204283</c:v>
                </c:pt>
                <c:pt idx="3">
                  <c:v>0</c:v>
                </c:pt>
                <c:pt idx="4">
                  <c:v>0</c:v>
                </c:pt>
                <c:pt idx="5">
                  <c:v>0.81889011846792781</c:v>
                </c:pt>
                <c:pt idx="6">
                  <c:v>0</c:v>
                </c:pt>
                <c:pt idx="7">
                  <c:v>0</c:v>
                </c:pt>
                <c:pt idx="8">
                  <c:v>0.97314371584101844</c:v>
                </c:pt>
                <c:pt idx="9">
                  <c:v>0</c:v>
                </c:pt>
                <c:pt idx="10">
                  <c:v>0</c:v>
                </c:pt>
                <c:pt idx="11">
                  <c:v>0.99972392132503729</c:v>
                </c:pt>
                <c:pt idx="12" formatCode="0.00%">
                  <c:v>0.99972392132503729</c:v>
                </c:pt>
              </c:numCache>
            </c:numRef>
          </c:val>
          <c:extLst>
            <c:ext xmlns:c16="http://schemas.microsoft.com/office/drawing/2014/chart" uri="{C3380CC4-5D6E-409C-BE32-E72D297353CC}">
              <c16:uniqueId val="{00000000-ABA1-4EE9-95C3-43874B15D2C2}"/>
            </c:ext>
          </c:extLst>
        </c:ser>
        <c:ser>
          <c:idx val="1"/>
          <c:order val="1"/>
          <c:tx>
            <c:strRef>
              <c:f>'GF02-D'!$C$25</c:f>
              <c:strCache>
                <c:ptCount val="1"/>
                <c:pt idx="0">
                  <c:v>Meta Vigencia</c:v>
                </c:pt>
              </c:strCache>
            </c:strRef>
          </c:tx>
          <c:spPr>
            <a:solidFill>
              <a:srgbClr val="FF420E"/>
            </a:solidFill>
            <a:ln w="25400">
              <a:noFill/>
            </a:ln>
          </c:spPr>
          <c:invertIfNegative val="0"/>
          <c:cat>
            <c:strRef>
              <c:f>'GF02-D'!$A$26:$A$38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formatCode="0.0%">
                  <c:v>1</c:v>
                </c:pt>
              </c:numCache>
            </c:numRef>
          </c:val>
          <c:extLst>
            <c:ext xmlns:c16="http://schemas.microsoft.com/office/drawing/2014/chart" uri="{C3380CC4-5D6E-409C-BE32-E72D297353CC}">
              <c16:uniqueId val="{00000001-ABA1-4EE9-95C3-43874B15D2C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'GF02-D'!$D$25</c:f>
              <c:strCache>
                <c:ptCount val="1"/>
                <c:pt idx="0">
                  <c:v>Meta - Rango</c:v>
                </c:pt>
              </c:strCache>
            </c:strRef>
          </c:tx>
          <c:spPr>
            <a:ln w="38100">
              <a:solidFill>
                <a:srgbClr val="FFD320"/>
              </a:solidFill>
              <a:prstDash val="solid"/>
            </a:ln>
          </c:spPr>
          <c:marker>
            <c:symbol val="none"/>
          </c:marker>
          <c:cat>
            <c:strRef>
              <c:f>'GF02-D'!$A$26:$A$38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'GF02-D'!$D$26:$D$38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formatCode="0.0%">
                  <c:v>0.98</c:v>
                </c:pt>
              </c:numCache>
            </c:numRef>
          </c:val>
          <c:smooth val="0"/>
          <c:extLst>
            <c:ext xmlns:c16="http://schemas.microsoft.com/office/drawing/2014/chart" uri="{C3380CC4-5D6E-409C-BE32-E72D297353CC}">
              <c16:uniqueId val="{00000002-ABA1-4EE9-95C3-43874B15D2C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'SE49'!$B$25</c:f>
              <c:strCache>
                <c:ptCount val="1"/>
                <c:pt idx="0">
                  <c:v>Datos</c:v>
                </c:pt>
              </c:strCache>
            </c:strRef>
          </c:tx>
          <c:spPr>
            <a:solidFill>
              <a:srgbClr val="004586"/>
            </a:solidFill>
            <a:ln w="25400">
              <a:noFill/>
            </a:ln>
          </c:spPr>
          <c:invertIfNegative val="0"/>
          <c:cat>
            <c:strRef>
              <c:f>'SE49'!$A$26:$A$38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'SE49'!$B$26:$B$38</c:f>
              <c:numCache>
                <c:formatCode>_-* #,##0.0_-;\-* #,##0.0_-;_-* "-"??_-;_-@_-</c:formatCode>
                <c:ptCount val="13"/>
                <c:pt idx="0">
                  <c:v>0</c:v>
                </c:pt>
                <c:pt idx="1">
                  <c:v>0</c:v>
                </c:pt>
                <c:pt idx="2">
                  <c:v>24</c:v>
                </c:pt>
                <c:pt idx="3">
                  <c:v>0</c:v>
                </c:pt>
                <c:pt idx="4">
                  <c:v>0</c:v>
                </c:pt>
                <c:pt idx="5">
                  <c:v>20</c:v>
                </c:pt>
                <c:pt idx="6">
                  <c:v>0</c:v>
                </c:pt>
                <c:pt idx="7">
                  <c:v>0</c:v>
                </c:pt>
                <c:pt idx="8">
                  <c:v>21</c:v>
                </c:pt>
                <c:pt idx="9">
                  <c:v>0</c:v>
                </c:pt>
                <c:pt idx="10">
                  <c:v>0</c:v>
                </c:pt>
                <c:pt idx="11">
                  <c:v>15</c:v>
                </c:pt>
                <c:pt idx="12">
                  <c:v>80</c:v>
                </c:pt>
              </c:numCache>
            </c:numRef>
          </c:val>
          <c:extLst>
            <c:ext xmlns:c16="http://schemas.microsoft.com/office/drawing/2014/chart" uri="{C3380CC4-5D6E-409C-BE32-E72D297353CC}">
              <c16:uniqueId val="{00000000-FB71-457B-9700-D4A14E71015B}"/>
            </c:ext>
          </c:extLst>
        </c:ser>
        <c:ser>
          <c:idx val="1"/>
          <c:order val="1"/>
          <c:tx>
            <c:strRef>
              <c:f>'SE49'!$C$25</c:f>
              <c:strCache>
                <c:ptCount val="1"/>
                <c:pt idx="0">
                  <c:v>Meta Vigencia</c:v>
                </c:pt>
              </c:strCache>
            </c:strRef>
          </c:tx>
          <c:spPr>
            <a:solidFill>
              <a:srgbClr val="FF420E"/>
            </a:solidFill>
            <a:ln w="25400">
              <a:noFill/>
            </a:ln>
          </c:spPr>
          <c:invertIfNegative val="0"/>
          <c:cat>
            <c:strRef>
              <c:f>'SE49'!$A$26:$A$38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'SE49'!$C$26:$C$38</c:f>
              <c:numCache>
                <c:formatCode>_-* #,##0.0_-;\-* #,##0.0_-;_-* "-"??_-;_-@_-</c:formatCode>
                <c:ptCount val="13"/>
                <c:pt idx="0">
                  <c:v>80</c:v>
                </c:pt>
                <c:pt idx="1">
                  <c:v>80</c:v>
                </c:pt>
                <c:pt idx="2">
                  <c:v>80</c:v>
                </c:pt>
                <c:pt idx="3">
                  <c:v>80</c:v>
                </c:pt>
                <c:pt idx="4">
                  <c:v>80</c:v>
                </c:pt>
                <c:pt idx="5">
                  <c:v>80</c:v>
                </c:pt>
                <c:pt idx="6">
                  <c:v>80</c:v>
                </c:pt>
                <c:pt idx="7">
                  <c:v>80</c:v>
                </c:pt>
                <c:pt idx="8">
                  <c:v>80</c:v>
                </c:pt>
                <c:pt idx="9">
                  <c:v>80</c:v>
                </c:pt>
                <c:pt idx="10">
                  <c:v>80</c:v>
                </c:pt>
                <c:pt idx="11">
                  <c:v>80</c:v>
                </c:pt>
                <c:pt idx="12">
                  <c:v>80</c:v>
                </c:pt>
              </c:numCache>
            </c:numRef>
          </c:val>
          <c:extLst>
            <c:ext xmlns:c16="http://schemas.microsoft.com/office/drawing/2014/chart" uri="{C3380CC4-5D6E-409C-BE32-E72D297353CC}">
              <c16:uniqueId val="{00000001-FB71-457B-9700-D4A14E71015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'SE49'!$D$25</c:f>
              <c:strCache>
                <c:ptCount val="1"/>
                <c:pt idx="0">
                  <c:v>Meta - Rango</c:v>
                </c:pt>
              </c:strCache>
            </c:strRef>
          </c:tx>
          <c:spPr>
            <a:ln w="38100">
              <a:solidFill>
                <a:srgbClr val="FFD320"/>
              </a:solidFill>
              <a:prstDash val="solid"/>
            </a:ln>
          </c:spPr>
          <c:marker>
            <c:symbol val="none"/>
          </c:marker>
          <c:cat>
            <c:strRef>
              <c:f>'SE49'!$A$26:$A$38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'SE49'!$D$26:$D$38</c:f>
              <c:numCache>
                <c:formatCode>_-* #,##0.0_-;\-* #,##0.0_-;_-* "-"??_-;_-@_-</c:formatCode>
                <c:ptCount val="13"/>
                <c:pt idx="0">
                  <c:v>78.400000000000006</c:v>
                </c:pt>
                <c:pt idx="1">
                  <c:v>78.400000000000006</c:v>
                </c:pt>
                <c:pt idx="2">
                  <c:v>78.400000000000006</c:v>
                </c:pt>
                <c:pt idx="3">
                  <c:v>78.400000000000006</c:v>
                </c:pt>
                <c:pt idx="4">
                  <c:v>78.400000000000006</c:v>
                </c:pt>
                <c:pt idx="5">
                  <c:v>78.400000000000006</c:v>
                </c:pt>
                <c:pt idx="6">
                  <c:v>78.400000000000006</c:v>
                </c:pt>
                <c:pt idx="7">
                  <c:v>78.400000000000006</c:v>
                </c:pt>
                <c:pt idx="8">
                  <c:v>78.400000000000006</c:v>
                </c:pt>
                <c:pt idx="9">
                  <c:v>78.400000000000006</c:v>
                </c:pt>
                <c:pt idx="10">
                  <c:v>78.400000000000006</c:v>
                </c:pt>
                <c:pt idx="11">
                  <c:v>78.400000000000006</c:v>
                </c:pt>
                <c:pt idx="12">
                  <c:v>78.400000000000006</c:v>
                </c:pt>
              </c:numCache>
            </c:numRef>
          </c:val>
          <c:smooth val="0"/>
          <c:extLst>
            <c:ext xmlns:c16="http://schemas.microsoft.com/office/drawing/2014/chart" uri="{C3380CC4-5D6E-409C-BE32-E72D297353CC}">
              <c16:uniqueId val="{00000002-FB71-457B-9700-D4A14E71015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'SE50'!$B$25</c:f>
              <c:strCache>
                <c:ptCount val="1"/>
                <c:pt idx="0">
                  <c:v>Datos</c:v>
                </c:pt>
              </c:strCache>
            </c:strRef>
          </c:tx>
          <c:spPr>
            <a:solidFill>
              <a:srgbClr val="004586"/>
            </a:solidFill>
            <a:ln w="25400">
              <a:noFill/>
            </a:ln>
          </c:spPr>
          <c:invertIfNegative val="0"/>
          <c:cat>
            <c:strRef>
              <c:f>'SE50'!$A$26:$A$38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'SE50'!$B$26:$B$38</c:f>
              <c:numCache>
                <c:formatCode>_-* #,##0.0_-;\-* #,##0.0_-;_-* "-"??_-;_-@_-</c:formatCode>
                <c:ptCount val="13"/>
                <c:pt idx="0">
                  <c:v>0</c:v>
                </c:pt>
                <c:pt idx="1">
                  <c:v>0</c:v>
                </c:pt>
                <c:pt idx="2">
                  <c:v>3</c:v>
                </c:pt>
                <c:pt idx="3">
                  <c:v>6</c:v>
                </c:pt>
                <c:pt idx="4">
                  <c:v>4</c:v>
                </c:pt>
                <c:pt idx="5">
                  <c:v>2</c:v>
                </c:pt>
                <c:pt idx="6">
                  <c:v>9</c:v>
                </c:pt>
                <c:pt idx="7">
                  <c:v>0</c:v>
                </c:pt>
                <c:pt idx="8">
                  <c:v>0</c:v>
                </c:pt>
                <c:pt idx="9">
                  <c:v>0</c:v>
                </c:pt>
                <c:pt idx="10">
                  <c:v>17</c:v>
                </c:pt>
                <c:pt idx="11">
                  <c:v>0</c:v>
                </c:pt>
                <c:pt idx="12">
                  <c:v>41</c:v>
                </c:pt>
              </c:numCache>
            </c:numRef>
          </c:val>
          <c:extLst>
            <c:ext xmlns:c16="http://schemas.microsoft.com/office/drawing/2014/chart" uri="{C3380CC4-5D6E-409C-BE32-E72D297353CC}">
              <c16:uniqueId val="{00000000-DB96-4FBF-8BAB-2CBC01CCF49D}"/>
            </c:ext>
          </c:extLst>
        </c:ser>
        <c:ser>
          <c:idx val="1"/>
          <c:order val="1"/>
          <c:tx>
            <c:strRef>
              <c:f>'SE50'!$C$25</c:f>
              <c:strCache>
                <c:ptCount val="1"/>
                <c:pt idx="0">
                  <c:v>Meta Vigencia</c:v>
                </c:pt>
              </c:strCache>
            </c:strRef>
          </c:tx>
          <c:spPr>
            <a:solidFill>
              <a:srgbClr val="FF420E"/>
            </a:solidFill>
            <a:ln w="25400">
              <a:noFill/>
            </a:ln>
          </c:spPr>
          <c:invertIfNegative val="0"/>
          <c:cat>
            <c:strRef>
              <c:f>'SE50'!$A$26:$A$38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'SE50'!$C$26:$C$38</c:f>
              <c:numCache>
                <c:formatCode>_-* #,##0.0_-;\-* #,##0.0_-;_-* "-"??_-;_-@_-</c:formatCode>
                <c:ptCount val="13"/>
                <c:pt idx="0">
                  <c:v>33</c:v>
                </c:pt>
                <c:pt idx="1">
                  <c:v>33</c:v>
                </c:pt>
                <c:pt idx="2">
                  <c:v>33</c:v>
                </c:pt>
                <c:pt idx="3">
                  <c:v>33</c:v>
                </c:pt>
                <c:pt idx="4">
                  <c:v>33</c:v>
                </c:pt>
                <c:pt idx="5">
                  <c:v>33</c:v>
                </c:pt>
                <c:pt idx="6">
                  <c:v>33</c:v>
                </c:pt>
                <c:pt idx="7">
                  <c:v>33</c:v>
                </c:pt>
                <c:pt idx="8">
                  <c:v>33</c:v>
                </c:pt>
                <c:pt idx="9">
                  <c:v>33</c:v>
                </c:pt>
                <c:pt idx="10">
                  <c:v>33</c:v>
                </c:pt>
                <c:pt idx="11">
                  <c:v>33</c:v>
                </c:pt>
                <c:pt idx="12">
                  <c:v>33</c:v>
                </c:pt>
              </c:numCache>
            </c:numRef>
          </c:val>
          <c:extLst>
            <c:ext xmlns:c16="http://schemas.microsoft.com/office/drawing/2014/chart" uri="{C3380CC4-5D6E-409C-BE32-E72D297353CC}">
              <c16:uniqueId val="{00000001-DB96-4FBF-8BAB-2CBC01CCF49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'SE50'!$D$25</c:f>
              <c:strCache>
                <c:ptCount val="1"/>
                <c:pt idx="0">
                  <c:v>Meta - Rango</c:v>
                </c:pt>
              </c:strCache>
            </c:strRef>
          </c:tx>
          <c:spPr>
            <a:ln w="38100">
              <a:solidFill>
                <a:srgbClr val="FFD320"/>
              </a:solidFill>
              <a:prstDash val="solid"/>
            </a:ln>
          </c:spPr>
          <c:marker>
            <c:symbol val="none"/>
          </c:marker>
          <c:cat>
            <c:strRef>
              <c:f>'SE50'!$A$26:$A$38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'SE50'!$D$26:$D$38</c:f>
              <c:numCache>
                <c:formatCode>_-* #,##0.0_-;\-* #,##0.0_-;_-* "-"??_-;_-@_-</c:formatCode>
                <c:ptCount val="13"/>
                <c:pt idx="0">
                  <c:v>32.339999999999996</c:v>
                </c:pt>
                <c:pt idx="1">
                  <c:v>32.339999999999996</c:v>
                </c:pt>
                <c:pt idx="2">
                  <c:v>32.339999999999996</c:v>
                </c:pt>
                <c:pt idx="3">
                  <c:v>32.339999999999996</c:v>
                </c:pt>
                <c:pt idx="4">
                  <c:v>32.339999999999996</c:v>
                </c:pt>
                <c:pt idx="5">
                  <c:v>32.339999999999996</c:v>
                </c:pt>
                <c:pt idx="6">
                  <c:v>32.339999999999996</c:v>
                </c:pt>
                <c:pt idx="7">
                  <c:v>32.339999999999996</c:v>
                </c:pt>
                <c:pt idx="8">
                  <c:v>32.339999999999996</c:v>
                </c:pt>
                <c:pt idx="9">
                  <c:v>32.339999999999996</c:v>
                </c:pt>
                <c:pt idx="10">
                  <c:v>32.339999999999996</c:v>
                </c:pt>
                <c:pt idx="11">
                  <c:v>32.339999999999996</c:v>
                </c:pt>
                <c:pt idx="12">
                  <c:v>32.339999999999996</c:v>
                </c:pt>
              </c:numCache>
            </c:numRef>
          </c:val>
          <c:smooth val="0"/>
          <c:extLst>
            <c:ext xmlns:c16="http://schemas.microsoft.com/office/drawing/2014/chart" uri="{C3380CC4-5D6E-409C-BE32-E72D297353CC}">
              <c16:uniqueId val="{00000002-DB96-4FBF-8BAB-2CBC01CCF49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'SE31'!$B$25</c:f>
              <c:strCache>
                <c:ptCount val="1"/>
                <c:pt idx="0">
                  <c:v>Datos</c:v>
                </c:pt>
              </c:strCache>
            </c:strRef>
          </c:tx>
          <c:spPr>
            <a:solidFill>
              <a:srgbClr val="004586"/>
            </a:solidFill>
            <a:ln w="25400">
              <a:noFill/>
            </a:ln>
          </c:spPr>
          <c:invertIfNegative val="0"/>
          <c:cat>
            <c:strRef>
              <c:f>'SE31'!$A$26:$A$38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'SE31'!$B$26:$B$38</c:f>
              <c:numCache>
                <c:formatCode>0%</c:formatCode>
                <c:ptCount val="13"/>
                <c:pt idx="0">
                  <c:v>0</c:v>
                </c:pt>
                <c:pt idx="1">
                  <c:v>0</c:v>
                </c:pt>
                <c:pt idx="2">
                  <c:v>0</c:v>
                </c:pt>
                <c:pt idx="3">
                  <c:v>1</c:v>
                </c:pt>
                <c:pt idx="4">
                  <c:v>0</c:v>
                </c:pt>
                <c:pt idx="5">
                  <c:v>0</c:v>
                </c:pt>
                <c:pt idx="6">
                  <c:v>0</c:v>
                </c:pt>
                <c:pt idx="7">
                  <c:v>1</c:v>
                </c:pt>
                <c:pt idx="8">
                  <c:v>0</c:v>
                </c:pt>
                <c:pt idx="9">
                  <c:v>0</c:v>
                </c:pt>
                <c:pt idx="10">
                  <c:v>0</c:v>
                </c:pt>
                <c:pt idx="11">
                  <c:v>1</c:v>
                </c:pt>
                <c:pt idx="12">
                  <c:v>1</c:v>
                </c:pt>
              </c:numCache>
            </c:numRef>
          </c:val>
          <c:extLst>
            <c:ext xmlns:c16="http://schemas.microsoft.com/office/drawing/2014/chart" uri="{C3380CC4-5D6E-409C-BE32-E72D297353CC}">
              <c16:uniqueId val="{00000000-9618-4282-A685-8327FA99F90D}"/>
            </c:ext>
          </c:extLst>
        </c:ser>
        <c:ser>
          <c:idx val="1"/>
          <c:order val="1"/>
          <c:tx>
            <c:strRef>
              <c:f>'SE31'!$C$25</c:f>
              <c:strCache>
                <c:ptCount val="1"/>
                <c:pt idx="0">
                  <c:v>Meta Vigencia</c:v>
                </c:pt>
              </c:strCache>
            </c:strRef>
          </c:tx>
          <c:spPr>
            <a:solidFill>
              <a:srgbClr val="FF420E"/>
            </a:solidFill>
            <a:ln w="25400">
              <a:noFill/>
            </a:ln>
          </c:spPr>
          <c:invertIfNegative val="0"/>
          <c:cat>
            <c:strRef>
              <c:f>'SE31'!$A$26:$A$38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'SE31'!$C$26:$C$38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618-4282-A685-8327FA99F90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'SE31'!$D$25</c:f>
              <c:strCache>
                <c:ptCount val="1"/>
                <c:pt idx="0">
                  <c:v>Meta - Rango</c:v>
                </c:pt>
              </c:strCache>
            </c:strRef>
          </c:tx>
          <c:spPr>
            <a:ln w="38100">
              <a:solidFill>
                <a:srgbClr val="FFD320"/>
              </a:solidFill>
              <a:prstDash val="solid"/>
            </a:ln>
          </c:spPr>
          <c:marker>
            <c:symbol val="none"/>
          </c:marker>
          <c:cat>
            <c:strRef>
              <c:f>'SE31'!$A$26:$A$38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'SE31'!$D$26:$D$38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618-4282-A685-8327FA99F90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'RL18'!$B$25</c:f>
              <c:strCache>
                <c:ptCount val="1"/>
                <c:pt idx="0">
                  <c:v>Datos</c:v>
                </c:pt>
              </c:strCache>
            </c:strRef>
          </c:tx>
          <c:spPr>
            <a:solidFill>
              <a:srgbClr val="004586"/>
            </a:solidFill>
            <a:ln w="25400">
              <a:noFill/>
            </a:ln>
          </c:spPr>
          <c:invertIfNegative val="0"/>
          <c:cat>
            <c:strRef>
              <c:f>'RL18'!$A$26:$A$38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'RL18'!$B$26:$B$38</c:f>
              <c:numCache>
                <c:formatCode>0%</c:formatCode>
                <c:ptCount val="13"/>
                <c:pt idx="0">
                  <c:v>0</c:v>
                </c:pt>
                <c:pt idx="1">
                  <c:v>0</c:v>
                </c:pt>
                <c:pt idx="2">
                  <c:v>1</c:v>
                </c:pt>
                <c:pt idx="3">
                  <c:v>0</c:v>
                </c:pt>
                <c:pt idx="4">
                  <c:v>0</c:v>
                </c:pt>
                <c:pt idx="5">
                  <c:v>0</c:v>
                </c:pt>
                <c:pt idx="6">
                  <c:v>0</c:v>
                </c:pt>
                <c:pt idx="7">
                  <c:v>0</c:v>
                </c:pt>
                <c:pt idx="8">
                  <c:v>0.83333333333333337</c:v>
                </c:pt>
                <c:pt idx="9">
                  <c:v>0</c:v>
                </c:pt>
                <c:pt idx="10">
                  <c:v>0</c:v>
                </c:pt>
                <c:pt idx="11">
                  <c:v>0.70588235294117652</c:v>
                </c:pt>
                <c:pt idx="12">
                  <c:v>0.97456647398843932</c:v>
                </c:pt>
              </c:numCache>
            </c:numRef>
          </c:val>
          <c:extLst>
            <c:ext xmlns:c16="http://schemas.microsoft.com/office/drawing/2014/chart" uri="{C3380CC4-5D6E-409C-BE32-E72D297353CC}">
              <c16:uniqueId val="{00000000-76F6-41C1-BB00-126AF2969342}"/>
            </c:ext>
          </c:extLst>
        </c:ser>
        <c:ser>
          <c:idx val="1"/>
          <c:order val="1"/>
          <c:tx>
            <c:strRef>
              <c:f>'RL18'!$C$25</c:f>
              <c:strCache>
                <c:ptCount val="1"/>
                <c:pt idx="0">
                  <c:v>Meta Vigencia</c:v>
                </c:pt>
              </c:strCache>
            </c:strRef>
          </c:tx>
          <c:spPr>
            <a:solidFill>
              <a:srgbClr val="FF420E"/>
            </a:solidFill>
            <a:ln w="25400">
              <a:noFill/>
            </a:ln>
          </c:spPr>
          <c:invertIfNegative val="0"/>
          <c:cat>
            <c:strRef>
              <c:f>'RL18'!$A$26:$A$38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6F6-41C1-BB00-126AF296934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'RL18'!$D$25</c:f>
              <c:strCache>
                <c:ptCount val="1"/>
                <c:pt idx="0">
                  <c:v>Meta - Rango</c:v>
                </c:pt>
              </c:strCache>
            </c:strRef>
          </c:tx>
          <c:spPr>
            <a:ln w="38100">
              <a:solidFill>
                <a:srgbClr val="FFD320"/>
              </a:solidFill>
              <a:prstDash val="solid"/>
            </a:ln>
          </c:spPr>
          <c:marker>
            <c:symbol val="none"/>
          </c:marker>
          <c:cat>
            <c:strRef>
              <c:f>'RL18'!$A$26:$A$38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6F6-41C1-BB00-126AF296934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'RL10'!$B$25</c:f>
              <c:strCache>
                <c:ptCount val="1"/>
                <c:pt idx="0">
                  <c:v>Datos</c:v>
                </c:pt>
              </c:strCache>
            </c:strRef>
          </c:tx>
          <c:spPr>
            <a:solidFill>
              <a:srgbClr val="004586"/>
            </a:solidFill>
            <a:ln w="25400">
              <a:noFill/>
            </a:ln>
          </c:spPr>
          <c:invertIfNegative val="0"/>
          <c:cat>
            <c:strRef>
              <c:f>'RL10'!$A$26:$A$38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'RL10'!$B$26:$B$38</c:f>
              <c:numCache>
                <c:formatCode>_-* #,##0.0_-;\-* #,##0.0_-;_-* "-"??_-;_-@_-</c:formatCode>
                <c:ptCount val="13"/>
                <c:pt idx="0">
                  <c:v>0</c:v>
                </c:pt>
                <c:pt idx="1">
                  <c:v>0</c:v>
                </c:pt>
                <c:pt idx="2">
                  <c:v>79</c:v>
                </c:pt>
                <c:pt idx="3">
                  <c:v>0</c:v>
                </c:pt>
                <c:pt idx="4">
                  <c:v>0</c:v>
                </c:pt>
                <c:pt idx="5">
                  <c:v>70</c:v>
                </c:pt>
                <c:pt idx="6">
                  <c:v>0</c:v>
                </c:pt>
                <c:pt idx="7">
                  <c:v>0</c:v>
                </c:pt>
                <c:pt idx="8">
                  <c:v>91</c:v>
                </c:pt>
                <c:pt idx="9">
                  <c:v>0</c:v>
                </c:pt>
                <c:pt idx="10">
                  <c:v>0</c:v>
                </c:pt>
                <c:pt idx="11">
                  <c:v>100</c:v>
                </c:pt>
                <c:pt idx="12">
                  <c:v>340</c:v>
                </c:pt>
              </c:numCache>
            </c:numRef>
          </c:val>
          <c:extLst>
            <c:ext xmlns:c16="http://schemas.microsoft.com/office/drawing/2014/chart" uri="{C3380CC4-5D6E-409C-BE32-E72D297353CC}">
              <c16:uniqueId val="{00000000-F511-4E91-A8CF-479C6E6BAC59}"/>
            </c:ext>
          </c:extLst>
        </c:ser>
        <c:ser>
          <c:idx val="1"/>
          <c:order val="1"/>
          <c:tx>
            <c:strRef>
              <c:f>'RL10'!$C$25</c:f>
              <c:strCache>
                <c:ptCount val="1"/>
                <c:pt idx="0">
                  <c:v>Meta Vigencia</c:v>
                </c:pt>
              </c:strCache>
            </c:strRef>
          </c:tx>
          <c:spPr>
            <a:solidFill>
              <a:srgbClr val="FF420E"/>
            </a:solidFill>
            <a:ln w="25400">
              <a:noFill/>
            </a:ln>
          </c:spPr>
          <c:invertIfNegative val="0"/>
          <c:cat>
            <c:strRef>
              <c:f>'RL10'!$A$26:$A$38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'RL10'!$C$26:$C$38</c:f>
              <c:numCache>
                <c:formatCode>_-* #,##0.0_-;\-* #,##0.0_-;_-* "-"??_-;_-@_-</c:formatCode>
                <c:ptCount val="13"/>
                <c:pt idx="0">
                  <c:v>282</c:v>
                </c:pt>
                <c:pt idx="1">
                  <c:v>282</c:v>
                </c:pt>
                <c:pt idx="2">
                  <c:v>282</c:v>
                </c:pt>
                <c:pt idx="3">
                  <c:v>282</c:v>
                </c:pt>
                <c:pt idx="4">
                  <c:v>282</c:v>
                </c:pt>
                <c:pt idx="5">
                  <c:v>282</c:v>
                </c:pt>
                <c:pt idx="6">
                  <c:v>282</c:v>
                </c:pt>
                <c:pt idx="7">
                  <c:v>282</c:v>
                </c:pt>
                <c:pt idx="8">
                  <c:v>282</c:v>
                </c:pt>
                <c:pt idx="9">
                  <c:v>282</c:v>
                </c:pt>
                <c:pt idx="10">
                  <c:v>282</c:v>
                </c:pt>
                <c:pt idx="11">
                  <c:v>282</c:v>
                </c:pt>
                <c:pt idx="12">
                  <c:v>282</c:v>
                </c:pt>
              </c:numCache>
            </c:numRef>
          </c:val>
          <c:extLst>
            <c:ext xmlns:c16="http://schemas.microsoft.com/office/drawing/2014/chart" uri="{C3380CC4-5D6E-409C-BE32-E72D297353CC}">
              <c16:uniqueId val="{00000001-F511-4E91-A8CF-479C6E6BAC5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'RL10'!$D$25</c:f>
              <c:strCache>
                <c:ptCount val="1"/>
                <c:pt idx="0">
                  <c:v>Meta - Rango</c:v>
                </c:pt>
              </c:strCache>
            </c:strRef>
          </c:tx>
          <c:spPr>
            <a:ln w="38100">
              <a:solidFill>
                <a:srgbClr val="FFD320"/>
              </a:solidFill>
              <a:prstDash val="solid"/>
            </a:ln>
          </c:spPr>
          <c:marker>
            <c:symbol val="none"/>
          </c:marker>
          <c:cat>
            <c:strRef>
              <c:f>'RL10'!$A$26:$A$38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'RL10'!$D$26:$D$38</c:f>
              <c:numCache>
                <c:formatCode>_-* #,##0.0_-;\-* #,##0.0_-;_-* "-"??_-;_-@_-</c:formatCode>
                <c:ptCount val="13"/>
                <c:pt idx="0">
                  <c:v>276.36</c:v>
                </c:pt>
                <c:pt idx="1">
                  <c:v>276.36</c:v>
                </c:pt>
                <c:pt idx="2">
                  <c:v>276.36</c:v>
                </c:pt>
                <c:pt idx="3">
                  <c:v>276.36</c:v>
                </c:pt>
                <c:pt idx="4">
                  <c:v>276.36</c:v>
                </c:pt>
                <c:pt idx="5">
                  <c:v>276.36</c:v>
                </c:pt>
                <c:pt idx="6">
                  <c:v>276.36</c:v>
                </c:pt>
                <c:pt idx="7">
                  <c:v>276.36</c:v>
                </c:pt>
                <c:pt idx="8">
                  <c:v>276.36</c:v>
                </c:pt>
                <c:pt idx="9">
                  <c:v>276.36</c:v>
                </c:pt>
                <c:pt idx="10">
                  <c:v>276.36</c:v>
                </c:pt>
                <c:pt idx="11">
                  <c:v>276.36</c:v>
                </c:pt>
                <c:pt idx="12">
                  <c:v>276.36</c:v>
                </c:pt>
              </c:numCache>
            </c:numRef>
          </c:val>
          <c:smooth val="0"/>
          <c:extLst>
            <c:ext xmlns:c16="http://schemas.microsoft.com/office/drawing/2014/chart" uri="{C3380CC4-5D6E-409C-BE32-E72D297353CC}">
              <c16:uniqueId val="{00000002-F511-4E91-A8CF-479C6E6BAC5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'RL23'!$B$25</c:f>
              <c:strCache>
                <c:ptCount val="1"/>
                <c:pt idx="0">
                  <c:v>Datos</c:v>
                </c:pt>
              </c:strCache>
            </c:strRef>
          </c:tx>
          <c:spPr>
            <a:solidFill>
              <a:srgbClr val="004586"/>
            </a:solidFill>
            <a:ln w="25400">
              <a:noFill/>
            </a:ln>
          </c:spPr>
          <c:invertIfNegative val="0"/>
          <c:cat>
            <c:strRef>
              <c:f>'RL23'!$A$26:$A$38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'RL23'!$B$26:$B$38</c:f>
              <c:numCache>
                <c:formatCode>_-* #,##0.0_-;\-* #,##0.0_-;_-* "-"??_-;_-@_-</c:formatCode>
                <c:ptCount val="13"/>
                <c:pt idx="0">
                  <c:v>0</c:v>
                </c:pt>
                <c:pt idx="1">
                  <c:v>0</c:v>
                </c:pt>
                <c:pt idx="2">
                  <c:v>7</c:v>
                </c:pt>
                <c:pt idx="3">
                  <c:v>0</c:v>
                </c:pt>
                <c:pt idx="4">
                  <c:v>0</c:v>
                </c:pt>
                <c:pt idx="5">
                  <c:v>11</c:v>
                </c:pt>
                <c:pt idx="6">
                  <c:v>0</c:v>
                </c:pt>
                <c:pt idx="7">
                  <c:v>0</c:v>
                </c:pt>
                <c:pt idx="8">
                  <c:v>10</c:v>
                </c:pt>
                <c:pt idx="9">
                  <c:v>0</c:v>
                </c:pt>
                <c:pt idx="10">
                  <c:v>0</c:v>
                </c:pt>
                <c:pt idx="11">
                  <c:v>13</c:v>
                </c:pt>
                <c:pt idx="12">
                  <c:v>41</c:v>
                </c:pt>
              </c:numCache>
            </c:numRef>
          </c:val>
          <c:extLst>
            <c:ext xmlns:c16="http://schemas.microsoft.com/office/drawing/2014/chart" uri="{C3380CC4-5D6E-409C-BE32-E72D297353CC}">
              <c16:uniqueId val="{00000000-FCB6-4B6E-8843-CFAF5E8FD8E6}"/>
            </c:ext>
          </c:extLst>
        </c:ser>
        <c:ser>
          <c:idx val="1"/>
          <c:order val="1"/>
          <c:tx>
            <c:strRef>
              <c:f>'RL23'!$C$25</c:f>
              <c:strCache>
                <c:ptCount val="1"/>
                <c:pt idx="0">
                  <c:v>Meta Vigencia</c:v>
                </c:pt>
              </c:strCache>
            </c:strRef>
          </c:tx>
          <c:spPr>
            <a:solidFill>
              <a:srgbClr val="FF420E"/>
            </a:solidFill>
            <a:ln w="25400">
              <a:noFill/>
            </a:ln>
          </c:spPr>
          <c:invertIfNegative val="0"/>
          <c:cat>
            <c:strRef>
              <c:f>'RL23'!$A$26:$A$38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'RL23'!$C$26:$C$38</c:f>
              <c:numCache>
                <c:formatCode>_-* #,##0.0_-;\-* #,##0.0_-;_-* "-"??_-;_-@_-</c:formatCode>
                <c:ptCount val="13"/>
                <c:pt idx="0">
                  <c:v>30</c:v>
                </c:pt>
                <c:pt idx="1">
                  <c:v>30</c:v>
                </c:pt>
                <c:pt idx="2">
                  <c:v>30</c:v>
                </c:pt>
                <c:pt idx="3">
                  <c:v>30</c:v>
                </c:pt>
                <c:pt idx="4">
                  <c:v>30</c:v>
                </c:pt>
                <c:pt idx="5">
                  <c:v>30</c:v>
                </c:pt>
                <c:pt idx="6">
                  <c:v>30</c:v>
                </c:pt>
                <c:pt idx="7">
                  <c:v>30</c:v>
                </c:pt>
                <c:pt idx="8">
                  <c:v>30</c:v>
                </c:pt>
                <c:pt idx="9">
                  <c:v>30</c:v>
                </c:pt>
                <c:pt idx="10">
                  <c:v>30</c:v>
                </c:pt>
                <c:pt idx="11">
                  <c:v>30</c:v>
                </c:pt>
                <c:pt idx="12">
                  <c:v>30</c:v>
                </c:pt>
              </c:numCache>
            </c:numRef>
          </c:val>
          <c:extLst>
            <c:ext xmlns:c16="http://schemas.microsoft.com/office/drawing/2014/chart" uri="{C3380CC4-5D6E-409C-BE32-E72D297353CC}">
              <c16:uniqueId val="{00000001-FCB6-4B6E-8843-CFAF5E8FD8E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'RL23'!$D$25</c:f>
              <c:strCache>
                <c:ptCount val="1"/>
                <c:pt idx="0">
                  <c:v>Meta - Rango</c:v>
                </c:pt>
              </c:strCache>
            </c:strRef>
          </c:tx>
          <c:spPr>
            <a:ln w="38100">
              <a:solidFill>
                <a:srgbClr val="FFD320"/>
              </a:solidFill>
              <a:prstDash val="solid"/>
            </a:ln>
          </c:spPr>
          <c:marker>
            <c:symbol val="none"/>
          </c:marker>
          <c:cat>
            <c:strRef>
              <c:f>'RL23'!$A$26:$A$38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'RL23'!$D$26:$D$38</c:f>
              <c:numCache>
                <c:formatCode>_-* #,##0.0_-;\-* #,##0.0_-;_-* "-"??_-;_-@_-</c:formatCode>
                <c:ptCount val="13"/>
                <c:pt idx="0">
                  <c:v>29.4</c:v>
                </c:pt>
                <c:pt idx="1">
                  <c:v>29.4</c:v>
                </c:pt>
                <c:pt idx="2">
                  <c:v>29.4</c:v>
                </c:pt>
                <c:pt idx="3">
                  <c:v>29.4</c:v>
                </c:pt>
                <c:pt idx="4">
                  <c:v>29.4</c:v>
                </c:pt>
                <c:pt idx="5">
                  <c:v>29.4</c:v>
                </c:pt>
                <c:pt idx="6">
                  <c:v>29.4</c:v>
                </c:pt>
                <c:pt idx="7">
                  <c:v>29.4</c:v>
                </c:pt>
                <c:pt idx="8">
                  <c:v>29.4</c:v>
                </c:pt>
                <c:pt idx="9">
                  <c:v>29.4</c:v>
                </c:pt>
                <c:pt idx="10">
                  <c:v>29.4</c:v>
                </c:pt>
                <c:pt idx="11">
                  <c:v>29.4</c:v>
                </c:pt>
                <c:pt idx="12">
                  <c:v>29.4</c:v>
                </c:pt>
              </c:numCache>
            </c:numRef>
          </c:val>
          <c:smooth val="0"/>
          <c:extLst>
            <c:ext xmlns:c16="http://schemas.microsoft.com/office/drawing/2014/chart" uri="{C3380CC4-5D6E-409C-BE32-E72D297353CC}">
              <c16:uniqueId val="{00000002-FCB6-4B6E-8843-CFAF5E8FD8E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'AT04'!$B$25</c:f>
              <c:strCache>
                <c:ptCount val="1"/>
                <c:pt idx="0">
                  <c:v>Datos</c:v>
                </c:pt>
              </c:strCache>
            </c:strRef>
          </c:tx>
          <c:spPr>
            <a:solidFill>
              <a:srgbClr val="004586"/>
            </a:solidFill>
            <a:ln w="25400">
              <a:noFill/>
            </a:ln>
          </c:spPr>
          <c:invertIfNegative val="0"/>
          <c:cat>
            <c:strRef>
              <c:f>'AT04'!$A$26:$A$38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'AT04'!$B$26:$B$38</c:f>
              <c:numCache>
                <c:formatCode>_-* #,##0.0_-;\-* #,##0.0_-;_-* "-"??_-;_-@_-</c:formatCode>
                <c:ptCount val="13"/>
                <c:pt idx="0">
                  <c:v>0</c:v>
                </c:pt>
                <c:pt idx="1">
                  <c:v>0</c:v>
                </c:pt>
                <c:pt idx="2">
                  <c:v>33</c:v>
                </c:pt>
                <c:pt idx="3">
                  <c:v>0</c:v>
                </c:pt>
                <c:pt idx="4">
                  <c:v>0</c:v>
                </c:pt>
                <c:pt idx="5">
                  <c:v>33</c:v>
                </c:pt>
                <c:pt idx="6">
                  <c:v>0</c:v>
                </c:pt>
                <c:pt idx="7">
                  <c:v>0</c:v>
                </c:pt>
                <c:pt idx="8">
                  <c:v>26</c:v>
                </c:pt>
                <c:pt idx="9">
                  <c:v>0</c:v>
                </c:pt>
                <c:pt idx="10">
                  <c:v>0</c:v>
                </c:pt>
                <c:pt idx="11">
                  <c:v>28</c:v>
                </c:pt>
                <c:pt idx="12">
                  <c:v>120</c:v>
                </c:pt>
              </c:numCache>
            </c:numRef>
          </c:val>
          <c:extLst>
            <c:ext xmlns:c16="http://schemas.microsoft.com/office/drawing/2014/chart" uri="{C3380CC4-5D6E-409C-BE32-E72D297353CC}">
              <c16:uniqueId val="{00000000-2F8B-49B7-96A4-1625C0C18D73}"/>
            </c:ext>
          </c:extLst>
        </c:ser>
        <c:ser>
          <c:idx val="1"/>
          <c:order val="1"/>
          <c:tx>
            <c:strRef>
              <c:f>'AT04'!$C$25</c:f>
              <c:strCache>
                <c:ptCount val="1"/>
                <c:pt idx="0">
                  <c:v>Meta Vigencia</c:v>
                </c:pt>
              </c:strCache>
            </c:strRef>
          </c:tx>
          <c:spPr>
            <a:solidFill>
              <a:srgbClr val="FF420E"/>
            </a:solidFill>
            <a:ln w="25400">
              <a:noFill/>
            </a:ln>
          </c:spPr>
          <c:invertIfNegative val="0"/>
          <c:cat>
            <c:strRef>
              <c:f>'AT04'!$A$26:$A$38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'AT04'!$C$26:$C$38</c:f>
              <c:numCache>
                <c:formatCode>_-* #,##0.0_-;\-* #,##0.0_-;_-* "-"??_-;_-@_-</c:formatCode>
                <c:ptCount val="13"/>
                <c:pt idx="0">
                  <c:v>120</c:v>
                </c:pt>
                <c:pt idx="1">
                  <c:v>120</c:v>
                </c:pt>
                <c:pt idx="2">
                  <c:v>120</c:v>
                </c:pt>
                <c:pt idx="3">
                  <c:v>120</c:v>
                </c:pt>
                <c:pt idx="4">
                  <c:v>120</c:v>
                </c:pt>
                <c:pt idx="5">
                  <c:v>120</c:v>
                </c:pt>
                <c:pt idx="6">
                  <c:v>120</c:v>
                </c:pt>
                <c:pt idx="7">
                  <c:v>120</c:v>
                </c:pt>
                <c:pt idx="8">
                  <c:v>120</c:v>
                </c:pt>
                <c:pt idx="9">
                  <c:v>120</c:v>
                </c:pt>
                <c:pt idx="10">
                  <c:v>120</c:v>
                </c:pt>
                <c:pt idx="11">
                  <c:v>120</c:v>
                </c:pt>
                <c:pt idx="12">
                  <c:v>120</c:v>
                </c:pt>
              </c:numCache>
            </c:numRef>
          </c:val>
          <c:extLst>
            <c:ext xmlns:c16="http://schemas.microsoft.com/office/drawing/2014/chart" uri="{C3380CC4-5D6E-409C-BE32-E72D297353CC}">
              <c16:uniqueId val="{00000001-2F8B-49B7-96A4-1625C0C18D7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'AT04'!$D$25</c:f>
              <c:strCache>
                <c:ptCount val="1"/>
                <c:pt idx="0">
                  <c:v>Meta - Rango</c:v>
                </c:pt>
              </c:strCache>
            </c:strRef>
          </c:tx>
          <c:spPr>
            <a:ln w="38100">
              <a:solidFill>
                <a:srgbClr val="FFD320"/>
              </a:solidFill>
              <a:prstDash val="solid"/>
            </a:ln>
          </c:spPr>
          <c:marker>
            <c:symbol val="none"/>
          </c:marker>
          <c:cat>
            <c:strRef>
              <c:f>'AT04'!$A$26:$A$38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'AT04'!$D$26:$D$38</c:f>
              <c:numCache>
                <c:formatCode>_-* #,##0.0_-;\-* #,##0.0_-;_-* "-"??_-;_-@_-</c:formatCode>
                <c:ptCount val="13"/>
                <c:pt idx="0">
                  <c:v>117.6</c:v>
                </c:pt>
                <c:pt idx="1">
                  <c:v>117.6</c:v>
                </c:pt>
                <c:pt idx="2">
                  <c:v>117.6</c:v>
                </c:pt>
                <c:pt idx="3">
                  <c:v>117.6</c:v>
                </c:pt>
                <c:pt idx="4">
                  <c:v>117.6</c:v>
                </c:pt>
                <c:pt idx="5">
                  <c:v>117.6</c:v>
                </c:pt>
                <c:pt idx="6">
                  <c:v>117.6</c:v>
                </c:pt>
                <c:pt idx="7">
                  <c:v>117.6</c:v>
                </c:pt>
                <c:pt idx="8">
                  <c:v>117.6</c:v>
                </c:pt>
                <c:pt idx="9">
                  <c:v>117.6</c:v>
                </c:pt>
                <c:pt idx="10">
                  <c:v>117.6</c:v>
                </c:pt>
                <c:pt idx="11">
                  <c:v>117.6</c:v>
                </c:pt>
                <c:pt idx="12">
                  <c:v>117.6</c:v>
                </c:pt>
              </c:numCache>
            </c:numRef>
          </c:val>
          <c:smooth val="0"/>
          <c:extLst>
            <c:ext xmlns:c16="http://schemas.microsoft.com/office/drawing/2014/chart" uri="{C3380CC4-5D6E-409C-BE32-E72D297353CC}">
              <c16:uniqueId val="{00000002-2F8B-49B7-96A4-1625C0C18D7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'RL04'!$B$25</c:f>
              <c:strCache>
                <c:ptCount val="1"/>
                <c:pt idx="0">
                  <c:v>Datos</c:v>
                </c:pt>
              </c:strCache>
            </c:strRef>
          </c:tx>
          <c:spPr>
            <a:solidFill>
              <a:srgbClr val="004586"/>
            </a:solidFill>
            <a:ln w="25400">
              <a:noFill/>
            </a:ln>
          </c:spPr>
          <c:invertIfNegative val="0"/>
          <c:cat>
            <c:strRef>
              <c:f>'RL04'!$A$26:$A$38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'RL04'!$B$26:$B$38</c:f>
              <c:numCache>
                <c:formatCode>0%</c:formatCode>
                <c:ptCount val="13"/>
                <c:pt idx="0">
                  <c:v>0</c:v>
                </c:pt>
                <c:pt idx="1">
                  <c:v>0</c:v>
                </c:pt>
                <c:pt idx="2">
                  <c:v>0.86385953232920032</c:v>
                </c:pt>
                <c:pt idx="3">
                  <c:v>0</c:v>
                </c:pt>
                <c:pt idx="4">
                  <c:v>0</c:v>
                </c:pt>
                <c:pt idx="5">
                  <c:v>0.86424374398243542</c:v>
                </c:pt>
                <c:pt idx="6">
                  <c:v>0</c:v>
                </c:pt>
                <c:pt idx="7">
                  <c:v>0</c:v>
                </c:pt>
                <c:pt idx="8">
                  <c:v>0.81215208222184199</c:v>
                </c:pt>
                <c:pt idx="9">
                  <c:v>0</c:v>
                </c:pt>
                <c:pt idx="10">
                  <c:v>0</c:v>
                </c:pt>
                <c:pt idx="11">
                  <c:v>0.89333484638421956</c:v>
                </c:pt>
                <c:pt idx="12">
                  <c:v>0.8654052857865453</c:v>
                </c:pt>
              </c:numCache>
            </c:numRef>
          </c:val>
          <c:extLst>
            <c:ext xmlns:c16="http://schemas.microsoft.com/office/drawing/2014/chart" uri="{C3380CC4-5D6E-409C-BE32-E72D297353CC}">
              <c16:uniqueId val="{00000000-64AA-4587-AB79-33C08D5D1BA6}"/>
            </c:ext>
          </c:extLst>
        </c:ser>
        <c:ser>
          <c:idx val="1"/>
          <c:order val="1"/>
          <c:tx>
            <c:strRef>
              <c:f>'RL04'!$C$25</c:f>
              <c:strCache>
                <c:ptCount val="1"/>
                <c:pt idx="0">
                  <c:v>Meta Vigencia</c:v>
                </c:pt>
              </c:strCache>
            </c:strRef>
          </c:tx>
          <c:spPr>
            <a:solidFill>
              <a:srgbClr val="FF420E"/>
            </a:solidFill>
            <a:ln w="25400">
              <a:noFill/>
            </a:ln>
          </c:spPr>
          <c:invertIfNegative val="0"/>
          <c:cat>
            <c:strRef>
              <c:f>'RL04'!$A$26:$A$38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'RL04'!$C$26:$C$38</c:f>
              <c:numCache>
                <c:formatCode>0%</c:formatCode>
                <c:ptCount val="13"/>
                <c:pt idx="0">
                  <c:v>0.85</c:v>
                </c:pt>
                <c:pt idx="1">
                  <c:v>0.85</c:v>
                </c:pt>
                <c:pt idx="2">
                  <c:v>0.85</c:v>
                </c:pt>
                <c:pt idx="3">
                  <c:v>0.85</c:v>
                </c:pt>
                <c:pt idx="4">
                  <c:v>0.85</c:v>
                </c:pt>
                <c:pt idx="5">
                  <c:v>0.85</c:v>
                </c:pt>
                <c:pt idx="6">
                  <c:v>0.85</c:v>
                </c:pt>
                <c:pt idx="7">
                  <c:v>0.85</c:v>
                </c:pt>
                <c:pt idx="8">
                  <c:v>0.85</c:v>
                </c:pt>
                <c:pt idx="9">
                  <c:v>0.85</c:v>
                </c:pt>
                <c:pt idx="10">
                  <c:v>0.85</c:v>
                </c:pt>
                <c:pt idx="11">
                  <c:v>0.85</c:v>
                </c:pt>
                <c:pt idx="12">
                  <c:v>0.85</c:v>
                </c:pt>
              </c:numCache>
            </c:numRef>
          </c:val>
          <c:extLst>
            <c:ext xmlns:c16="http://schemas.microsoft.com/office/drawing/2014/chart" uri="{C3380CC4-5D6E-409C-BE32-E72D297353CC}">
              <c16:uniqueId val="{00000001-64AA-4587-AB79-33C08D5D1BA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'RL04'!$D$25</c:f>
              <c:strCache>
                <c:ptCount val="1"/>
                <c:pt idx="0">
                  <c:v>Meta - Rango</c:v>
                </c:pt>
              </c:strCache>
            </c:strRef>
          </c:tx>
          <c:spPr>
            <a:ln w="38100">
              <a:solidFill>
                <a:srgbClr val="FFD320"/>
              </a:solidFill>
              <a:prstDash val="solid"/>
            </a:ln>
          </c:spPr>
          <c:marker>
            <c:symbol val="none"/>
          </c:marker>
          <c:cat>
            <c:strRef>
              <c:f>'RL04'!$A$26:$A$38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'RL04'!$D$26:$D$38</c:f>
              <c:numCache>
                <c:formatCode>0%</c:formatCode>
                <c:ptCount val="13"/>
                <c:pt idx="0">
                  <c:v>0.83299999999999996</c:v>
                </c:pt>
                <c:pt idx="1">
                  <c:v>0.83299999999999996</c:v>
                </c:pt>
                <c:pt idx="2">
                  <c:v>0.83299999999999996</c:v>
                </c:pt>
                <c:pt idx="3">
                  <c:v>0.83299999999999996</c:v>
                </c:pt>
                <c:pt idx="4">
                  <c:v>0.83299999999999996</c:v>
                </c:pt>
                <c:pt idx="5">
                  <c:v>0.83299999999999996</c:v>
                </c:pt>
                <c:pt idx="6">
                  <c:v>0.83299999999999996</c:v>
                </c:pt>
                <c:pt idx="7">
                  <c:v>0.83299999999999996</c:v>
                </c:pt>
                <c:pt idx="8">
                  <c:v>0.83299999999999996</c:v>
                </c:pt>
                <c:pt idx="9">
                  <c:v>0.83299999999999996</c:v>
                </c:pt>
                <c:pt idx="10">
                  <c:v>0.83299999999999996</c:v>
                </c:pt>
                <c:pt idx="11">
                  <c:v>0.83299999999999996</c:v>
                </c:pt>
                <c:pt idx="12">
                  <c:v>0.83299999999999996</c:v>
                </c:pt>
              </c:numCache>
            </c:numRef>
          </c:val>
          <c:smooth val="0"/>
          <c:extLst>
            <c:ext xmlns:c16="http://schemas.microsoft.com/office/drawing/2014/chart" uri="{C3380CC4-5D6E-409C-BE32-E72D297353CC}">
              <c16:uniqueId val="{00000002-64AA-4587-AB79-33C08D5D1BA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'RL03'!$B$25</c:f>
              <c:strCache>
                <c:ptCount val="1"/>
                <c:pt idx="0">
                  <c:v>Datos</c:v>
                </c:pt>
              </c:strCache>
            </c:strRef>
          </c:tx>
          <c:spPr>
            <a:solidFill>
              <a:srgbClr val="004586"/>
            </a:solidFill>
            <a:ln w="25400">
              <a:noFill/>
            </a:ln>
          </c:spPr>
          <c:invertIfNegative val="0"/>
          <c:cat>
            <c:strRef>
              <c:f>'RL03'!$A$26:$A$38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'RL03'!$B$26:$B$38</c:f>
              <c:numCache>
                <c:formatCode>_-* #,##0.0_-;\-* #,##0.0_-;_-* "-"??_-;_-@_-</c:formatCode>
                <c:ptCount val="13"/>
                <c:pt idx="0">
                  <c:v>0</c:v>
                </c:pt>
                <c:pt idx="1">
                  <c:v>0</c:v>
                </c:pt>
                <c:pt idx="2">
                  <c:v>0</c:v>
                </c:pt>
                <c:pt idx="3">
                  <c:v>0</c:v>
                </c:pt>
                <c:pt idx="4">
                  <c:v>0</c:v>
                </c:pt>
                <c:pt idx="5">
                  <c:v>7</c:v>
                </c:pt>
                <c:pt idx="6">
                  <c:v>0</c:v>
                </c:pt>
                <c:pt idx="7">
                  <c:v>0</c:v>
                </c:pt>
                <c:pt idx="8">
                  <c:v>0</c:v>
                </c:pt>
                <c:pt idx="9">
                  <c:v>0</c:v>
                </c:pt>
                <c:pt idx="10">
                  <c:v>0</c:v>
                </c:pt>
                <c:pt idx="11">
                  <c:v>16</c:v>
                </c:pt>
                <c:pt idx="12">
                  <c:v>23</c:v>
                </c:pt>
              </c:numCache>
            </c:numRef>
          </c:val>
          <c:extLst>
            <c:ext xmlns:c16="http://schemas.microsoft.com/office/drawing/2014/chart" uri="{C3380CC4-5D6E-409C-BE32-E72D297353CC}">
              <c16:uniqueId val="{00000000-846E-4809-A62F-6A2DC9D0058D}"/>
            </c:ext>
          </c:extLst>
        </c:ser>
        <c:ser>
          <c:idx val="1"/>
          <c:order val="1"/>
          <c:tx>
            <c:strRef>
              <c:f>'RL03'!$C$25</c:f>
              <c:strCache>
                <c:ptCount val="1"/>
                <c:pt idx="0">
                  <c:v>Meta Vigencia</c:v>
                </c:pt>
              </c:strCache>
            </c:strRef>
          </c:tx>
          <c:spPr>
            <a:solidFill>
              <a:srgbClr val="FF420E"/>
            </a:solidFill>
            <a:ln w="25400">
              <a:noFill/>
            </a:ln>
          </c:spPr>
          <c:invertIfNegative val="0"/>
          <c:cat>
            <c:strRef>
              <c:f>'RL03'!$A$26:$A$38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'RL03'!$C$26:$C$38</c:f>
              <c:numCache>
                <c:formatCode>_-* #,##0.0_-;\-* #,##0.0_-;_-* "-"??_-;_-@_-</c:formatCode>
                <c:ptCount val="13"/>
                <c:pt idx="0">
                  <c:v>14</c:v>
                </c:pt>
                <c:pt idx="1">
                  <c:v>14</c:v>
                </c:pt>
                <c:pt idx="2">
                  <c:v>14</c:v>
                </c:pt>
                <c:pt idx="3">
                  <c:v>14</c:v>
                </c:pt>
                <c:pt idx="4">
                  <c:v>14</c:v>
                </c:pt>
                <c:pt idx="5">
                  <c:v>14</c:v>
                </c:pt>
                <c:pt idx="6">
                  <c:v>14</c:v>
                </c:pt>
                <c:pt idx="7">
                  <c:v>14</c:v>
                </c:pt>
                <c:pt idx="8">
                  <c:v>14</c:v>
                </c:pt>
                <c:pt idx="9">
                  <c:v>14</c:v>
                </c:pt>
                <c:pt idx="10">
                  <c:v>14</c:v>
                </c:pt>
                <c:pt idx="11">
                  <c:v>14</c:v>
                </c:pt>
                <c:pt idx="12">
                  <c:v>14</c:v>
                </c:pt>
              </c:numCache>
            </c:numRef>
          </c:val>
          <c:extLst>
            <c:ext xmlns:c16="http://schemas.microsoft.com/office/drawing/2014/chart" uri="{C3380CC4-5D6E-409C-BE32-E72D297353CC}">
              <c16:uniqueId val="{00000001-846E-4809-A62F-6A2DC9D0058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'RL03'!$D$25</c:f>
              <c:strCache>
                <c:ptCount val="1"/>
                <c:pt idx="0">
                  <c:v>Meta - Rango</c:v>
                </c:pt>
              </c:strCache>
            </c:strRef>
          </c:tx>
          <c:spPr>
            <a:ln w="38100">
              <a:solidFill>
                <a:srgbClr val="FFD320"/>
              </a:solidFill>
              <a:prstDash val="solid"/>
            </a:ln>
          </c:spPr>
          <c:marker>
            <c:symbol val="none"/>
          </c:marker>
          <c:cat>
            <c:strRef>
              <c:f>'RL03'!$A$26:$A$38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'RL03'!$D$26:$D$38</c:f>
              <c:numCache>
                <c:formatCode>_-* #,##0.0_-;\-* #,##0.0_-;_-* "-"??_-;_-@_-</c:formatCode>
                <c:ptCount val="13"/>
                <c:pt idx="0">
                  <c:v>13.719999999999999</c:v>
                </c:pt>
                <c:pt idx="1">
                  <c:v>13.719999999999999</c:v>
                </c:pt>
                <c:pt idx="2">
                  <c:v>13.719999999999999</c:v>
                </c:pt>
                <c:pt idx="3">
                  <c:v>13.719999999999999</c:v>
                </c:pt>
                <c:pt idx="4">
                  <c:v>13.719999999999999</c:v>
                </c:pt>
                <c:pt idx="5">
                  <c:v>13.719999999999999</c:v>
                </c:pt>
                <c:pt idx="6">
                  <c:v>13.719999999999999</c:v>
                </c:pt>
                <c:pt idx="7">
                  <c:v>13.719999999999999</c:v>
                </c:pt>
                <c:pt idx="8">
                  <c:v>13.719999999999999</c:v>
                </c:pt>
                <c:pt idx="9">
                  <c:v>13.719999999999999</c:v>
                </c:pt>
                <c:pt idx="10">
                  <c:v>13.719999999999999</c:v>
                </c:pt>
                <c:pt idx="11">
                  <c:v>13.719999999999999</c:v>
                </c:pt>
                <c:pt idx="12">
                  <c:v>13.719999999999999</c:v>
                </c:pt>
              </c:numCache>
            </c:numRef>
          </c:val>
          <c:smooth val="0"/>
          <c:extLst>
            <c:ext xmlns:c16="http://schemas.microsoft.com/office/drawing/2014/chart" uri="{C3380CC4-5D6E-409C-BE32-E72D297353CC}">
              <c16:uniqueId val="{00000002-846E-4809-A62F-6A2DC9D0058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'RL06'!$B$25</c:f>
              <c:strCache>
                <c:ptCount val="1"/>
                <c:pt idx="0">
                  <c:v>Datos</c:v>
                </c:pt>
              </c:strCache>
            </c:strRef>
          </c:tx>
          <c:spPr>
            <a:solidFill>
              <a:srgbClr val="004586"/>
            </a:solidFill>
            <a:ln w="25400">
              <a:noFill/>
            </a:ln>
          </c:spPr>
          <c:invertIfNegative val="0"/>
          <c:cat>
            <c:strRef>
              <c:f>'RL06'!$A$26:$A$38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B0F2-4F78-ACBF-CC4C0FC392EA}"/>
            </c:ext>
          </c:extLst>
        </c:ser>
        <c:ser>
          <c:idx val="1"/>
          <c:order val="1"/>
          <c:tx>
            <c:strRef>
              <c:f>'RL06'!$C$25</c:f>
              <c:strCache>
                <c:ptCount val="1"/>
                <c:pt idx="0">
                  <c:v>Meta Vigencia</c:v>
                </c:pt>
              </c:strCache>
            </c:strRef>
          </c:tx>
          <c:spPr>
            <a:solidFill>
              <a:srgbClr val="FF420E"/>
            </a:solidFill>
            <a:ln w="25400">
              <a:noFill/>
            </a:ln>
          </c:spPr>
          <c:invertIfNegative val="0"/>
          <c:cat>
            <c:strRef>
              <c:f>'RL06'!$A$26:$A$38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B0F2-4F78-ACBF-CC4C0FC392E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'RL06'!$D$25</c:f>
              <c:strCache>
                <c:ptCount val="1"/>
                <c:pt idx="0">
                  <c:v>Meta - Rango</c:v>
                </c:pt>
              </c:strCache>
            </c:strRef>
          </c:tx>
          <c:spPr>
            <a:ln w="38100">
              <a:solidFill>
                <a:srgbClr val="FFD320"/>
              </a:solidFill>
              <a:prstDash val="solid"/>
            </a:ln>
          </c:spPr>
          <c:marker>
            <c:symbol val="none"/>
          </c:marker>
          <c:cat>
            <c:strRef>
              <c:f>'RL06'!$A$26:$A$38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'RL06'!$D$26:$D$38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B0F2-4F78-ACBF-CC4C0FC392E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'CT25'!$B$25</c:f>
              <c:strCache>
                <c:ptCount val="1"/>
                <c:pt idx="0">
                  <c:v>Datos</c:v>
                </c:pt>
              </c:strCache>
            </c:strRef>
          </c:tx>
          <c:spPr>
            <a:solidFill>
              <a:srgbClr val="004586"/>
            </a:solidFill>
            <a:ln w="25400">
              <a:noFill/>
            </a:ln>
          </c:spPr>
          <c:invertIfNegative val="0"/>
          <c:cat>
            <c:strRef>
              <c:f>'CT25'!$A$26:$A$38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'CT25'!$B$26:$B$38</c:f>
              <c:numCache>
                <c:formatCode>0%</c:formatCode>
                <c:ptCount val="13"/>
                <c:pt idx="0">
                  <c:v>0</c:v>
                </c:pt>
                <c:pt idx="1">
                  <c:v>0</c:v>
                </c:pt>
                <c:pt idx="2">
                  <c:v>0</c:v>
                </c:pt>
                <c:pt idx="3">
                  <c:v>0</c:v>
                </c:pt>
                <c:pt idx="4">
                  <c:v>0</c:v>
                </c:pt>
                <c:pt idx="5">
                  <c:v>0.50265957446808507</c:v>
                </c:pt>
                <c:pt idx="6">
                  <c:v>0</c:v>
                </c:pt>
                <c:pt idx="7">
                  <c:v>0</c:v>
                </c:pt>
                <c:pt idx="8">
                  <c:v>0</c:v>
                </c:pt>
                <c:pt idx="9">
                  <c:v>0</c:v>
                </c:pt>
                <c:pt idx="10">
                  <c:v>0</c:v>
                </c:pt>
                <c:pt idx="11">
                  <c:v>0.64414414414414412</c:v>
                </c:pt>
                <c:pt idx="12" formatCode="0.0%">
                  <c:v>0.55518394648829428</c:v>
                </c:pt>
              </c:numCache>
            </c:numRef>
          </c:val>
          <c:extLst>
            <c:ext xmlns:c16="http://schemas.microsoft.com/office/drawing/2014/chart" uri="{C3380CC4-5D6E-409C-BE32-E72D297353CC}">
              <c16:uniqueId val="{00000000-12CD-4A2A-A5AA-E89F76CA4719}"/>
            </c:ext>
          </c:extLst>
        </c:ser>
        <c:ser>
          <c:idx val="1"/>
          <c:order val="1"/>
          <c:tx>
            <c:strRef>
              <c:f>'CT25'!$C$25</c:f>
              <c:strCache>
                <c:ptCount val="1"/>
                <c:pt idx="0">
                  <c:v>Meta Vigencia</c:v>
                </c:pt>
              </c:strCache>
            </c:strRef>
          </c:tx>
          <c:spPr>
            <a:solidFill>
              <a:srgbClr val="FF420E"/>
            </a:solidFill>
            <a:ln w="25400">
              <a:noFill/>
            </a:ln>
          </c:spPr>
          <c:invertIfNegative val="0"/>
          <c:cat>
            <c:strRef>
              <c:f>'CT25'!$A$26:$A$38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formatCode="0.0%">
                  <c:v>1</c:v>
                </c:pt>
              </c:numCache>
            </c:numRef>
          </c:val>
          <c:extLst>
            <c:ext xmlns:c16="http://schemas.microsoft.com/office/drawing/2014/chart" uri="{C3380CC4-5D6E-409C-BE32-E72D297353CC}">
              <c16:uniqueId val="{00000001-12CD-4A2A-A5AA-E89F76CA471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'CT25'!$D$25</c:f>
              <c:strCache>
                <c:ptCount val="1"/>
                <c:pt idx="0">
                  <c:v>Meta - Rango</c:v>
                </c:pt>
              </c:strCache>
            </c:strRef>
          </c:tx>
          <c:spPr>
            <a:ln w="38100">
              <a:solidFill>
                <a:srgbClr val="FFD320"/>
              </a:solidFill>
              <a:prstDash val="solid"/>
            </a:ln>
          </c:spPr>
          <c:marker>
            <c:symbol val="none"/>
          </c:marker>
          <c:cat>
            <c:strRef>
              <c:f>'CT25'!$A$26:$A$38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formatCode="0.0%">
                  <c:v>0.98</c:v>
                </c:pt>
              </c:numCache>
            </c:numRef>
          </c:val>
          <c:smooth val="0"/>
          <c:extLst>
            <c:ext xmlns:c16="http://schemas.microsoft.com/office/drawing/2014/chart" uri="{C3380CC4-5D6E-409C-BE32-E72D297353CC}">
              <c16:uniqueId val="{00000002-12CD-4A2A-A5AA-E89F76CA471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'RL24'!$B$25</c:f>
              <c:strCache>
                <c:ptCount val="1"/>
                <c:pt idx="0">
                  <c:v>Datos</c:v>
                </c:pt>
              </c:strCache>
            </c:strRef>
          </c:tx>
          <c:spPr>
            <a:solidFill>
              <a:srgbClr val="004586"/>
            </a:solidFill>
            <a:ln w="25400">
              <a:noFill/>
            </a:ln>
          </c:spPr>
          <c:invertIfNegative val="0"/>
          <c:cat>
            <c:strRef>
              <c:f>'RL24'!$A$26:$A$38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C7AC-4AD7-AE94-851CF3F37775}"/>
            </c:ext>
          </c:extLst>
        </c:ser>
        <c:ser>
          <c:idx val="1"/>
          <c:order val="1"/>
          <c:tx>
            <c:strRef>
              <c:f>'RL24'!$C$25</c:f>
              <c:strCache>
                <c:ptCount val="1"/>
                <c:pt idx="0">
                  <c:v>Meta Vigencia</c:v>
                </c:pt>
              </c:strCache>
            </c:strRef>
          </c:tx>
          <c:spPr>
            <a:solidFill>
              <a:srgbClr val="FF420E"/>
            </a:solidFill>
            <a:ln w="25400">
              <a:noFill/>
            </a:ln>
          </c:spPr>
          <c:invertIfNegative val="0"/>
          <c:cat>
            <c:strRef>
              <c:f>'RL24'!$A$26:$A$38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C7AC-4AD7-AE94-851CF3F3777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'RL24'!$D$25</c:f>
              <c:strCache>
                <c:ptCount val="1"/>
                <c:pt idx="0">
                  <c:v>Meta - Rango</c:v>
                </c:pt>
              </c:strCache>
            </c:strRef>
          </c:tx>
          <c:spPr>
            <a:ln w="38100">
              <a:solidFill>
                <a:srgbClr val="FFD320"/>
              </a:solidFill>
              <a:prstDash val="solid"/>
            </a:ln>
          </c:spPr>
          <c:marker>
            <c:symbol val="none"/>
          </c:marker>
          <c:cat>
            <c:strRef>
              <c:f>'RL24'!$A$26:$A$38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C7AC-4AD7-AE94-851CF3F3777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'SE43'!$B$25</c:f>
              <c:strCache>
                <c:ptCount val="1"/>
                <c:pt idx="0">
                  <c:v>Datos</c:v>
                </c:pt>
              </c:strCache>
            </c:strRef>
          </c:tx>
          <c:spPr>
            <a:solidFill>
              <a:srgbClr val="004586"/>
            </a:solidFill>
            <a:ln w="25400">
              <a:noFill/>
            </a:ln>
          </c:spPr>
          <c:invertIfNegative val="0"/>
          <c:cat>
            <c:strRef>
              <c:f>'SE43'!$A$26:$A$38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'SE43'!$B$26:$B$38</c:f>
              <c:numCache>
                <c:formatCode>_-* #,##0.0_-;\-* #,##0.0_-;_-* "-"??_-;_-@_-</c:formatCode>
                <c:ptCount val="13"/>
                <c:pt idx="0">
                  <c:v>0</c:v>
                </c:pt>
                <c:pt idx="1">
                  <c:v>0</c:v>
                </c:pt>
                <c:pt idx="2">
                  <c:v>0</c:v>
                </c:pt>
                <c:pt idx="3">
                  <c:v>0</c:v>
                </c:pt>
                <c:pt idx="4">
                  <c:v>0</c:v>
                </c:pt>
                <c:pt idx="5">
                  <c:v>65</c:v>
                </c:pt>
                <c:pt idx="6">
                  <c:v>0</c:v>
                </c:pt>
                <c:pt idx="7">
                  <c:v>0</c:v>
                </c:pt>
                <c:pt idx="8">
                  <c:v>0</c:v>
                </c:pt>
                <c:pt idx="9">
                  <c:v>0</c:v>
                </c:pt>
                <c:pt idx="10">
                  <c:v>32</c:v>
                </c:pt>
                <c:pt idx="11">
                  <c:v>0</c:v>
                </c:pt>
                <c:pt idx="12">
                  <c:v>97</c:v>
                </c:pt>
              </c:numCache>
            </c:numRef>
          </c:val>
          <c:extLst>
            <c:ext xmlns:c16="http://schemas.microsoft.com/office/drawing/2014/chart" uri="{C3380CC4-5D6E-409C-BE32-E72D297353CC}">
              <c16:uniqueId val="{00000000-98E1-43FA-AE55-0120C56D162D}"/>
            </c:ext>
          </c:extLst>
        </c:ser>
        <c:ser>
          <c:idx val="1"/>
          <c:order val="1"/>
          <c:tx>
            <c:strRef>
              <c:f>'SE43'!$C$25</c:f>
              <c:strCache>
                <c:ptCount val="1"/>
                <c:pt idx="0">
                  <c:v>Meta Vigencia</c:v>
                </c:pt>
              </c:strCache>
            </c:strRef>
          </c:tx>
          <c:spPr>
            <a:solidFill>
              <a:srgbClr val="FF420E"/>
            </a:solidFill>
            <a:ln w="25400">
              <a:noFill/>
            </a:ln>
          </c:spPr>
          <c:invertIfNegative val="0"/>
          <c:cat>
            <c:strRef>
              <c:f>'SE43'!$A$26:$A$38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'SE43'!$C$26:$C$38</c:f>
              <c:numCache>
                <c:formatCode>_-* #,##0.0_-;\-* #,##0.0_-;_-* "-"??_-;_-@_-</c:formatCode>
                <c:ptCount val="13"/>
                <c:pt idx="0">
                  <c:v>97</c:v>
                </c:pt>
                <c:pt idx="1">
                  <c:v>97</c:v>
                </c:pt>
                <c:pt idx="2">
                  <c:v>97</c:v>
                </c:pt>
                <c:pt idx="3">
                  <c:v>97</c:v>
                </c:pt>
                <c:pt idx="4">
                  <c:v>97</c:v>
                </c:pt>
                <c:pt idx="5">
                  <c:v>97</c:v>
                </c:pt>
                <c:pt idx="6">
                  <c:v>97</c:v>
                </c:pt>
                <c:pt idx="7">
                  <c:v>97</c:v>
                </c:pt>
                <c:pt idx="8">
                  <c:v>97</c:v>
                </c:pt>
                <c:pt idx="9">
                  <c:v>97</c:v>
                </c:pt>
                <c:pt idx="10">
                  <c:v>97</c:v>
                </c:pt>
                <c:pt idx="11">
                  <c:v>97</c:v>
                </c:pt>
                <c:pt idx="12">
                  <c:v>97</c:v>
                </c:pt>
              </c:numCache>
            </c:numRef>
          </c:val>
          <c:extLst>
            <c:ext xmlns:c16="http://schemas.microsoft.com/office/drawing/2014/chart" uri="{C3380CC4-5D6E-409C-BE32-E72D297353CC}">
              <c16:uniqueId val="{00000001-98E1-43FA-AE55-0120C56D162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'SE43'!$D$25</c:f>
              <c:strCache>
                <c:ptCount val="1"/>
                <c:pt idx="0">
                  <c:v>Meta - Rango</c:v>
                </c:pt>
              </c:strCache>
            </c:strRef>
          </c:tx>
          <c:spPr>
            <a:ln w="38100">
              <a:solidFill>
                <a:srgbClr val="FFD320"/>
              </a:solidFill>
              <a:prstDash val="solid"/>
            </a:ln>
          </c:spPr>
          <c:marker>
            <c:symbol val="none"/>
          </c:marker>
          <c:cat>
            <c:strRef>
              <c:f>'SE43'!$A$26:$A$38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'SE43'!$D$26:$D$38</c:f>
              <c:numCache>
                <c:formatCode>_-* #,##0.0_-;\-* #,##0.0_-;_-* "-"??_-;_-@_-</c:formatCode>
                <c:ptCount val="13"/>
                <c:pt idx="0">
                  <c:v>95.06</c:v>
                </c:pt>
                <c:pt idx="1">
                  <c:v>95.06</c:v>
                </c:pt>
                <c:pt idx="2">
                  <c:v>95.06</c:v>
                </c:pt>
                <c:pt idx="3">
                  <c:v>95.06</c:v>
                </c:pt>
                <c:pt idx="4">
                  <c:v>95.06</c:v>
                </c:pt>
                <c:pt idx="5">
                  <c:v>95.06</c:v>
                </c:pt>
                <c:pt idx="6">
                  <c:v>95.06</c:v>
                </c:pt>
                <c:pt idx="7">
                  <c:v>95.06</c:v>
                </c:pt>
                <c:pt idx="8">
                  <c:v>95.06</c:v>
                </c:pt>
                <c:pt idx="9">
                  <c:v>95.06</c:v>
                </c:pt>
                <c:pt idx="10">
                  <c:v>95.06</c:v>
                </c:pt>
                <c:pt idx="11">
                  <c:v>95.06</c:v>
                </c:pt>
                <c:pt idx="12">
                  <c:v>95.06</c:v>
                </c:pt>
              </c:numCache>
            </c:numRef>
          </c:val>
          <c:smooth val="0"/>
          <c:extLst>
            <c:ext xmlns:c16="http://schemas.microsoft.com/office/drawing/2014/chart" uri="{C3380CC4-5D6E-409C-BE32-E72D297353CC}">
              <c16:uniqueId val="{00000002-98E1-43FA-AE55-0120C56D162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'SE42'!$B$25</c:f>
              <c:strCache>
                <c:ptCount val="1"/>
                <c:pt idx="0">
                  <c:v>Datos</c:v>
                </c:pt>
              </c:strCache>
            </c:strRef>
          </c:tx>
          <c:spPr>
            <a:solidFill>
              <a:srgbClr val="004586"/>
            </a:solidFill>
            <a:ln w="25400">
              <a:noFill/>
            </a:ln>
          </c:spPr>
          <c:invertIfNegative val="0"/>
          <c:cat>
            <c:strRef>
              <c:f>'SE42'!$A$26:$A$38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'SE42'!$B$26:$B$38</c:f>
              <c:numCache>
                <c:formatCode>_-* #,##0.0_-;\-* #,##0.0_-;_-* "-"??_-;_-@_-</c:formatCode>
                <c:ptCount val="13"/>
                <c:pt idx="0">
                  <c:v>0</c:v>
                </c:pt>
                <c:pt idx="1">
                  <c:v>0</c:v>
                </c:pt>
                <c:pt idx="2">
                  <c:v>0</c:v>
                </c:pt>
                <c:pt idx="3">
                  <c:v>0</c:v>
                </c:pt>
                <c:pt idx="4">
                  <c:v>0</c:v>
                </c:pt>
                <c:pt idx="5">
                  <c:v>1</c:v>
                </c:pt>
                <c:pt idx="6">
                  <c:v>1</c:v>
                </c:pt>
                <c:pt idx="7">
                  <c:v>0</c:v>
                </c:pt>
                <c:pt idx="8">
                  <c:v>0</c:v>
                </c:pt>
                <c:pt idx="9">
                  <c:v>2</c:v>
                </c:pt>
                <c:pt idx="10">
                  <c:v>0</c:v>
                </c:pt>
                <c:pt idx="11">
                  <c:v>0</c:v>
                </c:pt>
                <c:pt idx="12">
                  <c:v>4</c:v>
                </c:pt>
              </c:numCache>
            </c:numRef>
          </c:val>
          <c:extLst>
            <c:ext xmlns:c16="http://schemas.microsoft.com/office/drawing/2014/chart" uri="{C3380CC4-5D6E-409C-BE32-E72D297353CC}">
              <c16:uniqueId val="{00000000-23FD-413C-8132-D0FCC0137033}"/>
            </c:ext>
          </c:extLst>
        </c:ser>
        <c:ser>
          <c:idx val="1"/>
          <c:order val="1"/>
          <c:tx>
            <c:strRef>
              <c:f>'SE42'!$C$25</c:f>
              <c:strCache>
                <c:ptCount val="1"/>
                <c:pt idx="0">
                  <c:v>Meta Vigencia</c:v>
                </c:pt>
              </c:strCache>
            </c:strRef>
          </c:tx>
          <c:spPr>
            <a:solidFill>
              <a:srgbClr val="FF420E"/>
            </a:solidFill>
            <a:ln w="25400">
              <a:noFill/>
            </a:ln>
          </c:spPr>
          <c:invertIfNegative val="0"/>
          <c:cat>
            <c:strRef>
              <c:f>'SE42'!$A$26:$A$38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'SE42'!$C$26:$C$38</c:f>
              <c:numCache>
                <c:formatCode>_-* #,##0.0_-;\-* #,##0.0_-;_-* "-"??_-;_-@_-</c:formatCode>
                <c:ptCount val="13"/>
                <c:pt idx="0">
                  <c:v>5</c:v>
                </c:pt>
                <c:pt idx="1">
                  <c:v>5</c:v>
                </c:pt>
                <c:pt idx="2">
                  <c:v>5</c:v>
                </c:pt>
                <c:pt idx="3">
                  <c:v>5</c:v>
                </c:pt>
                <c:pt idx="4">
                  <c:v>5</c:v>
                </c:pt>
                <c:pt idx="5">
                  <c:v>5</c:v>
                </c:pt>
                <c:pt idx="6">
                  <c:v>5</c:v>
                </c:pt>
                <c:pt idx="7">
                  <c:v>5</c:v>
                </c:pt>
                <c:pt idx="8">
                  <c:v>5</c:v>
                </c:pt>
                <c:pt idx="9">
                  <c:v>5</c:v>
                </c:pt>
                <c:pt idx="10">
                  <c:v>5</c:v>
                </c:pt>
                <c:pt idx="11">
                  <c:v>5</c:v>
                </c:pt>
                <c:pt idx="12">
                  <c:v>5</c:v>
                </c:pt>
              </c:numCache>
            </c:numRef>
          </c:val>
          <c:extLst>
            <c:ext xmlns:c16="http://schemas.microsoft.com/office/drawing/2014/chart" uri="{C3380CC4-5D6E-409C-BE32-E72D297353CC}">
              <c16:uniqueId val="{00000001-23FD-413C-8132-D0FCC013703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'SE42'!$D$25</c:f>
              <c:strCache>
                <c:ptCount val="1"/>
                <c:pt idx="0">
                  <c:v>Meta - Rango</c:v>
                </c:pt>
              </c:strCache>
            </c:strRef>
          </c:tx>
          <c:spPr>
            <a:ln w="38100">
              <a:solidFill>
                <a:srgbClr val="FFD320"/>
              </a:solidFill>
              <a:prstDash val="solid"/>
            </a:ln>
          </c:spPr>
          <c:marker>
            <c:symbol val="none"/>
          </c:marker>
          <c:cat>
            <c:strRef>
              <c:f>'SE42'!$A$26:$A$38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'SE42'!$D$26:$D$38</c:f>
              <c:numCache>
                <c:formatCode>_-* #,##0.0_-;\-* #,##0.0_-;_-* "-"??_-;_-@_-</c:formatCode>
                <c:ptCount val="13"/>
                <c:pt idx="0">
                  <c:v>4.9000000000000004</c:v>
                </c:pt>
                <c:pt idx="1">
                  <c:v>4.9000000000000004</c:v>
                </c:pt>
                <c:pt idx="2">
                  <c:v>4.9000000000000004</c:v>
                </c:pt>
                <c:pt idx="3">
                  <c:v>4.9000000000000004</c:v>
                </c:pt>
                <c:pt idx="4">
                  <c:v>4.9000000000000004</c:v>
                </c:pt>
                <c:pt idx="5">
                  <c:v>4.9000000000000004</c:v>
                </c:pt>
                <c:pt idx="6">
                  <c:v>4.9000000000000004</c:v>
                </c:pt>
                <c:pt idx="7">
                  <c:v>4.9000000000000004</c:v>
                </c:pt>
                <c:pt idx="8">
                  <c:v>4.9000000000000004</c:v>
                </c:pt>
                <c:pt idx="9">
                  <c:v>4.9000000000000004</c:v>
                </c:pt>
                <c:pt idx="10">
                  <c:v>4.9000000000000004</c:v>
                </c:pt>
                <c:pt idx="11">
                  <c:v>4.9000000000000004</c:v>
                </c:pt>
                <c:pt idx="12">
                  <c:v>4.9000000000000004</c:v>
                </c:pt>
              </c:numCache>
            </c:numRef>
          </c:val>
          <c:smooth val="0"/>
          <c:extLst>
            <c:ext xmlns:c16="http://schemas.microsoft.com/office/drawing/2014/chart" uri="{C3380CC4-5D6E-409C-BE32-E72D297353CC}">
              <c16:uniqueId val="{00000002-23FD-413C-8132-D0FCC013703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'RL19'!$B$25</c:f>
              <c:strCache>
                <c:ptCount val="1"/>
                <c:pt idx="0">
                  <c:v>Datos</c:v>
                </c:pt>
              </c:strCache>
            </c:strRef>
          </c:tx>
          <c:spPr>
            <a:solidFill>
              <a:srgbClr val="004586"/>
            </a:solidFill>
            <a:ln w="25400">
              <a:noFill/>
            </a:ln>
          </c:spPr>
          <c:invertIfNegative val="0"/>
          <c:cat>
            <c:strRef>
              <c:f>'RL19'!$A$26:$A$38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'RL19'!$B$26:$B$38</c:f>
              <c:numCache>
                <c:formatCode>0%</c:formatCode>
                <c:ptCount val="13"/>
                <c:pt idx="0">
                  <c:v>0</c:v>
                </c:pt>
                <c:pt idx="1">
                  <c:v>0</c:v>
                </c:pt>
                <c:pt idx="2">
                  <c:v>0</c:v>
                </c:pt>
                <c:pt idx="3">
                  <c:v>0.90097932535364522</c:v>
                </c:pt>
                <c:pt idx="4">
                  <c:v>0</c:v>
                </c:pt>
                <c:pt idx="5">
                  <c:v>0</c:v>
                </c:pt>
                <c:pt idx="6">
                  <c:v>0</c:v>
                </c:pt>
                <c:pt idx="7">
                  <c:v>0.76449275362318836</c:v>
                </c:pt>
                <c:pt idx="8">
                  <c:v>0</c:v>
                </c:pt>
                <c:pt idx="9">
                  <c:v>0</c:v>
                </c:pt>
                <c:pt idx="10">
                  <c:v>0</c:v>
                </c:pt>
                <c:pt idx="11">
                  <c:v>0.79534883720930227</c:v>
                </c:pt>
                <c:pt idx="12">
                  <c:v>0.84347826086956523</c:v>
                </c:pt>
              </c:numCache>
            </c:numRef>
          </c:val>
          <c:extLst>
            <c:ext xmlns:c16="http://schemas.microsoft.com/office/drawing/2014/chart" uri="{C3380CC4-5D6E-409C-BE32-E72D297353CC}">
              <c16:uniqueId val="{00000000-6C64-4201-BD20-C97AC2B054BF}"/>
            </c:ext>
          </c:extLst>
        </c:ser>
        <c:ser>
          <c:idx val="1"/>
          <c:order val="1"/>
          <c:tx>
            <c:strRef>
              <c:f>'RL19'!$C$25</c:f>
              <c:strCache>
                <c:ptCount val="1"/>
                <c:pt idx="0">
                  <c:v>Meta Vigencia</c:v>
                </c:pt>
              </c:strCache>
            </c:strRef>
          </c:tx>
          <c:spPr>
            <a:solidFill>
              <a:srgbClr val="FF420E"/>
            </a:solidFill>
            <a:ln w="25400">
              <a:noFill/>
            </a:ln>
          </c:spPr>
          <c:invertIfNegative val="0"/>
          <c:cat>
            <c:strRef>
              <c:f>'RL19'!$A$26:$A$38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'RL19'!$C$26:$C$38</c:f>
              <c:numCache>
                <c:formatCode>0%</c:formatCode>
                <c:ptCount val="13"/>
                <c:pt idx="0">
                  <c:v>0.96</c:v>
                </c:pt>
                <c:pt idx="1">
                  <c:v>0.96</c:v>
                </c:pt>
                <c:pt idx="2">
                  <c:v>0.96</c:v>
                </c:pt>
                <c:pt idx="3">
                  <c:v>0.96</c:v>
                </c:pt>
                <c:pt idx="4">
                  <c:v>0.96</c:v>
                </c:pt>
                <c:pt idx="5">
                  <c:v>0.96</c:v>
                </c:pt>
                <c:pt idx="6">
                  <c:v>0.96</c:v>
                </c:pt>
                <c:pt idx="7">
                  <c:v>0.96</c:v>
                </c:pt>
                <c:pt idx="8">
                  <c:v>0.96</c:v>
                </c:pt>
                <c:pt idx="9">
                  <c:v>0.96</c:v>
                </c:pt>
                <c:pt idx="10">
                  <c:v>0.96</c:v>
                </c:pt>
                <c:pt idx="11">
                  <c:v>0.96</c:v>
                </c:pt>
                <c:pt idx="12">
                  <c:v>0.96</c:v>
                </c:pt>
              </c:numCache>
            </c:numRef>
          </c:val>
          <c:extLst>
            <c:ext xmlns:c16="http://schemas.microsoft.com/office/drawing/2014/chart" uri="{C3380CC4-5D6E-409C-BE32-E72D297353CC}">
              <c16:uniqueId val="{00000001-6C64-4201-BD20-C97AC2B054B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'RL19'!$D$25</c:f>
              <c:strCache>
                <c:ptCount val="1"/>
                <c:pt idx="0">
                  <c:v>Meta - Rango</c:v>
                </c:pt>
              </c:strCache>
            </c:strRef>
          </c:tx>
          <c:spPr>
            <a:ln w="38100">
              <a:solidFill>
                <a:srgbClr val="FFD320"/>
              </a:solidFill>
              <a:prstDash val="solid"/>
            </a:ln>
          </c:spPr>
          <c:marker>
            <c:symbol val="none"/>
          </c:marker>
          <c:cat>
            <c:strRef>
              <c:f>'RL19'!$A$26:$A$38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'RL19'!$D$26:$D$38</c:f>
              <c:numCache>
                <c:formatCode>0%</c:formatCode>
                <c:ptCount val="13"/>
                <c:pt idx="0">
                  <c:v>0.94079999999999997</c:v>
                </c:pt>
                <c:pt idx="1">
                  <c:v>0.94079999999999997</c:v>
                </c:pt>
                <c:pt idx="2">
                  <c:v>0.94079999999999997</c:v>
                </c:pt>
                <c:pt idx="3">
                  <c:v>0.94079999999999997</c:v>
                </c:pt>
                <c:pt idx="4">
                  <c:v>0.94079999999999997</c:v>
                </c:pt>
                <c:pt idx="5">
                  <c:v>0.94079999999999997</c:v>
                </c:pt>
                <c:pt idx="6">
                  <c:v>0.94079999999999997</c:v>
                </c:pt>
                <c:pt idx="7">
                  <c:v>0.94079999999999997</c:v>
                </c:pt>
                <c:pt idx="8">
                  <c:v>0.94079999999999997</c:v>
                </c:pt>
                <c:pt idx="9">
                  <c:v>0.94079999999999997</c:v>
                </c:pt>
                <c:pt idx="10">
                  <c:v>0.94079999999999997</c:v>
                </c:pt>
                <c:pt idx="11">
                  <c:v>0.94079999999999997</c:v>
                </c:pt>
                <c:pt idx="12">
                  <c:v>0.94079999999999997</c:v>
                </c:pt>
              </c:numCache>
            </c:numRef>
          </c:val>
          <c:smooth val="0"/>
          <c:extLst>
            <c:ext xmlns:c16="http://schemas.microsoft.com/office/drawing/2014/chart" uri="{C3380CC4-5D6E-409C-BE32-E72D297353CC}">
              <c16:uniqueId val="{00000002-6C64-4201-BD20-C97AC2B054B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'RL20'!$B$25</c:f>
              <c:strCache>
                <c:ptCount val="1"/>
                <c:pt idx="0">
                  <c:v>Datos</c:v>
                </c:pt>
              </c:strCache>
            </c:strRef>
          </c:tx>
          <c:spPr>
            <a:solidFill>
              <a:srgbClr val="004586"/>
            </a:solidFill>
            <a:ln w="25400">
              <a:noFill/>
            </a:ln>
          </c:spPr>
          <c:invertIfNegative val="0"/>
          <c:cat>
            <c:strRef>
              <c:f>'RL20'!$A$26:$A$38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'RL20'!$B$26:$B$38</c:f>
              <c:numCache>
                <c:formatCode>0%</c:formatCode>
                <c:ptCount val="13"/>
                <c:pt idx="0">
                  <c:v>0</c:v>
                </c:pt>
                <c:pt idx="1">
                  <c:v>0</c:v>
                </c:pt>
                <c:pt idx="2">
                  <c:v>0</c:v>
                </c:pt>
                <c:pt idx="3">
                  <c:v>0.96226415094339623</c:v>
                </c:pt>
                <c:pt idx="4">
                  <c:v>0</c:v>
                </c:pt>
                <c:pt idx="5">
                  <c:v>0</c:v>
                </c:pt>
                <c:pt idx="6">
                  <c:v>0</c:v>
                </c:pt>
                <c:pt idx="7">
                  <c:v>0.77040816326530615</c:v>
                </c:pt>
                <c:pt idx="8">
                  <c:v>0</c:v>
                </c:pt>
                <c:pt idx="9">
                  <c:v>0</c:v>
                </c:pt>
                <c:pt idx="10">
                  <c:v>0</c:v>
                </c:pt>
                <c:pt idx="11">
                  <c:v>0.90476190476190477</c:v>
                </c:pt>
                <c:pt idx="12">
                  <c:v>0.85747663551401865</c:v>
                </c:pt>
              </c:numCache>
            </c:numRef>
          </c:val>
          <c:extLst>
            <c:ext xmlns:c16="http://schemas.microsoft.com/office/drawing/2014/chart" uri="{C3380CC4-5D6E-409C-BE32-E72D297353CC}">
              <c16:uniqueId val="{00000000-640F-49BE-845C-76142F7345E5}"/>
            </c:ext>
          </c:extLst>
        </c:ser>
        <c:ser>
          <c:idx val="1"/>
          <c:order val="1"/>
          <c:tx>
            <c:strRef>
              <c:f>'RL20'!$C$25</c:f>
              <c:strCache>
                <c:ptCount val="1"/>
                <c:pt idx="0">
                  <c:v>Meta Vigencia</c:v>
                </c:pt>
              </c:strCache>
            </c:strRef>
          </c:tx>
          <c:spPr>
            <a:solidFill>
              <a:srgbClr val="FF420E"/>
            </a:solidFill>
            <a:ln w="25400">
              <a:noFill/>
            </a:ln>
          </c:spPr>
          <c:invertIfNegative val="0"/>
          <c:cat>
            <c:strRef>
              <c:f>'RL20'!$A$26:$A$38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'RL20'!$C$26:$C$38</c:f>
              <c:numCache>
                <c:formatCode>0%</c:formatCode>
                <c:ptCount val="13"/>
                <c:pt idx="0">
                  <c:v>0.96</c:v>
                </c:pt>
                <c:pt idx="1">
                  <c:v>0.96</c:v>
                </c:pt>
                <c:pt idx="2">
                  <c:v>0.96</c:v>
                </c:pt>
                <c:pt idx="3">
                  <c:v>0.96</c:v>
                </c:pt>
                <c:pt idx="4">
                  <c:v>0.96</c:v>
                </c:pt>
                <c:pt idx="5">
                  <c:v>0.96</c:v>
                </c:pt>
                <c:pt idx="6">
                  <c:v>0.96</c:v>
                </c:pt>
                <c:pt idx="7">
                  <c:v>0.96</c:v>
                </c:pt>
                <c:pt idx="8">
                  <c:v>0.96</c:v>
                </c:pt>
                <c:pt idx="9">
                  <c:v>0.96</c:v>
                </c:pt>
                <c:pt idx="10">
                  <c:v>0.96</c:v>
                </c:pt>
                <c:pt idx="11">
                  <c:v>0.96</c:v>
                </c:pt>
                <c:pt idx="12">
                  <c:v>0.96</c:v>
                </c:pt>
              </c:numCache>
            </c:numRef>
          </c:val>
          <c:extLst>
            <c:ext xmlns:c16="http://schemas.microsoft.com/office/drawing/2014/chart" uri="{C3380CC4-5D6E-409C-BE32-E72D297353CC}">
              <c16:uniqueId val="{00000001-640F-49BE-845C-76142F7345E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'RL20'!$D$25</c:f>
              <c:strCache>
                <c:ptCount val="1"/>
                <c:pt idx="0">
                  <c:v>Meta - Rango</c:v>
                </c:pt>
              </c:strCache>
            </c:strRef>
          </c:tx>
          <c:spPr>
            <a:ln w="38100">
              <a:solidFill>
                <a:srgbClr val="FFD320"/>
              </a:solidFill>
              <a:prstDash val="solid"/>
            </a:ln>
          </c:spPr>
          <c:marker>
            <c:symbol val="none"/>
          </c:marker>
          <c:cat>
            <c:strRef>
              <c:f>'RL20'!$A$26:$A$38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'RL20'!$D$26:$D$38</c:f>
              <c:numCache>
                <c:formatCode>0%</c:formatCode>
                <c:ptCount val="13"/>
                <c:pt idx="0">
                  <c:v>0.94079999999999997</c:v>
                </c:pt>
                <c:pt idx="1">
                  <c:v>0.94079999999999997</c:v>
                </c:pt>
                <c:pt idx="2">
                  <c:v>0.94079999999999997</c:v>
                </c:pt>
                <c:pt idx="3">
                  <c:v>0.94079999999999997</c:v>
                </c:pt>
                <c:pt idx="4">
                  <c:v>0.94079999999999997</c:v>
                </c:pt>
                <c:pt idx="5">
                  <c:v>0.94079999999999997</c:v>
                </c:pt>
                <c:pt idx="6">
                  <c:v>0.94079999999999997</c:v>
                </c:pt>
                <c:pt idx="7">
                  <c:v>0.94079999999999997</c:v>
                </c:pt>
                <c:pt idx="8">
                  <c:v>0.94079999999999997</c:v>
                </c:pt>
                <c:pt idx="9">
                  <c:v>0.94079999999999997</c:v>
                </c:pt>
                <c:pt idx="10">
                  <c:v>0.94079999999999997</c:v>
                </c:pt>
                <c:pt idx="11">
                  <c:v>0.94079999999999997</c:v>
                </c:pt>
                <c:pt idx="12">
                  <c:v>0.94079999999999997</c:v>
                </c:pt>
              </c:numCache>
            </c:numRef>
          </c:val>
          <c:smooth val="0"/>
          <c:extLst>
            <c:ext xmlns:c16="http://schemas.microsoft.com/office/drawing/2014/chart" uri="{C3380CC4-5D6E-409C-BE32-E72D297353CC}">
              <c16:uniqueId val="{00000002-640F-49BE-845C-76142F7345E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'RL11'!$B$25</c:f>
              <c:strCache>
                <c:ptCount val="1"/>
                <c:pt idx="0">
                  <c:v>Datos</c:v>
                </c:pt>
              </c:strCache>
            </c:strRef>
          </c:tx>
          <c:spPr>
            <a:solidFill>
              <a:srgbClr val="004586"/>
            </a:solidFill>
            <a:ln w="25400">
              <a:noFill/>
            </a:ln>
          </c:spPr>
          <c:invertIfNegative val="0"/>
          <c:cat>
            <c:strRef>
              <c:f>'RL11'!$A$26:$A$38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'RL11'!$B$26:$B$38</c:f>
              <c:numCache>
                <c:formatCode>0%</c:formatCode>
                <c:ptCount val="13"/>
                <c:pt idx="0">
                  <c:v>0</c:v>
                </c:pt>
                <c:pt idx="1">
                  <c:v>0</c:v>
                </c:pt>
                <c:pt idx="2">
                  <c:v>0</c:v>
                </c:pt>
                <c:pt idx="3">
                  <c:v>0.96875</c:v>
                </c:pt>
                <c:pt idx="4">
                  <c:v>0</c:v>
                </c:pt>
                <c:pt idx="5">
                  <c:v>0</c:v>
                </c:pt>
                <c:pt idx="6">
                  <c:v>0</c:v>
                </c:pt>
                <c:pt idx="7">
                  <c:v>0.73170731707317072</c:v>
                </c:pt>
                <c:pt idx="8">
                  <c:v>0</c:v>
                </c:pt>
                <c:pt idx="9">
                  <c:v>0</c:v>
                </c:pt>
                <c:pt idx="10">
                  <c:v>0</c:v>
                </c:pt>
                <c:pt idx="11">
                  <c:v>0.75722543352601157</c:v>
                </c:pt>
                <c:pt idx="12">
                  <c:v>0.83373493975903612</c:v>
                </c:pt>
              </c:numCache>
            </c:numRef>
          </c:val>
          <c:extLst>
            <c:ext xmlns:c16="http://schemas.microsoft.com/office/drawing/2014/chart" uri="{C3380CC4-5D6E-409C-BE32-E72D297353CC}">
              <c16:uniqueId val="{00000000-2465-41C9-9424-7D6364C342FF}"/>
            </c:ext>
          </c:extLst>
        </c:ser>
        <c:ser>
          <c:idx val="1"/>
          <c:order val="1"/>
          <c:tx>
            <c:strRef>
              <c:f>'RL11'!$C$25</c:f>
              <c:strCache>
                <c:ptCount val="1"/>
                <c:pt idx="0">
                  <c:v>Meta Vigencia</c:v>
                </c:pt>
              </c:strCache>
            </c:strRef>
          </c:tx>
          <c:spPr>
            <a:solidFill>
              <a:srgbClr val="FF420E"/>
            </a:solidFill>
            <a:ln w="25400">
              <a:noFill/>
            </a:ln>
          </c:spPr>
          <c:invertIfNegative val="0"/>
          <c:cat>
            <c:strRef>
              <c:f>'RL11'!$A$26:$A$38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'RL11'!$C$26:$C$38</c:f>
              <c:numCache>
                <c:formatCode>0%</c:formatCode>
                <c:ptCount val="13"/>
                <c:pt idx="0">
                  <c:v>0.96</c:v>
                </c:pt>
                <c:pt idx="1">
                  <c:v>0.96</c:v>
                </c:pt>
                <c:pt idx="2">
                  <c:v>0.96</c:v>
                </c:pt>
                <c:pt idx="3">
                  <c:v>0.96</c:v>
                </c:pt>
                <c:pt idx="4">
                  <c:v>0.96</c:v>
                </c:pt>
                <c:pt idx="5">
                  <c:v>0.96</c:v>
                </c:pt>
                <c:pt idx="6">
                  <c:v>0.96</c:v>
                </c:pt>
                <c:pt idx="7">
                  <c:v>0.96</c:v>
                </c:pt>
                <c:pt idx="8">
                  <c:v>0.96</c:v>
                </c:pt>
                <c:pt idx="9">
                  <c:v>0.96</c:v>
                </c:pt>
                <c:pt idx="10">
                  <c:v>0.96</c:v>
                </c:pt>
                <c:pt idx="11">
                  <c:v>0.96</c:v>
                </c:pt>
                <c:pt idx="12">
                  <c:v>0.96</c:v>
                </c:pt>
              </c:numCache>
            </c:numRef>
          </c:val>
          <c:extLst>
            <c:ext xmlns:c16="http://schemas.microsoft.com/office/drawing/2014/chart" uri="{C3380CC4-5D6E-409C-BE32-E72D297353CC}">
              <c16:uniqueId val="{00000001-2465-41C9-9424-7D6364C342F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'RL11'!$D$25</c:f>
              <c:strCache>
                <c:ptCount val="1"/>
                <c:pt idx="0">
                  <c:v>Meta - Rango</c:v>
                </c:pt>
              </c:strCache>
            </c:strRef>
          </c:tx>
          <c:spPr>
            <a:ln w="38100">
              <a:solidFill>
                <a:srgbClr val="FFD320"/>
              </a:solidFill>
              <a:prstDash val="solid"/>
            </a:ln>
          </c:spPr>
          <c:marker>
            <c:symbol val="none"/>
          </c:marker>
          <c:cat>
            <c:strRef>
              <c:f>'RL11'!$A$26:$A$38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'RL11'!$D$26:$D$38</c:f>
              <c:numCache>
                <c:formatCode>0%</c:formatCode>
                <c:ptCount val="13"/>
                <c:pt idx="0">
                  <c:v>0.94079999999999997</c:v>
                </c:pt>
                <c:pt idx="1">
                  <c:v>0.94079999999999997</c:v>
                </c:pt>
                <c:pt idx="2">
                  <c:v>0.94079999999999997</c:v>
                </c:pt>
                <c:pt idx="3">
                  <c:v>0.94079999999999997</c:v>
                </c:pt>
                <c:pt idx="4">
                  <c:v>0.94079999999999997</c:v>
                </c:pt>
                <c:pt idx="5">
                  <c:v>0.94079999999999997</c:v>
                </c:pt>
                <c:pt idx="6">
                  <c:v>0.94079999999999997</c:v>
                </c:pt>
                <c:pt idx="7">
                  <c:v>0.94079999999999997</c:v>
                </c:pt>
                <c:pt idx="8">
                  <c:v>0.94079999999999997</c:v>
                </c:pt>
                <c:pt idx="9">
                  <c:v>0.94079999999999997</c:v>
                </c:pt>
                <c:pt idx="10">
                  <c:v>0.94079999999999997</c:v>
                </c:pt>
                <c:pt idx="11">
                  <c:v>0.94079999999999997</c:v>
                </c:pt>
                <c:pt idx="12">
                  <c:v>0.94079999999999997</c:v>
                </c:pt>
              </c:numCache>
            </c:numRef>
          </c:val>
          <c:smooth val="0"/>
          <c:extLst>
            <c:ext xmlns:c16="http://schemas.microsoft.com/office/drawing/2014/chart" uri="{C3380CC4-5D6E-409C-BE32-E72D297353CC}">
              <c16:uniqueId val="{00000002-2465-41C9-9424-7D6364C342F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'SE22'!$B$25</c:f>
              <c:strCache>
                <c:ptCount val="1"/>
                <c:pt idx="0">
                  <c:v>Datos</c:v>
                </c:pt>
              </c:strCache>
            </c:strRef>
          </c:tx>
          <c:spPr>
            <a:solidFill>
              <a:srgbClr val="004586"/>
            </a:solidFill>
            <a:ln w="25400">
              <a:noFill/>
            </a:ln>
          </c:spPr>
          <c:invertIfNegative val="0"/>
          <c:cat>
            <c:strRef>
              <c:f>'SE22'!$A$26:$A$38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'SE22'!$B$26:$B$38</c:f>
              <c:numCache>
                <c:formatCode>_-* #,##0.0_-;\-* #,##0.0_-;_-* "-"??_-;_-@_-</c:formatCode>
                <c:ptCount val="13"/>
                <c:pt idx="0">
                  <c:v>0</c:v>
                </c:pt>
                <c:pt idx="1">
                  <c:v>0</c:v>
                </c:pt>
                <c:pt idx="2">
                  <c:v>1</c:v>
                </c:pt>
                <c:pt idx="3">
                  <c:v>1</c:v>
                </c:pt>
                <c:pt idx="4">
                  <c:v>1</c:v>
                </c:pt>
                <c:pt idx="5">
                  <c:v>0</c:v>
                </c:pt>
                <c:pt idx="6">
                  <c:v>1</c:v>
                </c:pt>
                <c:pt idx="7">
                  <c:v>1</c:v>
                </c:pt>
                <c:pt idx="8">
                  <c:v>1</c:v>
                </c:pt>
                <c:pt idx="9">
                  <c:v>1</c:v>
                </c:pt>
                <c:pt idx="10">
                  <c:v>1</c:v>
                </c:pt>
                <c:pt idx="11">
                  <c:v>0</c:v>
                </c:pt>
                <c:pt idx="12">
                  <c:v>8</c:v>
                </c:pt>
              </c:numCache>
            </c:numRef>
          </c:val>
          <c:extLst>
            <c:ext xmlns:c16="http://schemas.microsoft.com/office/drawing/2014/chart" uri="{C3380CC4-5D6E-409C-BE32-E72D297353CC}">
              <c16:uniqueId val="{00000000-A956-4BAF-B194-ABC9BE77046F}"/>
            </c:ext>
          </c:extLst>
        </c:ser>
        <c:ser>
          <c:idx val="1"/>
          <c:order val="1"/>
          <c:tx>
            <c:strRef>
              <c:f>'SE22'!$C$25</c:f>
              <c:strCache>
                <c:ptCount val="1"/>
                <c:pt idx="0">
                  <c:v>Meta Vigencia</c:v>
                </c:pt>
              </c:strCache>
            </c:strRef>
          </c:tx>
          <c:spPr>
            <a:solidFill>
              <a:srgbClr val="FF420E"/>
            </a:solidFill>
            <a:ln w="25400">
              <a:noFill/>
            </a:ln>
          </c:spPr>
          <c:invertIfNegative val="0"/>
          <c:cat>
            <c:strRef>
              <c:f>'SE22'!$A$26:$A$38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'SE22'!$C$26:$C$38</c:f>
              <c:numCache>
                <c:formatCode>_-* #,##0.0_-;\-* #,##0.0_-;_-* "-"??_-;_-@_-</c:formatCode>
                <c:ptCount val="13"/>
                <c:pt idx="0">
                  <c:v>8</c:v>
                </c:pt>
                <c:pt idx="1">
                  <c:v>8</c:v>
                </c:pt>
                <c:pt idx="2">
                  <c:v>8</c:v>
                </c:pt>
                <c:pt idx="3">
                  <c:v>8</c:v>
                </c:pt>
                <c:pt idx="4">
                  <c:v>8</c:v>
                </c:pt>
                <c:pt idx="5">
                  <c:v>8</c:v>
                </c:pt>
                <c:pt idx="6">
                  <c:v>8</c:v>
                </c:pt>
                <c:pt idx="7">
                  <c:v>8</c:v>
                </c:pt>
                <c:pt idx="8">
                  <c:v>8</c:v>
                </c:pt>
                <c:pt idx="9">
                  <c:v>8</c:v>
                </c:pt>
                <c:pt idx="10">
                  <c:v>8</c:v>
                </c:pt>
                <c:pt idx="11">
                  <c:v>8</c:v>
                </c:pt>
                <c:pt idx="12">
                  <c:v>8</c:v>
                </c:pt>
              </c:numCache>
            </c:numRef>
          </c:val>
          <c:extLst>
            <c:ext xmlns:c16="http://schemas.microsoft.com/office/drawing/2014/chart" uri="{C3380CC4-5D6E-409C-BE32-E72D297353CC}">
              <c16:uniqueId val="{00000001-A956-4BAF-B194-ABC9BE77046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'SE22'!$D$25</c:f>
              <c:strCache>
                <c:ptCount val="1"/>
                <c:pt idx="0">
                  <c:v>Meta - Rango</c:v>
                </c:pt>
              </c:strCache>
            </c:strRef>
          </c:tx>
          <c:spPr>
            <a:ln w="38100">
              <a:solidFill>
                <a:srgbClr val="FFD320"/>
              </a:solidFill>
              <a:prstDash val="solid"/>
            </a:ln>
          </c:spPr>
          <c:marker>
            <c:symbol val="none"/>
          </c:marker>
          <c:cat>
            <c:strRef>
              <c:f>'SE22'!$A$26:$A$38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'SE22'!$D$26:$D$38</c:f>
              <c:numCache>
                <c:formatCode>_-* #,##0.0_-;\-* #,##0.0_-;_-* "-"??_-;_-@_-</c:formatCode>
                <c:ptCount val="13"/>
                <c:pt idx="0">
                  <c:v>7.84</c:v>
                </c:pt>
                <c:pt idx="1">
                  <c:v>7.84</c:v>
                </c:pt>
                <c:pt idx="2">
                  <c:v>7.84</c:v>
                </c:pt>
                <c:pt idx="3">
                  <c:v>7.84</c:v>
                </c:pt>
                <c:pt idx="4">
                  <c:v>7.84</c:v>
                </c:pt>
                <c:pt idx="5">
                  <c:v>7.84</c:v>
                </c:pt>
                <c:pt idx="6">
                  <c:v>7.84</c:v>
                </c:pt>
                <c:pt idx="7">
                  <c:v>7.84</c:v>
                </c:pt>
                <c:pt idx="8">
                  <c:v>7.84</c:v>
                </c:pt>
                <c:pt idx="9">
                  <c:v>7.84</c:v>
                </c:pt>
                <c:pt idx="10">
                  <c:v>7.84</c:v>
                </c:pt>
                <c:pt idx="11">
                  <c:v>7.84</c:v>
                </c:pt>
                <c:pt idx="12">
                  <c:v>7.84</c:v>
                </c:pt>
              </c:numCache>
            </c:numRef>
          </c:val>
          <c:smooth val="0"/>
          <c:extLst>
            <c:ext xmlns:c16="http://schemas.microsoft.com/office/drawing/2014/chart" uri="{C3380CC4-5D6E-409C-BE32-E72D297353CC}">
              <c16:uniqueId val="{00000002-A956-4BAF-B194-ABC9BE77046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'SE23'!$B$25</c:f>
              <c:strCache>
                <c:ptCount val="1"/>
                <c:pt idx="0">
                  <c:v>Datos</c:v>
                </c:pt>
              </c:strCache>
            </c:strRef>
          </c:tx>
          <c:spPr>
            <a:solidFill>
              <a:srgbClr val="004586"/>
            </a:solidFill>
            <a:ln w="25400">
              <a:noFill/>
            </a:ln>
          </c:spPr>
          <c:invertIfNegative val="0"/>
          <c:cat>
            <c:strRef>
              <c:f>'SE23'!$A$26:$A$38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'SE23'!$B$26:$B$38</c:f>
              <c:numCache>
                <c:formatCode>_-* #,##0.0_-;\-* #,##0.0_-;_-* "-"??_-;_-@_-</c:formatCode>
                <c:ptCount val="13"/>
                <c:pt idx="0">
                  <c:v>0</c:v>
                </c:pt>
                <c:pt idx="1">
                  <c:v>0</c:v>
                </c:pt>
                <c:pt idx="2">
                  <c:v>2</c:v>
                </c:pt>
                <c:pt idx="3">
                  <c:v>2</c:v>
                </c:pt>
                <c:pt idx="4">
                  <c:v>2</c:v>
                </c:pt>
                <c:pt idx="5">
                  <c:v>0</c:v>
                </c:pt>
                <c:pt idx="6">
                  <c:v>0</c:v>
                </c:pt>
                <c:pt idx="7">
                  <c:v>2</c:v>
                </c:pt>
                <c:pt idx="8">
                  <c:v>2</c:v>
                </c:pt>
                <c:pt idx="9">
                  <c:v>2</c:v>
                </c:pt>
                <c:pt idx="10">
                  <c:v>2</c:v>
                </c:pt>
                <c:pt idx="11">
                  <c:v>0</c:v>
                </c:pt>
                <c:pt idx="12">
                  <c:v>14</c:v>
                </c:pt>
              </c:numCache>
            </c:numRef>
          </c:val>
          <c:extLst>
            <c:ext xmlns:c16="http://schemas.microsoft.com/office/drawing/2014/chart" uri="{C3380CC4-5D6E-409C-BE32-E72D297353CC}">
              <c16:uniqueId val="{00000000-10E2-477E-BCD7-A1A4DC586FA7}"/>
            </c:ext>
          </c:extLst>
        </c:ser>
        <c:ser>
          <c:idx val="1"/>
          <c:order val="1"/>
          <c:tx>
            <c:strRef>
              <c:f>'SE23'!$C$25</c:f>
              <c:strCache>
                <c:ptCount val="1"/>
                <c:pt idx="0">
                  <c:v>Meta Vigencia</c:v>
                </c:pt>
              </c:strCache>
            </c:strRef>
          </c:tx>
          <c:spPr>
            <a:solidFill>
              <a:srgbClr val="FF420E"/>
            </a:solidFill>
            <a:ln w="25400">
              <a:noFill/>
            </a:ln>
          </c:spPr>
          <c:invertIfNegative val="0"/>
          <c:cat>
            <c:strRef>
              <c:f>'SE23'!$A$26:$A$38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'SE23'!$C$26:$C$38</c:f>
              <c:numCache>
                <c:formatCode>_-* #,##0.0_-;\-* #,##0.0_-;_-* "-"??_-;_-@_-</c:formatCode>
                <c:ptCount val="13"/>
                <c:pt idx="0">
                  <c:v>14</c:v>
                </c:pt>
                <c:pt idx="1">
                  <c:v>14</c:v>
                </c:pt>
                <c:pt idx="2">
                  <c:v>14</c:v>
                </c:pt>
                <c:pt idx="3">
                  <c:v>14</c:v>
                </c:pt>
                <c:pt idx="4">
                  <c:v>14</c:v>
                </c:pt>
                <c:pt idx="5">
                  <c:v>14</c:v>
                </c:pt>
                <c:pt idx="6">
                  <c:v>14</c:v>
                </c:pt>
                <c:pt idx="7">
                  <c:v>14</c:v>
                </c:pt>
                <c:pt idx="8">
                  <c:v>14</c:v>
                </c:pt>
                <c:pt idx="9">
                  <c:v>14</c:v>
                </c:pt>
                <c:pt idx="10">
                  <c:v>14</c:v>
                </c:pt>
                <c:pt idx="11">
                  <c:v>14</c:v>
                </c:pt>
                <c:pt idx="12">
                  <c:v>14</c:v>
                </c:pt>
              </c:numCache>
            </c:numRef>
          </c:val>
          <c:extLst>
            <c:ext xmlns:c16="http://schemas.microsoft.com/office/drawing/2014/chart" uri="{C3380CC4-5D6E-409C-BE32-E72D297353CC}">
              <c16:uniqueId val="{00000001-10E2-477E-BCD7-A1A4DC586FA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'SE23'!$D$25</c:f>
              <c:strCache>
                <c:ptCount val="1"/>
                <c:pt idx="0">
                  <c:v>Meta - Rango</c:v>
                </c:pt>
              </c:strCache>
            </c:strRef>
          </c:tx>
          <c:spPr>
            <a:ln w="38100">
              <a:solidFill>
                <a:srgbClr val="FFD320"/>
              </a:solidFill>
              <a:prstDash val="solid"/>
            </a:ln>
          </c:spPr>
          <c:marker>
            <c:symbol val="none"/>
          </c:marker>
          <c:cat>
            <c:strRef>
              <c:f>'SE23'!$A$26:$A$38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'SE23'!$D$26:$D$38</c:f>
              <c:numCache>
                <c:formatCode>_-* #,##0.0_-;\-* #,##0.0_-;_-* "-"??_-;_-@_-</c:formatCode>
                <c:ptCount val="13"/>
                <c:pt idx="0">
                  <c:v>13.719999999999999</c:v>
                </c:pt>
                <c:pt idx="1">
                  <c:v>13.719999999999999</c:v>
                </c:pt>
                <c:pt idx="2">
                  <c:v>13.719999999999999</c:v>
                </c:pt>
                <c:pt idx="3">
                  <c:v>13.719999999999999</c:v>
                </c:pt>
                <c:pt idx="4">
                  <c:v>13.719999999999999</c:v>
                </c:pt>
                <c:pt idx="5">
                  <c:v>13.719999999999999</c:v>
                </c:pt>
                <c:pt idx="6">
                  <c:v>13.719999999999999</c:v>
                </c:pt>
                <c:pt idx="7">
                  <c:v>13.719999999999999</c:v>
                </c:pt>
                <c:pt idx="8">
                  <c:v>13.719999999999999</c:v>
                </c:pt>
                <c:pt idx="9">
                  <c:v>13.719999999999999</c:v>
                </c:pt>
                <c:pt idx="10">
                  <c:v>13.719999999999999</c:v>
                </c:pt>
                <c:pt idx="11">
                  <c:v>13.719999999999999</c:v>
                </c:pt>
                <c:pt idx="12">
                  <c:v>13.719999999999999</c:v>
                </c:pt>
              </c:numCache>
            </c:numRef>
          </c:val>
          <c:smooth val="0"/>
          <c:extLst>
            <c:ext xmlns:c16="http://schemas.microsoft.com/office/drawing/2014/chart" uri="{C3380CC4-5D6E-409C-BE32-E72D297353CC}">
              <c16:uniqueId val="{00000002-10E2-477E-BCD7-A1A4DC586FA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'AT09'!$B$25</c:f>
              <c:strCache>
                <c:ptCount val="1"/>
                <c:pt idx="0">
                  <c:v>Datos</c:v>
                </c:pt>
              </c:strCache>
            </c:strRef>
          </c:tx>
          <c:spPr>
            <a:solidFill>
              <a:srgbClr val="004586"/>
            </a:solidFill>
            <a:ln w="25400">
              <a:noFill/>
            </a:ln>
          </c:spPr>
          <c:invertIfNegative val="0"/>
          <c:cat>
            <c:strRef>
              <c:f>'AT09'!$A$26:$A$38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'AT09'!$B$26:$B$38</c:f>
              <c:numCache>
                <c:formatCode>_-* #,##0.0_-;\-* #,##0.0_-;_-* "-"??_-;_-@_-</c:formatCode>
                <c:ptCount val="13"/>
                <c:pt idx="0">
                  <c:v>0</c:v>
                </c:pt>
                <c:pt idx="1">
                  <c:v>1</c:v>
                </c:pt>
                <c:pt idx="2">
                  <c:v>1</c:v>
                </c:pt>
                <c:pt idx="3">
                  <c:v>0</c:v>
                </c:pt>
                <c:pt idx="4">
                  <c:v>1</c:v>
                </c:pt>
                <c:pt idx="5">
                  <c:v>0</c:v>
                </c:pt>
                <c:pt idx="6">
                  <c:v>1</c:v>
                </c:pt>
                <c:pt idx="7">
                  <c:v>1</c:v>
                </c:pt>
                <c:pt idx="8">
                  <c:v>1</c:v>
                </c:pt>
                <c:pt idx="9">
                  <c:v>1</c:v>
                </c:pt>
                <c:pt idx="10">
                  <c:v>1</c:v>
                </c:pt>
                <c:pt idx="11">
                  <c:v>0</c:v>
                </c:pt>
                <c:pt idx="12">
                  <c:v>8</c:v>
                </c:pt>
              </c:numCache>
            </c:numRef>
          </c:val>
          <c:extLst>
            <c:ext xmlns:c16="http://schemas.microsoft.com/office/drawing/2014/chart" uri="{C3380CC4-5D6E-409C-BE32-E72D297353CC}">
              <c16:uniqueId val="{00000000-93D8-4E9B-A44A-32E4A2B17AE9}"/>
            </c:ext>
          </c:extLst>
        </c:ser>
        <c:ser>
          <c:idx val="1"/>
          <c:order val="1"/>
          <c:tx>
            <c:strRef>
              <c:f>'AT09'!$C$25</c:f>
              <c:strCache>
                <c:ptCount val="1"/>
                <c:pt idx="0">
                  <c:v>Meta Vigencia</c:v>
                </c:pt>
              </c:strCache>
            </c:strRef>
          </c:tx>
          <c:spPr>
            <a:solidFill>
              <a:srgbClr val="FF420E"/>
            </a:solidFill>
            <a:ln w="25400">
              <a:noFill/>
            </a:ln>
          </c:spPr>
          <c:invertIfNegative val="0"/>
          <c:cat>
            <c:strRef>
              <c:f>'AT09'!$A$26:$A$38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'AT09'!$C$26:$C$38</c:f>
              <c:numCache>
                <c:formatCode>_-* #,##0.0_-;\-* #,##0.0_-;_-* "-"??_-;_-@_-</c:formatCode>
                <c:ptCount val="13"/>
                <c:pt idx="0">
                  <c:v>8</c:v>
                </c:pt>
                <c:pt idx="1">
                  <c:v>8</c:v>
                </c:pt>
                <c:pt idx="2">
                  <c:v>8</c:v>
                </c:pt>
                <c:pt idx="3">
                  <c:v>8</c:v>
                </c:pt>
                <c:pt idx="4">
                  <c:v>8</c:v>
                </c:pt>
                <c:pt idx="5">
                  <c:v>8</c:v>
                </c:pt>
                <c:pt idx="6">
                  <c:v>8</c:v>
                </c:pt>
                <c:pt idx="7">
                  <c:v>8</c:v>
                </c:pt>
                <c:pt idx="8">
                  <c:v>8</c:v>
                </c:pt>
                <c:pt idx="9">
                  <c:v>8</c:v>
                </c:pt>
                <c:pt idx="10">
                  <c:v>8</c:v>
                </c:pt>
                <c:pt idx="11">
                  <c:v>8</c:v>
                </c:pt>
                <c:pt idx="12">
                  <c:v>8</c:v>
                </c:pt>
              </c:numCache>
            </c:numRef>
          </c:val>
          <c:extLst>
            <c:ext xmlns:c16="http://schemas.microsoft.com/office/drawing/2014/chart" uri="{C3380CC4-5D6E-409C-BE32-E72D297353CC}">
              <c16:uniqueId val="{00000001-93D8-4E9B-A44A-32E4A2B17AE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'AT09'!$D$25</c:f>
              <c:strCache>
                <c:ptCount val="1"/>
                <c:pt idx="0">
                  <c:v>Meta - Rango</c:v>
                </c:pt>
              </c:strCache>
            </c:strRef>
          </c:tx>
          <c:spPr>
            <a:ln w="38100">
              <a:solidFill>
                <a:srgbClr val="FFD320"/>
              </a:solidFill>
              <a:prstDash val="solid"/>
            </a:ln>
          </c:spPr>
          <c:marker>
            <c:symbol val="none"/>
          </c:marker>
          <c:cat>
            <c:strRef>
              <c:f>'AT09'!$A$26:$A$38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'AT09'!$D$26:$D$38</c:f>
              <c:numCache>
                <c:formatCode>_-* #,##0.0_-;\-* #,##0.0_-;_-* "-"??_-;_-@_-</c:formatCode>
                <c:ptCount val="13"/>
                <c:pt idx="0">
                  <c:v>7.84</c:v>
                </c:pt>
                <c:pt idx="1">
                  <c:v>7.84</c:v>
                </c:pt>
                <c:pt idx="2">
                  <c:v>7.84</c:v>
                </c:pt>
                <c:pt idx="3">
                  <c:v>7.84</c:v>
                </c:pt>
                <c:pt idx="4">
                  <c:v>7.84</c:v>
                </c:pt>
                <c:pt idx="5">
                  <c:v>7.84</c:v>
                </c:pt>
                <c:pt idx="6">
                  <c:v>7.84</c:v>
                </c:pt>
                <c:pt idx="7">
                  <c:v>7.84</c:v>
                </c:pt>
                <c:pt idx="8">
                  <c:v>7.84</c:v>
                </c:pt>
                <c:pt idx="9">
                  <c:v>7.84</c:v>
                </c:pt>
                <c:pt idx="10">
                  <c:v>7.84</c:v>
                </c:pt>
                <c:pt idx="11">
                  <c:v>7.84</c:v>
                </c:pt>
                <c:pt idx="12">
                  <c:v>7.84</c:v>
                </c:pt>
              </c:numCache>
            </c:numRef>
          </c:val>
          <c:smooth val="0"/>
          <c:extLst>
            <c:ext xmlns:c16="http://schemas.microsoft.com/office/drawing/2014/chart" uri="{C3380CC4-5D6E-409C-BE32-E72D297353CC}">
              <c16:uniqueId val="{00000002-93D8-4E9B-A44A-32E4A2B17AE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'AT02'!$B$25</c:f>
              <c:strCache>
                <c:ptCount val="1"/>
                <c:pt idx="0">
                  <c:v>Datos</c:v>
                </c:pt>
              </c:strCache>
            </c:strRef>
          </c:tx>
          <c:spPr>
            <a:solidFill>
              <a:srgbClr val="004586"/>
            </a:solidFill>
            <a:ln w="25400">
              <a:noFill/>
            </a:ln>
          </c:spPr>
          <c:invertIfNegative val="0"/>
          <c:cat>
            <c:strRef>
              <c:f>'AT02'!$A$26:$A$38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'AT02'!$B$26:$B$38</c:f>
              <c:numCache>
                <c:formatCode>_-* #,##0.0_-;\-* #,##0.0_-;_-* "-"??_-;_-@_-</c:formatCode>
                <c:ptCount val="13"/>
                <c:pt idx="0">
                  <c:v>0</c:v>
                </c:pt>
                <c:pt idx="1">
                  <c:v>0</c:v>
                </c:pt>
                <c:pt idx="2">
                  <c:v>19</c:v>
                </c:pt>
                <c:pt idx="3">
                  <c:v>0</c:v>
                </c:pt>
                <c:pt idx="4">
                  <c:v>0</c:v>
                </c:pt>
                <c:pt idx="5">
                  <c:v>17</c:v>
                </c:pt>
                <c:pt idx="6">
                  <c:v>0</c:v>
                </c:pt>
                <c:pt idx="7">
                  <c:v>0</c:v>
                </c:pt>
                <c:pt idx="8">
                  <c:v>12</c:v>
                </c:pt>
                <c:pt idx="9">
                  <c:v>0</c:v>
                </c:pt>
                <c:pt idx="10">
                  <c:v>0</c:v>
                </c:pt>
                <c:pt idx="11">
                  <c:v>16</c:v>
                </c:pt>
                <c:pt idx="12">
                  <c:v>64</c:v>
                </c:pt>
              </c:numCache>
            </c:numRef>
          </c:val>
          <c:extLst>
            <c:ext xmlns:c16="http://schemas.microsoft.com/office/drawing/2014/chart" uri="{C3380CC4-5D6E-409C-BE32-E72D297353CC}">
              <c16:uniqueId val="{00000000-2488-4CE3-BDF0-9819F30C3FA2}"/>
            </c:ext>
          </c:extLst>
        </c:ser>
        <c:ser>
          <c:idx val="1"/>
          <c:order val="1"/>
          <c:tx>
            <c:strRef>
              <c:f>'AT02'!$C$25</c:f>
              <c:strCache>
                <c:ptCount val="1"/>
                <c:pt idx="0">
                  <c:v>Meta Vigencia</c:v>
                </c:pt>
              </c:strCache>
            </c:strRef>
          </c:tx>
          <c:spPr>
            <a:solidFill>
              <a:srgbClr val="FF420E"/>
            </a:solidFill>
            <a:ln w="25400">
              <a:noFill/>
            </a:ln>
          </c:spPr>
          <c:invertIfNegative val="0"/>
          <c:cat>
            <c:strRef>
              <c:f>'AT02'!$A$26:$A$38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'AT02'!$C$26:$C$38</c:f>
              <c:numCache>
                <c:formatCode>_-* #,##0.0_-;\-* #,##0.0_-;_-* "-"??_-;_-@_-</c:formatCode>
                <c:ptCount val="13"/>
                <c:pt idx="0">
                  <c:v>64</c:v>
                </c:pt>
                <c:pt idx="1">
                  <c:v>64</c:v>
                </c:pt>
                <c:pt idx="2">
                  <c:v>64</c:v>
                </c:pt>
                <c:pt idx="3">
                  <c:v>64</c:v>
                </c:pt>
                <c:pt idx="4">
                  <c:v>64</c:v>
                </c:pt>
                <c:pt idx="5">
                  <c:v>64</c:v>
                </c:pt>
                <c:pt idx="6">
                  <c:v>64</c:v>
                </c:pt>
                <c:pt idx="7">
                  <c:v>64</c:v>
                </c:pt>
                <c:pt idx="8">
                  <c:v>64</c:v>
                </c:pt>
                <c:pt idx="9">
                  <c:v>64</c:v>
                </c:pt>
                <c:pt idx="10">
                  <c:v>64</c:v>
                </c:pt>
                <c:pt idx="11">
                  <c:v>64</c:v>
                </c:pt>
                <c:pt idx="12">
                  <c:v>64</c:v>
                </c:pt>
              </c:numCache>
            </c:numRef>
          </c:val>
          <c:extLst>
            <c:ext xmlns:c16="http://schemas.microsoft.com/office/drawing/2014/chart" uri="{C3380CC4-5D6E-409C-BE32-E72D297353CC}">
              <c16:uniqueId val="{00000001-2488-4CE3-BDF0-9819F30C3FA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'AT02'!$D$25</c:f>
              <c:strCache>
                <c:ptCount val="1"/>
                <c:pt idx="0">
                  <c:v>Meta - Rango</c:v>
                </c:pt>
              </c:strCache>
            </c:strRef>
          </c:tx>
          <c:spPr>
            <a:ln w="38100">
              <a:solidFill>
                <a:srgbClr val="FFD320"/>
              </a:solidFill>
              <a:prstDash val="solid"/>
            </a:ln>
          </c:spPr>
          <c:marker>
            <c:symbol val="none"/>
          </c:marker>
          <c:cat>
            <c:strRef>
              <c:f>'AT02'!$A$26:$A$38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'AT02'!$D$26:$D$38</c:f>
              <c:numCache>
                <c:formatCode>_-* #,##0.0_-;\-* #,##0.0_-;_-* "-"??_-;_-@_-</c:formatCode>
                <c:ptCount val="13"/>
                <c:pt idx="0">
                  <c:v>62.72</c:v>
                </c:pt>
                <c:pt idx="1">
                  <c:v>62.72</c:v>
                </c:pt>
                <c:pt idx="2">
                  <c:v>62.72</c:v>
                </c:pt>
                <c:pt idx="3">
                  <c:v>62.72</c:v>
                </c:pt>
                <c:pt idx="4">
                  <c:v>62.72</c:v>
                </c:pt>
                <c:pt idx="5">
                  <c:v>62.72</c:v>
                </c:pt>
                <c:pt idx="6">
                  <c:v>62.72</c:v>
                </c:pt>
                <c:pt idx="7">
                  <c:v>62.72</c:v>
                </c:pt>
                <c:pt idx="8">
                  <c:v>62.72</c:v>
                </c:pt>
                <c:pt idx="9">
                  <c:v>62.72</c:v>
                </c:pt>
                <c:pt idx="10">
                  <c:v>62.72</c:v>
                </c:pt>
                <c:pt idx="11">
                  <c:v>62.72</c:v>
                </c:pt>
                <c:pt idx="12">
                  <c:v>62.72</c:v>
                </c:pt>
              </c:numCache>
            </c:numRef>
          </c:val>
          <c:smooth val="0"/>
          <c:extLst>
            <c:ext xmlns:c16="http://schemas.microsoft.com/office/drawing/2014/chart" uri="{C3380CC4-5D6E-409C-BE32-E72D297353CC}">
              <c16:uniqueId val="{00000002-2488-4CE3-BDF0-9819F30C3FA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'CT29'!$B$25</c:f>
              <c:strCache>
                <c:ptCount val="1"/>
                <c:pt idx="0">
                  <c:v>Datos</c:v>
                </c:pt>
              </c:strCache>
            </c:strRef>
          </c:tx>
          <c:spPr>
            <a:solidFill>
              <a:srgbClr val="004586"/>
            </a:solidFill>
            <a:ln w="25400">
              <a:noFill/>
            </a:ln>
          </c:spPr>
          <c:invertIfNegative val="0"/>
          <c:cat>
            <c:strRef>
              <c:f>'CT29'!$A$26:$A$38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'CT29'!$B$26:$B$38</c:f>
              <c:numCache>
                <c:formatCode>0%</c:formatCode>
                <c:ptCount val="13"/>
                <c:pt idx="0">
                  <c:v>0</c:v>
                </c:pt>
                <c:pt idx="1">
                  <c:v>0</c:v>
                </c:pt>
                <c:pt idx="2">
                  <c:v>0</c:v>
                </c:pt>
                <c:pt idx="3">
                  <c:v>0</c:v>
                </c:pt>
                <c:pt idx="4">
                  <c:v>0</c:v>
                </c:pt>
                <c:pt idx="5">
                  <c:v>87</c:v>
                </c:pt>
                <c:pt idx="6">
                  <c:v>0</c:v>
                </c:pt>
                <c:pt idx="7">
                  <c:v>0</c:v>
                </c:pt>
                <c:pt idx="8">
                  <c:v>58</c:v>
                </c:pt>
                <c:pt idx="9">
                  <c:v>0</c:v>
                </c:pt>
                <c:pt idx="10">
                  <c:v>0</c:v>
                </c:pt>
                <c:pt idx="11">
                  <c:v>0</c:v>
                </c:pt>
                <c:pt idx="12">
                  <c:v>58</c:v>
                </c:pt>
              </c:numCache>
            </c:numRef>
          </c:val>
          <c:extLst>
            <c:ext xmlns:c16="http://schemas.microsoft.com/office/drawing/2014/chart" uri="{C3380CC4-5D6E-409C-BE32-E72D297353CC}">
              <c16:uniqueId val="{00000000-7FF1-42FF-9736-576FE9821423}"/>
            </c:ext>
          </c:extLst>
        </c:ser>
        <c:ser>
          <c:idx val="1"/>
          <c:order val="1"/>
          <c:tx>
            <c:strRef>
              <c:f>'CT29'!$C$25</c:f>
              <c:strCache>
                <c:ptCount val="1"/>
                <c:pt idx="0">
                  <c:v>Meta Vigencia</c:v>
                </c:pt>
              </c:strCache>
            </c:strRef>
          </c:tx>
          <c:spPr>
            <a:solidFill>
              <a:srgbClr val="FF420E"/>
            </a:solidFill>
            <a:ln w="25400">
              <a:noFill/>
            </a:ln>
          </c:spPr>
          <c:invertIfNegative val="0"/>
          <c:cat>
            <c:strRef>
              <c:f>'CT29'!$A$26:$A$38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'CT29'!$C$26:$C$38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FF1-42FF-9736-576FE982142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'CT29'!$D$25</c:f>
              <c:strCache>
                <c:ptCount val="1"/>
                <c:pt idx="0">
                  <c:v>Meta - Rango</c:v>
                </c:pt>
              </c:strCache>
            </c:strRef>
          </c:tx>
          <c:spPr>
            <a:ln w="38100">
              <a:solidFill>
                <a:srgbClr val="FFD320"/>
              </a:solidFill>
              <a:prstDash val="solid"/>
            </a:ln>
          </c:spPr>
          <c:marker>
            <c:symbol val="none"/>
          </c:marker>
          <c:cat>
            <c:strRef>
              <c:f>'CT29'!$A$26:$A$38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'CT29'!$D$26:$D$38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FF1-42FF-9736-576FE982142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'AT03'!$B$25</c:f>
              <c:strCache>
                <c:ptCount val="1"/>
                <c:pt idx="0">
                  <c:v>Datos</c:v>
                </c:pt>
              </c:strCache>
            </c:strRef>
          </c:tx>
          <c:spPr>
            <a:solidFill>
              <a:srgbClr val="004586"/>
            </a:solidFill>
            <a:ln w="25400">
              <a:noFill/>
            </a:ln>
          </c:spPr>
          <c:invertIfNegative val="0"/>
          <c:cat>
            <c:strRef>
              <c:f>'AT03'!$A$26:$A$38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'AT03'!$B$26:$B$38</c:f>
              <c:numCache>
                <c:formatCode>0%</c:formatCode>
                <c:ptCount val="13"/>
                <c:pt idx="0">
                  <c:v>0</c:v>
                </c:pt>
                <c:pt idx="1">
                  <c:v>0</c:v>
                </c:pt>
                <c:pt idx="2">
                  <c:v>1</c:v>
                </c:pt>
                <c:pt idx="3">
                  <c:v>0</c:v>
                </c:pt>
                <c:pt idx="4">
                  <c:v>0</c:v>
                </c:pt>
                <c:pt idx="5">
                  <c:v>0.97402597402597402</c:v>
                </c:pt>
                <c:pt idx="6">
                  <c:v>0</c:v>
                </c:pt>
                <c:pt idx="7">
                  <c:v>0</c:v>
                </c:pt>
                <c:pt idx="8">
                  <c:v>1</c:v>
                </c:pt>
                <c:pt idx="9">
                  <c:v>0</c:v>
                </c:pt>
                <c:pt idx="10">
                  <c:v>0</c:v>
                </c:pt>
                <c:pt idx="11">
                  <c:v>1</c:v>
                </c:pt>
                <c:pt idx="12">
                  <c:v>0.99305555555555558</c:v>
                </c:pt>
              </c:numCache>
            </c:numRef>
          </c:val>
          <c:extLst>
            <c:ext xmlns:c16="http://schemas.microsoft.com/office/drawing/2014/chart" uri="{C3380CC4-5D6E-409C-BE32-E72D297353CC}">
              <c16:uniqueId val="{00000000-9439-43CA-BDA2-23F219254708}"/>
            </c:ext>
          </c:extLst>
        </c:ser>
        <c:ser>
          <c:idx val="1"/>
          <c:order val="1"/>
          <c:tx>
            <c:strRef>
              <c:f>'AT03'!$C$25</c:f>
              <c:strCache>
                <c:ptCount val="1"/>
                <c:pt idx="0">
                  <c:v>Meta Vigencia</c:v>
                </c:pt>
              </c:strCache>
            </c:strRef>
          </c:tx>
          <c:spPr>
            <a:solidFill>
              <a:srgbClr val="FF420E"/>
            </a:solidFill>
            <a:ln w="25400">
              <a:noFill/>
            </a:ln>
          </c:spPr>
          <c:invertIfNegative val="0"/>
          <c:cat>
            <c:strRef>
              <c:f>'AT03'!$A$26:$A$38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439-43CA-BDA2-23F21925470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'AT03'!$D$25</c:f>
              <c:strCache>
                <c:ptCount val="1"/>
                <c:pt idx="0">
                  <c:v>Meta - Rango</c:v>
                </c:pt>
              </c:strCache>
            </c:strRef>
          </c:tx>
          <c:spPr>
            <a:ln w="38100">
              <a:solidFill>
                <a:srgbClr val="FFD320"/>
              </a:solidFill>
              <a:prstDash val="solid"/>
            </a:ln>
          </c:spPr>
          <c:marker>
            <c:symbol val="none"/>
          </c:marker>
          <c:cat>
            <c:strRef>
              <c:f>'AT03'!$A$26:$A$38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'AT03'!$D$26:$D$38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439-43CA-BDA2-23F21925470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'SE06'!$B$25</c:f>
              <c:strCache>
                <c:ptCount val="1"/>
                <c:pt idx="0">
                  <c:v>Datos</c:v>
                </c:pt>
              </c:strCache>
            </c:strRef>
          </c:tx>
          <c:spPr>
            <a:solidFill>
              <a:srgbClr val="004586"/>
            </a:solidFill>
            <a:ln w="25400">
              <a:noFill/>
            </a:ln>
          </c:spPr>
          <c:invertIfNegative val="0"/>
          <c:cat>
            <c:strRef>
              <c:f>'SE06'!$A$26:$A$38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CE5-48F0-AAEE-9AA74F315EE3}"/>
            </c:ext>
          </c:extLst>
        </c:ser>
        <c:ser>
          <c:idx val="1"/>
          <c:order val="1"/>
          <c:tx>
            <c:strRef>
              <c:f>'SE06'!$C$25</c:f>
              <c:strCache>
                <c:ptCount val="1"/>
                <c:pt idx="0">
                  <c:v>Meta Vigencia</c:v>
                </c:pt>
              </c:strCache>
            </c:strRef>
          </c:tx>
          <c:spPr>
            <a:solidFill>
              <a:srgbClr val="FF420E"/>
            </a:solidFill>
            <a:ln w="25400">
              <a:noFill/>
            </a:ln>
          </c:spPr>
          <c:invertIfNegative val="0"/>
          <c:cat>
            <c:strRef>
              <c:f>'SE06'!$A$26:$A$38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CE5-48F0-AAEE-9AA74F315EE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'SE06'!$D$25</c:f>
              <c:strCache>
                <c:ptCount val="1"/>
                <c:pt idx="0">
                  <c:v>Meta - Rango</c:v>
                </c:pt>
              </c:strCache>
            </c:strRef>
          </c:tx>
          <c:spPr>
            <a:ln w="38100">
              <a:solidFill>
                <a:srgbClr val="FFD320"/>
              </a:solidFill>
              <a:prstDash val="solid"/>
            </a:ln>
          </c:spPr>
          <c:marker>
            <c:symbol val="none"/>
          </c:marker>
          <c:cat>
            <c:strRef>
              <c:f>'SE06'!$A$26:$A$38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CE5-48F0-AAEE-9AA74F315EE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'SE05'!$B$25</c:f>
              <c:strCache>
                <c:ptCount val="1"/>
                <c:pt idx="0">
                  <c:v>Datos</c:v>
                </c:pt>
              </c:strCache>
            </c:strRef>
          </c:tx>
          <c:spPr>
            <a:solidFill>
              <a:srgbClr val="004586"/>
            </a:solidFill>
            <a:ln w="25400">
              <a:noFill/>
            </a:ln>
          </c:spPr>
          <c:invertIfNegative val="0"/>
          <c:cat>
            <c:strRef>
              <c:f>'SE05'!$A$26:$A$38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0DD-4953-A6A2-753F8B31123C}"/>
            </c:ext>
          </c:extLst>
        </c:ser>
        <c:ser>
          <c:idx val="1"/>
          <c:order val="1"/>
          <c:tx>
            <c:strRef>
              <c:f>'SE05'!$C$25</c:f>
              <c:strCache>
                <c:ptCount val="1"/>
                <c:pt idx="0">
                  <c:v>Meta Vigencia</c:v>
                </c:pt>
              </c:strCache>
            </c:strRef>
          </c:tx>
          <c:spPr>
            <a:solidFill>
              <a:srgbClr val="FF420E"/>
            </a:solidFill>
            <a:ln w="25400">
              <a:noFill/>
            </a:ln>
          </c:spPr>
          <c:invertIfNegative val="0"/>
          <c:cat>
            <c:strRef>
              <c:f>'SE05'!$A$26:$A$38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0DD-4953-A6A2-753F8B31123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'SE05'!$D$25</c:f>
              <c:strCache>
                <c:ptCount val="1"/>
                <c:pt idx="0">
                  <c:v>Meta - Rango</c:v>
                </c:pt>
              </c:strCache>
            </c:strRef>
          </c:tx>
          <c:spPr>
            <a:ln w="38100">
              <a:solidFill>
                <a:srgbClr val="FFD320"/>
              </a:solidFill>
              <a:prstDash val="solid"/>
            </a:ln>
          </c:spPr>
          <c:marker>
            <c:symbol val="none"/>
          </c:marker>
          <c:cat>
            <c:strRef>
              <c:f>'SE05'!$A$26:$A$38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0DD-4953-A6A2-753F8B31123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'TR05'!$B$25</c:f>
              <c:strCache>
                <c:ptCount val="1"/>
                <c:pt idx="0">
                  <c:v>Datos</c:v>
                </c:pt>
              </c:strCache>
            </c:strRef>
          </c:tx>
          <c:spPr>
            <a:solidFill>
              <a:srgbClr val="004586"/>
            </a:solidFill>
            <a:ln w="25400">
              <a:noFill/>
            </a:ln>
          </c:spPr>
          <c:invertIfNegative val="0"/>
          <c:cat>
            <c:strRef>
              <c:f>'TR05'!$A$26:$A$38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CF7E-4EFC-A818-1731FCE1381E}"/>
            </c:ext>
          </c:extLst>
        </c:ser>
        <c:ser>
          <c:idx val="1"/>
          <c:order val="1"/>
          <c:tx>
            <c:strRef>
              <c:f>'TR05'!$C$25</c:f>
              <c:strCache>
                <c:ptCount val="1"/>
                <c:pt idx="0">
                  <c:v>Meta Vigencia</c:v>
                </c:pt>
              </c:strCache>
            </c:strRef>
          </c:tx>
          <c:spPr>
            <a:solidFill>
              <a:srgbClr val="FF420E"/>
            </a:solidFill>
            <a:ln w="25400">
              <a:noFill/>
            </a:ln>
          </c:spPr>
          <c:invertIfNegative val="0"/>
          <c:cat>
            <c:strRef>
              <c:f>'TR05'!$A$26:$A$38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CF7E-4EFC-A818-1731FCE1381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'TR05'!$D$25</c:f>
              <c:strCache>
                <c:ptCount val="1"/>
                <c:pt idx="0">
                  <c:v>Meta - Rango</c:v>
                </c:pt>
              </c:strCache>
            </c:strRef>
          </c:tx>
          <c:spPr>
            <a:ln w="38100">
              <a:solidFill>
                <a:srgbClr val="FFD320"/>
              </a:solidFill>
              <a:prstDash val="solid"/>
            </a:ln>
          </c:spPr>
          <c:marker>
            <c:symbol val="none"/>
          </c:marker>
          <c:cat>
            <c:strRef>
              <c:f>'TR05'!$A$26:$A$38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CF7E-4EFC-A818-1731FCE1381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'TR07'!$B$25</c:f>
              <c:strCache>
                <c:ptCount val="1"/>
                <c:pt idx="0">
                  <c:v>Datos</c:v>
                </c:pt>
              </c:strCache>
            </c:strRef>
          </c:tx>
          <c:spPr>
            <a:solidFill>
              <a:srgbClr val="004586"/>
            </a:solidFill>
            <a:ln w="25400">
              <a:noFill/>
            </a:ln>
          </c:spPr>
          <c:invertIfNegative val="0"/>
          <c:cat>
            <c:strRef>
              <c:f>'TR07'!$A$26:$A$38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7030-4EE4-9AD8-F21A427EA000}"/>
            </c:ext>
          </c:extLst>
        </c:ser>
        <c:ser>
          <c:idx val="1"/>
          <c:order val="1"/>
          <c:tx>
            <c:strRef>
              <c:f>'TR07'!$C$25</c:f>
              <c:strCache>
                <c:ptCount val="1"/>
                <c:pt idx="0">
                  <c:v>Meta Vigencia</c:v>
                </c:pt>
              </c:strCache>
            </c:strRef>
          </c:tx>
          <c:spPr>
            <a:solidFill>
              <a:srgbClr val="FF420E"/>
            </a:solidFill>
            <a:ln w="25400">
              <a:noFill/>
            </a:ln>
          </c:spPr>
          <c:invertIfNegative val="0"/>
          <c:cat>
            <c:strRef>
              <c:f>'TR07'!$A$26:$A$38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030-4EE4-9AD8-F21A427EA00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'TR07'!$D$25</c:f>
              <c:strCache>
                <c:ptCount val="1"/>
                <c:pt idx="0">
                  <c:v>Meta - Rango</c:v>
                </c:pt>
              </c:strCache>
            </c:strRef>
          </c:tx>
          <c:spPr>
            <a:ln w="38100">
              <a:solidFill>
                <a:srgbClr val="FFD320"/>
              </a:solidFill>
              <a:prstDash val="solid"/>
            </a:ln>
          </c:spPr>
          <c:marker>
            <c:symbol val="none"/>
          </c:marker>
          <c:cat>
            <c:strRef>
              <c:f>'TR07'!$A$26:$A$38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030-4EE4-9AD8-F21A427EA00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'SE38'!$B$25</c:f>
              <c:strCache>
                <c:ptCount val="1"/>
                <c:pt idx="0">
                  <c:v>Datos</c:v>
                </c:pt>
              </c:strCache>
            </c:strRef>
          </c:tx>
          <c:spPr>
            <a:solidFill>
              <a:srgbClr val="004586"/>
            </a:solidFill>
            <a:ln w="25400">
              <a:noFill/>
            </a:ln>
          </c:spPr>
          <c:invertIfNegative val="0"/>
          <c:cat>
            <c:strRef>
              <c:f>'SE38'!$A$26:$A$38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'SE38'!$B$26:$B$38</c:f>
              <c:numCache>
                <c:formatCode>_-* #,##0.0_-;\-* #,##0.0_-;_-* "-"??_-;_-@_-</c:formatCode>
                <c:ptCount val="13"/>
                <c:pt idx="0">
                  <c:v>0</c:v>
                </c:pt>
                <c:pt idx="1">
                  <c:v>0</c:v>
                </c:pt>
                <c:pt idx="2">
                  <c:v>0</c:v>
                </c:pt>
                <c:pt idx="3">
                  <c:v>0</c:v>
                </c:pt>
                <c:pt idx="4">
                  <c:v>0</c:v>
                </c:pt>
                <c:pt idx="5">
                  <c:v>40</c:v>
                </c:pt>
                <c:pt idx="6">
                  <c:v>0</c:v>
                </c:pt>
                <c:pt idx="7">
                  <c:v>0</c:v>
                </c:pt>
                <c:pt idx="8">
                  <c:v>0</c:v>
                </c:pt>
                <c:pt idx="9">
                  <c:v>0</c:v>
                </c:pt>
                <c:pt idx="10">
                  <c:v>0</c:v>
                </c:pt>
                <c:pt idx="11">
                  <c:v>72</c:v>
                </c:pt>
                <c:pt idx="12">
                  <c:v>112</c:v>
                </c:pt>
              </c:numCache>
            </c:numRef>
          </c:val>
          <c:extLst>
            <c:ext xmlns:c16="http://schemas.microsoft.com/office/drawing/2014/chart" uri="{C3380CC4-5D6E-409C-BE32-E72D297353CC}">
              <c16:uniqueId val="{00000000-329E-4784-99C6-BC3965504302}"/>
            </c:ext>
          </c:extLst>
        </c:ser>
        <c:ser>
          <c:idx val="1"/>
          <c:order val="1"/>
          <c:tx>
            <c:strRef>
              <c:f>'SE38'!$C$25</c:f>
              <c:strCache>
                <c:ptCount val="1"/>
                <c:pt idx="0">
                  <c:v>Meta Vigencia</c:v>
                </c:pt>
              </c:strCache>
            </c:strRef>
          </c:tx>
          <c:spPr>
            <a:solidFill>
              <a:srgbClr val="FF420E"/>
            </a:solidFill>
            <a:ln w="25400">
              <a:noFill/>
            </a:ln>
          </c:spPr>
          <c:invertIfNegative val="0"/>
          <c:cat>
            <c:strRef>
              <c:f>'SE38'!$A$26:$A$38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'SE38'!$C$26:$C$38</c:f>
              <c:numCache>
                <c:formatCode>_-* #,##0.0_-;\-* #,##0.0_-;_-* "-"??_-;_-@_-</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extLst>
            <c:ext xmlns:c16="http://schemas.microsoft.com/office/drawing/2014/chart" uri="{C3380CC4-5D6E-409C-BE32-E72D297353CC}">
              <c16:uniqueId val="{00000001-329E-4784-99C6-BC396550430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'SE38'!$D$25</c:f>
              <c:strCache>
                <c:ptCount val="1"/>
                <c:pt idx="0">
                  <c:v>Meta - Rango</c:v>
                </c:pt>
              </c:strCache>
            </c:strRef>
          </c:tx>
          <c:spPr>
            <a:ln w="38100">
              <a:solidFill>
                <a:srgbClr val="FFD320"/>
              </a:solidFill>
              <a:prstDash val="solid"/>
            </a:ln>
          </c:spPr>
          <c:marker>
            <c:symbol val="none"/>
          </c:marker>
          <c:cat>
            <c:strRef>
              <c:f>'SE38'!$A$26:$A$38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'SE38'!$D$26:$D$38</c:f>
              <c:numCache>
                <c:formatCode>_-* #,##0.0_-;\-* #,##0.0_-;_-* "-"??_-;_-@_-</c:formatCode>
                <c:ptCount val="13"/>
                <c:pt idx="0">
                  <c:v>98</c:v>
                </c:pt>
                <c:pt idx="1">
                  <c:v>98</c:v>
                </c:pt>
                <c:pt idx="2">
                  <c:v>98</c:v>
                </c:pt>
                <c:pt idx="3">
                  <c:v>98</c:v>
                </c:pt>
                <c:pt idx="4">
                  <c:v>98</c:v>
                </c:pt>
                <c:pt idx="5">
                  <c:v>98</c:v>
                </c:pt>
                <c:pt idx="6">
                  <c:v>98</c:v>
                </c:pt>
                <c:pt idx="7">
                  <c:v>98</c:v>
                </c:pt>
                <c:pt idx="8">
                  <c:v>98</c:v>
                </c:pt>
                <c:pt idx="9">
                  <c:v>98</c:v>
                </c:pt>
                <c:pt idx="10">
                  <c:v>98</c:v>
                </c:pt>
                <c:pt idx="11">
                  <c:v>98</c:v>
                </c:pt>
                <c:pt idx="12">
                  <c:v>98</c:v>
                </c:pt>
              </c:numCache>
            </c:numRef>
          </c:val>
          <c:smooth val="0"/>
          <c:extLst>
            <c:ext xmlns:c16="http://schemas.microsoft.com/office/drawing/2014/chart" uri="{C3380CC4-5D6E-409C-BE32-E72D297353CC}">
              <c16:uniqueId val="{00000002-329E-4784-99C6-BC396550430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'SE39'!$B$25</c:f>
              <c:strCache>
                <c:ptCount val="1"/>
                <c:pt idx="0">
                  <c:v>Datos</c:v>
                </c:pt>
              </c:strCache>
            </c:strRef>
          </c:tx>
          <c:spPr>
            <a:solidFill>
              <a:srgbClr val="004586"/>
            </a:solidFill>
            <a:ln w="25400">
              <a:noFill/>
            </a:ln>
          </c:spPr>
          <c:invertIfNegative val="0"/>
          <c:cat>
            <c:strRef>
              <c:f>'SE39'!$A$26:$A$38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'SE39'!$B$26:$B$38</c:f>
              <c:numCache>
                <c:formatCode>_-* #,##0.0_-;\-* #,##0.0_-;_-* "-"??_-;_-@_-</c:formatCode>
                <c:ptCount val="13"/>
                <c:pt idx="0">
                  <c:v>0</c:v>
                </c:pt>
                <c:pt idx="1">
                  <c:v>0</c:v>
                </c:pt>
                <c:pt idx="2">
                  <c:v>0</c:v>
                </c:pt>
                <c:pt idx="3">
                  <c:v>0</c:v>
                </c:pt>
                <c:pt idx="4">
                  <c:v>0</c:v>
                </c:pt>
                <c:pt idx="5">
                  <c:v>7</c:v>
                </c:pt>
                <c:pt idx="6">
                  <c:v>0</c:v>
                </c:pt>
                <c:pt idx="7">
                  <c:v>0</c:v>
                </c:pt>
                <c:pt idx="8">
                  <c:v>0</c:v>
                </c:pt>
                <c:pt idx="9">
                  <c:v>0</c:v>
                </c:pt>
                <c:pt idx="10">
                  <c:v>0</c:v>
                </c:pt>
                <c:pt idx="11">
                  <c:v>17</c:v>
                </c:pt>
                <c:pt idx="12">
                  <c:v>24</c:v>
                </c:pt>
              </c:numCache>
            </c:numRef>
          </c:val>
          <c:extLst>
            <c:ext xmlns:c16="http://schemas.microsoft.com/office/drawing/2014/chart" uri="{C3380CC4-5D6E-409C-BE32-E72D297353CC}">
              <c16:uniqueId val="{00000000-73C9-4151-A3B1-C0705D84CB96}"/>
            </c:ext>
          </c:extLst>
        </c:ser>
        <c:ser>
          <c:idx val="1"/>
          <c:order val="1"/>
          <c:tx>
            <c:strRef>
              <c:f>'SE39'!$C$25</c:f>
              <c:strCache>
                <c:ptCount val="1"/>
                <c:pt idx="0">
                  <c:v>Meta Vigencia</c:v>
                </c:pt>
              </c:strCache>
            </c:strRef>
          </c:tx>
          <c:spPr>
            <a:solidFill>
              <a:srgbClr val="FF420E"/>
            </a:solidFill>
            <a:ln w="25400">
              <a:noFill/>
            </a:ln>
          </c:spPr>
          <c:invertIfNegative val="0"/>
          <c:cat>
            <c:strRef>
              <c:f>'SE39'!$A$26:$A$38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'SE39'!$C$26:$C$38</c:f>
              <c:numCache>
                <c:formatCode>_-* #,##0.0_-;\-* #,##0.0_-;_-* "-"??_-;_-@_-</c:formatCode>
                <c:ptCount val="13"/>
                <c:pt idx="0">
                  <c:v>13</c:v>
                </c:pt>
                <c:pt idx="1">
                  <c:v>13</c:v>
                </c:pt>
                <c:pt idx="2">
                  <c:v>13</c:v>
                </c:pt>
                <c:pt idx="3">
                  <c:v>13</c:v>
                </c:pt>
                <c:pt idx="4">
                  <c:v>13</c:v>
                </c:pt>
                <c:pt idx="5">
                  <c:v>13</c:v>
                </c:pt>
                <c:pt idx="6">
                  <c:v>13</c:v>
                </c:pt>
                <c:pt idx="7">
                  <c:v>13</c:v>
                </c:pt>
                <c:pt idx="8">
                  <c:v>13</c:v>
                </c:pt>
                <c:pt idx="9">
                  <c:v>13</c:v>
                </c:pt>
                <c:pt idx="10">
                  <c:v>13</c:v>
                </c:pt>
                <c:pt idx="11">
                  <c:v>13</c:v>
                </c:pt>
                <c:pt idx="12">
                  <c:v>13</c:v>
                </c:pt>
              </c:numCache>
            </c:numRef>
          </c:val>
          <c:extLst>
            <c:ext xmlns:c16="http://schemas.microsoft.com/office/drawing/2014/chart" uri="{C3380CC4-5D6E-409C-BE32-E72D297353CC}">
              <c16:uniqueId val="{00000001-73C9-4151-A3B1-C0705D84CB9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'SE39'!$D$25</c:f>
              <c:strCache>
                <c:ptCount val="1"/>
                <c:pt idx="0">
                  <c:v>Meta - Rango</c:v>
                </c:pt>
              </c:strCache>
            </c:strRef>
          </c:tx>
          <c:spPr>
            <a:ln w="38100">
              <a:solidFill>
                <a:srgbClr val="FFD320"/>
              </a:solidFill>
              <a:prstDash val="solid"/>
            </a:ln>
          </c:spPr>
          <c:marker>
            <c:symbol val="none"/>
          </c:marker>
          <c:cat>
            <c:strRef>
              <c:f>'SE39'!$A$26:$A$38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'SE39'!$D$26:$D$38</c:f>
              <c:numCache>
                <c:formatCode>_-* #,##0.0_-;\-* #,##0.0_-;_-* "-"??_-;_-@_-</c:formatCode>
                <c:ptCount val="13"/>
                <c:pt idx="0">
                  <c:v>12.74</c:v>
                </c:pt>
                <c:pt idx="1">
                  <c:v>12.74</c:v>
                </c:pt>
                <c:pt idx="2">
                  <c:v>12.74</c:v>
                </c:pt>
                <c:pt idx="3">
                  <c:v>12.74</c:v>
                </c:pt>
                <c:pt idx="4">
                  <c:v>12.74</c:v>
                </c:pt>
                <c:pt idx="5">
                  <c:v>12.74</c:v>
                </c:pt>
                <c:pt idx="6">
                  <c:v>12.74</c:v>
                </c:pt>
                <c:pt idx="7">
                  <c:v>12.74</c:v>
                </c:pt>
                <c:pt idx="8">
                  <c:v>12.74</c:v>
                </c:pt>
                <c:pt idx="9">
                  <c:v>12.74</c:v>
                </c:pt>
                <c:pt idx="10">
                  <c:v>12.74</c:v>
                </c:pt>
                <c:pt idx="11">
                  <c:v>12.74</c:v>
                </c:pt>
                <c:pt idx="12">
                  <c:v>12.74</c:v>
                </c:pt>
              </c:numCache>
            </c:numRef>
          </c:val>
          <c:smooth val="0"/>
          <c:extLst>
            <c:ext xmlns:c16="http://schemas.microsoft.com/office/drawing/2014/chart" uri="{C3380CC4-5D6E-409C-BE32-E72D297353CC}">
              <c16:uniqueId val="{00000002-73C9-4151-A3B1-C0705D84CB9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'SE26'!$B$25</c:f>
              <c:strCache>
                <c:ptCount val="1"/>
                <c:pt idx="0">
                  <c:v>Datos</c:v>
                </c:pt>
              </c:strCache>
            </c:strRef>
          </c:tx>
          <c:spPr>
            <a:solidFill>
              <a:srgbClr val="004586"/>
            </a:solidFill>
            <a:ln w="25400">
              <a:noFill/>
            </a:ln>
          </c:spPr>
          <c:invertIfNegative val="0"/>
          <c:cat>
            <c:strRef>
              <c:f>'SE26'!$A$26:$A$38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'SE26'!$B$26:$B$38</c:f>
              <c:numCache>
                <c:formatCode>_-* #,##0.0_-;\-* #,##0.0_-;_-* "-"??_-;_-@_-</c:formatCode>
                <c:ptCount val="13"/>
                <c:pt idx="0">
                  <c:v>0</c:v>
                </c:pt>
                <c:pt idx="1">
                  <c:v>0</c:v>
                </c:pt>
                <c:pt idx="2">
                  <c:v>0</c:v>
                </c:pt>
                <c:pt idx="3">
                  <c:v>0</c:v>
                </c:pt>
                <c:pt idx="4">
                  <c:v>0</c:v>
                </c:pt>
                <c:pt idx="5">
                  <c:v>1</c:v>
                </c:pt>
                <c:pt idx="6">
                  <c:v>0</c:v>
                </c:pt>
                <c:pt idx="7">
                  <c:v>0</c:v>
                </c:pt>
                <c:pt idx="8">
                  <c:v>0</c:v>
                </c:pt>
                <c:pt idx="9">
                  <c:v>0</c:v>
                </c:pt>
                <c:pt idx="10">
                  <c:v>0</c:v>
                </c:pt>
                <c:pt idx="11">
                  <c:v>3</c:v>
                </c:pt>
                <c:pt idx="12">
                  <c:v>4</c:v>
                </c:pt>
              </c:numCache>
            </c:numRef>
          </c:val>
          <c:extLst>
            <c:ext xmlns:c16="http://schemas.microsoft.com/office/drawing/2014/chart" uri="{C3380CC4-5D6E-409C-BE32-E72D297353CC}">
              <c16:uniqueId val="{00000000-8449-4F53-A080-B0FA488D2326}"/>
            </c:ext>
          </c:extLst>
        </c:ser>
        <c:ser>
          <c:idx val="1"/>
          <c:order val="1"/>
          <c:tx>
            <c:strRef>
              <c:f>'SE26'!$C$25</c:f>
              <c:strCache>
                <c:ptCount val="1"/>
                <c:pt idx="0">
                  <c:v>Meta Vigencia</c:v>
                </c:pt>
              </c:strCache>
            </c:strRef>
          </c:tx>
          <c:spPr>
            <a:solidFill>
              <a:srgbClr val="FF420E"/>
            </a:solidFill>
            <a:ln w="25400">
              <a:noFill/>
            </a:ln>
          </c:spPr>
          <c:invertIfNegative val="0"/>
          <c:cat>
            <c:strRef>
              <c:f>'SE26'!$A$26:$A$38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'SE26'!$C$26:$C$38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8449-4F53-A080-B0FA488D2326}"/>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'SE26'!$D$25</c:f>
              <c:strCache>
                <c:ptCount val="1"/>
                <c:pt idx="0">
                  <c:v>Meta - Rango</c:v>
                </c:pt>
              </c:strCache>
            </c:strRef>
          </c:tx>
          <c:spPr>
            <a:ln w="38100">
              <a:solidFill>
                <a:srgbClr val="FFD320"/>
              </a:solidFill>
              <a:prstDash val="solid"/>
            </a:ln>
          </c:spPr>
          <c:marker>
            <c:symbol val="none"/>
          </c:marker>
          <c:cat>
            <c:strRef>
              <c:f>'SE26'!$A$26:$A$38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'SE26'!$D$26:$D$38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8449-4F53-A080-B0FA488D2326}"/>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'CT23'!$B$25</c:f>
              <c:strCache>
                <c:ptCount val="1"/>
                <c:pt idx="0">
                  <c:v>Datos</c:v>
                </c:pt>
              </c:strCache>
            </c:strRef>
          </c:tx>
          <c:spPr>
            <a:solidFill>
              <a:srgbClr val="004586"/>
            </a:solidFill>
            <a:ln w="25400">
              <a:noFill/>
            </a:ln>
          </c:spPr>
          <c:invertIfNegative val="0"/>
          <c:cat>
            <c:strRef>
              <c:f>'CT23'!$A$26:$A$38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A7CD-4909-A3C5-952EF0A04EEC}"/>
            </c:ext>
          </c:extLst>
        </c:ser>
        <c:ser>
          <c:idx val="1"/>
          <c:order val="1"/>
          <c:tx>
            <c:strRef>
              <c:f>'CT23'!$C$25</c:f>
              <c:strCache>
                <c:ptCount val="1"/>
                <c:pt idx="0">
                  <c:v>Meta Vigencia</c:v>
                </c:pt>
              </c:strCache>
            </c:strRef>
          </c:tx>
          <c:spPr>
            <a:solidFill>
              <a:srgbClr val="FF420E"/>
            </a:solidFill>
            <a:ln w="25400">
              <a:noFill/>
            </a:ln>
          </c:spPr>
          <c:invertIfNegative val="0"/>
          <c:cat>
            <c:strRef>
              <c:f>'CT23'!$A$26:$A$38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'CT23'!$C$26:$C$38</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1-A7CD-4909-A3C5-952EF0A04EE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'CT23'!$D$25</c:f>
              <c:strCache>
                <c:ptCount val="1"/>
                <c:pt idx="0">
                  <c:v>Meta - Rango</c:v>
                </c:pt>
              </c:strCache>
            </c:strRef>
          </c:tx>
          <c:spPr>
            <a:ln w="38100">
              <a:solidFill>
                <a:srgbClr val="FFD320"/>
              </a:solidFill>
              <a:prstDash val="solid"/>
            </a:ln>
          </c:spPr>
          <c:marker>
            <c:symbol val="none"/>
          </c:marker>
          <c:cat>
            <c:strRef>
              <c:f>'CT23'!$A$26:$A$38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'CT23'!$D$26:$D$38</c:f>
              <c:numCache>
                <c:formatCode>0%</c:formatCode>
                <c:ptCount val="13"/>
                <c:pt idx="0">
                  <c:v>0.88200000000000001</c:v>
                </c:pt>
                <c:pt idx="1">
                  <c:v>0.88200000000000001</c:v>
                </c:pt>
                <c:pt idx="2">
                  <c:v>0.88200000000000001</c:v>
                </c:pt>
                <c:pt idx="3">
                  <c:v>0.88200000000000001</c:v>
                </c:pt>
                <c:pt idx="4">
                  <c:v>0.88200000000000001</c:v>
                </c:pt>
                <c:pt idx="5">
                  <c:v>0.88200000000000001</c:v>
                </c:pt>
                <c:pt idx="6">
                  <c:v>0.88200000000000001</c:v>
                </c:pt>
                <c:pt idx="7">
                  <c:v>0.88200000000000001</c:v>
                </c:pt>
                <c:pt idx="8">
                  <c:v>0.88200000000000001</c:v>
                </c:pt>
                <c:pt idx="9">
                  <c:v>0.88200000000000001</c:v>
                </c:pt>
                <c:pt idx="10">
                  <c:v>0.88200000000000001</c:v>
                </c:pt>
                <c:pt idx="11">
                  <c:v>0.88200000000000001</c:v>
                </c:pt>
                <c:pt idx="12">
                  <c:v>0.88200000000000001</c:v>
                </c:pt>
              </c:numCache>
            </c:numRef>
          </c:val>
          <c:smooth val="0"/>
          <c:extLst>
            <c:ext xmlns:c16="http://schemas.microsoft.com/office/drawing/2014/chart" uri="{C3380CC4-5D6E-409C-BE32-E72D297353CC}">
              <c16:uniqueId val="{00000002-A7CD-4909-A3C5-952EF0A04EE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'CT24'!$B$25</c:f>
              <c:strCache>
                <c:ptCount val="1"/>
                <c:pt idx="0">
                  <c:v>Datos</c:v>
                </c:pt>
              </c:strCache>
            </c:strRef>
          </c:tx>
          <c:spPr>
            <a:solidFill>
              <a:srgbClr val="004586"/>
            </a:solidFill>
            <a:ln w="25400">
              <a:noFill/>
            </a:ln>
          </c:spPr>
          <c:invertIfNegative val="0"/>
          <c:cat>
            <c:strRef>
              <c:f>'CT24'!$A$26:$A$38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047D-4F2C-A645-112BCD493EC7}"/>
            </c:ext>
          </c:extLst>
        </c:ser>
        <c:ser>
          <c:idx val="1"/>
          <c:order val="1"/>
          <c:tx>
            <c:strRef>
              <c:f>'CT24'!$C$25</c:f>
              <c:strCache>
                <c:ptCount val="1"/>
                <c:pt idx="0">
                  <c:v>Meta Vigencia</c:v>
                </c:pt>
              </c:strCache>
            </c:strRef>
          </c:tx>
          <c:spPr>
            <a:solidFill>
              <a:srgbClr val="FF420E"/>
            </a:solidFill>
            <a:ln w="25400">
              <a:noFill/>
            </a:ln>
          </c:spPr>
          <c:invertIfNegative val="0"/>
          <c:cat>
            <c:strRef>
              <c:f>'CT24'!$A$26:$A$38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47D-4F2C-A645-112BCD493EC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'CT24'!$D$25</c:f>
              <c:strCache>
                <c:ptCount val="1"/>
                <c:pt idx="0">
                  <c:v>Meta - Rango</c:v>
                </c:pt>
              </c:strCache>
            </c:strRef>
          </c:tx>
          <c:spPr>
            <a:ln w="38100">
              <a:solidFill>
                <a:srgbClr val="FFD320"/>
              </a:solidFill>
              <a:prstDash val="solid"/>
            </a:ln>
          </c:spPr>
          <c:marker>
            <c:symbol val="none"/>
          </c:marker>
          <c:cat>
            <c:strRef>
              <c:f>'CT24'!$A$26:$A$38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'CT24'!$D$26:$D$38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47D-4F2C-A645-112BCD493EC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'JC01'!$B$25</c:f>
              <c:strCache>
                <c:ptCount val="1"/>
                <c:pt idx="0">
                  <c:v>Datos</c:v>
                </c:pt>
              </c:strCache>
            </c:strRef>
          </c:tx>
          <c:spPr>
            <a:solidFill>
              <a:srgbClr val="004586"/>
            </a:solidFill>
            <a:ln w="25400">
              <a:noFill/>
            </a:ln>
          </c:spPr>
          <c:invertIfNegative val="0"/>
          <c:cat>
            <c:strRef>
              <c:f>'JC01'!$A$26:$A$38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'JC01'!$B$26:$B$38</c:f>
              <c:numCache>
                <c:formatCode>_-* #,##0.0_-;\-* #,##0.0_-;_-* "-"??_-;_-@_-</c:formatCode>
                <c:ptCount val="13"/>
                <c:pt idx="0">
                  <c:v>0</c:v>
                </c:pt>
                <c:pt idx="1">
                  <c:v>0</c:v>
                </c:pt>
                <c:pt idx="2">
                  <c:v>0</c:v>
                </c:pt>
                <c:pt idx="3">
                  <c:v>0</c:v>
                </c:pt>
                <c:pt idx="4">
                  <c:v>0</c:v>
                </c:pt>
                <c:pt idx="5">
                  <c:v>7</c:v>
                </c:pt>
                <c:pt idx="6">
                  <c:v>0</c:v>
                </c:pt>
                <c:pt idx="7">
                  <c:v>0</c:v>
                </c:pt>
                <c:pt idx="8">
                  <c:v>0</c:v>
                </c:pt>
                <c:pt idx="9">
                  <c:v>0</c:v>
                </c:pt>
                <c:pt idx="10">
                  <c:v>0</c:v>
                </c:pt>
                <c:pt idx="11">
                  <c:v>7</c:v>
                </c:pt>
                <c:pt idx="12">
                  <c:v>14</c:v>
                </c:pt>
              </c:numCache>
            </c:numRef>
          </c:val>
          <c:extLst>
            <c:ext xmlns:c16="http://schemas.microsoft.com/office/drawing/2014/chart" uri="{C3380CC4-5D6E-409C-BE32-E72D297353CC}">
              <c16:uniqueId val="{00000000-99CF-499A-8C31-99D4B2F1434E}"/>
            </c:ext>
          </c:extLst>
        </c:ser>
        <c:ser>
          <c:idx val="1"/>
          <c:order val="1"/>
          <c:tx>
            <c:strRef>
              <c:f>'JC01'!$C$25</c:f>
              <c:strCache>
                <c:ptCount val="1"/>
                <c:pt idx="0">
                  <c:v>Meta Vigencia</c:v>
                </c:pt>
              </c:strCache>
            </c:strRef>
          </c:tx>
          <c:spPr>
            <a:solidFill>
              <a:srgbClr val="FF420E"/>
            </a:solidFill>
            <a:ln w="25400">
              <a:noFill/>
            </a:ln>
          </c:spPr>
          <c:invertIfNegative val="0"/>
          <c:cat>
            <c:strRef>
              <c:f>'JC01'!$A$26:$A$38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'JC01'!$C$26:$C$38</c:f>
              <c:numCache>
                <c:formatCode>_-* #,##0.0_-;\-* #,##0.0_-;_-* "-"??_-;_-@_-</c:formatCode>
                <c:ptCount val="13"/>
                <c:pt idx="0">
                  <c:v>14</c:v>
                </c:pt>
                <c:pt idx="1">
                  <c:v>14</c:v>
                </c:pt>
                <c:pt idx="2">
                  <c:v>14</c:v>
                </c:pt>
                <c:pt idx="3">
                  <c:v>14</c:v>
                </c:pt>
                <c:pt idx="4">
                  <c:v>14</c:v>
                </c:pt>
                <c:pt idx="5">
                  <c:v>14</c:v>
                </c:pt>
                <c:pt idx="6">
                  <c:v>14</c:v>
                </c:pt>
                <c:pt idx="7">
                  <c:v>14</c:v>
                </c:pt>
                <c:pt idx="8">
                  <c:v>14</c:v>
                </c:pt>
                <c:pt idx="9">
                  <c:v>14</c:v>
                </c:pt>
                <c:pt idx="10">
                  <c:v>14</c:v>
                </c:pt>
                <c:pt idx="11">
                  <c:v>14</c:v>
                </c:pt>
                <c:pt idx="12">
                  <c:v>14</c:v>
                </c:pt>
              </c:numCache>
            </c:numRef>
          </c:val>
          <c:extLst>
            <c:ext xmlns:c16="http://schemas.microsoft.com/office/drawing/2014/chart" uri="{C3380CC4-5D6E-409C-BE32-E72D297353CC}">
              <c16:uniqueId val="{00000001-99CF-499A-8C31-99D4B2F1434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'JC01'!$D$25</c:f>
              <c:strCache>
                <c:ptCount val="1"/>
                <c:pt idx="0">
                  <c:v>Meta - Rango</c:v>
                </c:pt>
              </c:strCache>
            </c:strRef>
          </c:tx>
          <c:spPr>
            <a:ln w="38100">
              <a:solidFill>
                <a:srgbClr val="FFD320"/>
              </a:solidFill>
              <a:prstDash val="solid"/>
            </a:ln>
          </c:spPr>
          <c:marker>
            <c:symbol val="none"/>
          </c:marker>
          <c:cat>
            <c:strRef>
              <c:f>'JC01'!$A$26:$A$38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'JC01'!$D$26:$D$38</c:f>
              <c:numCache>
                <c:formatCode>_-* #,##0.0_-;\-* #,##0.0_-;_-* "-"??_-;_-@_-</c:formatCode>
                <c:ptCount val="13"/>
                <c:pt idx="0">
                  <c:v>13.719999999999999</c:v>
                </c:pt>
                <c:pt idx="1">
                  <c:v>13.719999999999999</c:v>
                </c:pt>
                <c:pt idx="2">
                  <c:v>13.719999999999999</c:v>
                </c:pt>
                <c:pt idx="3">
                  <c:v>13.719999999999999</c:v>
                </c:pt>
                <c:pt idx="4">
                  <c:v>13.719999999999999</c:v>
                </c:pt>
                <c:pt idx="5">
                  <c:v>13.719999999999999</c:v>
                </c:pt>
                <c:pt idx="6">
                  <c:v>13.719999999999999</c:v>
                </c:pt>
                <c:pt idx="7">
                  <c:v>13.719999999999999</c:v>
                </c:pt>
                <c:pt idx="8">
                  <c:v>13.719999999999999</c:v>
                </c:pt>
                <c:pt idx="9">
                  <c:v>13.719999999999999</c:v>
                </c:pt>
                <c:pt idx="10">
                  <c:v>13.719999999999999</c:v>
                </c:pt>
                <c:pt idx="11">
                  <c:v>13.719999999999999</c:v>
                </c:pt>
                <c:pt idx="12">
                  <c:v>13.719999999999999</c:v>
                </c:pt>
              </c:numCache>
            </c:numRef>
          </c:val>
          <c:smooth val="0"/>
          <c:extLst>
            <c:ext xmlns:c16="http://schemas.microsoft.com/office/drawing/2014/chart" uri="{C3380CC4-5D6E-409C-BE32-E72D297353CC}">
              <c16:uniqueId val="{00000002-99CF-499A-8C31-99D4B2F1434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 val="autoZero"/>
        <c:auto val="1"/>
        <c:lblAlgn val="ctr"/>
        <c:lblOffset val="100"/>
        <c:tickLblSkip val="1"/>
        <c:tickMarkSkip val="1"/>
        <c:noMultiLvlLbl val="0"/>
      </c:catAx>
      <c:valAx>
        <c:axId val="198533920"/>
        <c:scaling>
          <c:orientation val="minMax"/>
          <c:max val="14"/>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'TR04'!$B$25</c:f>
              <c:strCache>
                <c:ptCount val="1"/>
                <c:pt idx="0">
                  <c:v>Datos</c:v>
                </c:pt>
              </c:strCache>
            </c:strRef>
          </c:tx>
          <c:spPr>
            <a:solidFill>
              <a:srgbClr val="004586"/>
            </a:solidFill>
            <a:ln w="25400">
              <a:noFill/>
            </a:ln>
          </c:spPr>
          <c:invertIfNegative val="0"/>
          <c:cat>
            <c:strRef>
              <c:f>'TR04'!$A$26:$A$38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038-4451-B960-CC8322077627}"/>
            </c:ext>
          </c:extLst>
        </c:ser>
        <c:ser>
          <c:idx val="1"/>
          <c:order val="1"/>
          <c:tx>
            <c:strRef>
              <c:f>'TR04'!$C$25</c:f>
              <c:strCache>
                <c:ptCount val="1"/>
                <c:pt idx="0">
                  <c:v>Meta Vigencia</c:v>
                </c:pt>
              </c:strCache>
            </c:strRef>
          </c:tx>
          <c:spPr>
            <a:solidFill>
              <a:srgbClr val="FF420E"/>
            </a:solidFill>
            <a:ln w="25400">
              <a:noFill/>
            </a:ln>
          </c:spPr>
          <c:invertIfNegative val="0"/>
          <c:cat>
            <c:strRef>
              <c:f>'TR04'!$A$26:$A$38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E038-4451-B960-CC832207762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'TR04'!$D$25</c:f>
              <c:strCache>
                <c:ptCount val="1"/>
                <c:pt idx="0">
                  <c:v>Meta - Rango</c:v>
                </c:pt>
              </c:strCache>
            </c:strRef>
          </c:tx>
          <c:spPr>
            <a:ln w="38100">
              <a:solidFill>
                <a:srgbClr val="FFD320"/>
              </a:solidFill>
              <a:prstDash val="solid"/>
            </a:ln>
          </c:spPr>
          <c:marker>
            <c:symbol val="none"/>
          </c:marker>
          <c:cat>
            <c:strRef>
              <c:f>'TR04'!$A$26:$A$38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'TR04'!$D$26:$D$38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E038-4451-B960-CC832207762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'CT05'!$B$25</c:f>
              <c:strCache>
                <c:ptCount val="1"/>
                <c:pt idx="0">
                  <c:v>Datos</c:v>
                </c:pt>
              </c:strCache>
            </c:strRef>
          </c:tx>
          <c:spPr>
            <a:solidFill>
              <a:srgbClr val="004586"/>
            </a:solidFill>
            <a:ln w="25400">
              <a:noFill/>
            </a:ln>
          </c:spPr>
          <c:invertIfNegative val="0"/>
          <c:cat>
            <c:strRef>
              <c:f>'CT05'!$A$26:$A$38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EDFA-4B8A-B600-8DE0959AAE8A}"/>
            </c:ext>
          </c:extLst>
        </c:ser>
        <c:ser>
          <c:idx val="1"/>
          <c:order val="1"/>
          <c:tx>
            <c:strRef>
              <c:f>'CT05'!$C$25</c:f>
              <c:strCache>
                <c:ptCount val="1"/>
                <c:pt idx="0">
                  <c:v>Meta Vigencia</c:v>
                </c:pt>
              </c:strCache>
            </c:strRef>
          </c:tx>
          <c:spPr>
            <a:solidFill>
              <a:srgbClr val="FF420E"/>
            </a:solidFill>
            <a:ln w="25400">
              <a:noFill/>
            </a:ln>
          </c:spPr>
          <c:invertIfNegative val="0"/>
          <c:cat>
            <c:strRef>
              <c:f>'CT05'!$A$26:$A$38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EDFA-4B8A-B600-8DE0959AAE8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'CT05'!$D$25</c:f>
              <c:strCache>
                <c:ptCount val="1"/>
                <c:pt idx="0">
                  <c:v>Meta - Rango</c:v>
                </c:pt>
              </c:strCache>
            </c:strRef>
          </c:tx>
          <c:spPr>
            <a:ln w="38100">
              <a:solidFill>
                <a:srgbClr val="FFD320"/>
              </a:solidFill>
              <a:prstDash val="solid"/>
            </a:ln>
          </c:spPr>
          <c:marker>
            <c:symbol val="none"/>
          </c:marker>
          <c:cat>
            <c:strRef>
              <c:f>'CT05'!$A$26:$A$38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EDFA-4B8A-B600-8DE0959AAE8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'CT06'!$B$25</c:f>
              <c:strCache>
                <c:ptCount val="1"/>
                <c:pt idx="0">
                  <c:v>Datos</c:v>
                </c:pt>
              </c:strCache>
            </c:strRef>
          </c:tx>
          <c:spPr>
            <a:solidFill>
              <a:srgbClr val="004586"/>
            </a:solidFill>
            <a:ln w="25400">
              <a:noFill/>
            </a:ln>
          </c:spPr>
          <c:invertIfNegative val="0"/>
          <c:cat>
            <c:strRef>
              <c:f>'CT06'!$A$26:$A$38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'CT06'!$B$26:$B$38</c:f>
              <c:numCache>
                <c:formatCode>0%</c:formatCode>
                <c:ptCount val="13"/>
                <c:pt idx="0">
                  <c:v>0</c:v>
                </c:pt>
                <c:pt idx="1">
                  <c:v>0</c:v>
                </c:pt>
                <c:pt idx="2">
                  <c:v>0</c:v>
                </c:pt>
                <c:pt idx="3">
                  <c:v>0</c:v>
                </c:pt>
                <c:pt idx="4">
                  <c:v>0</c:v>
                </c:pt>
                <c:pt idx="5">
                  <c:v>0</c:v>
                </c:pt>
                <c:pt idx="6">
                  <c:v>0</c:v>
                </c:pt>
                <c:pt idx="7">
                  <c:v>0</c:v>
                </c:pt>
                <c:pt idx="8">
                  <c:v>0</c:v>
                </c:pt>
                <c:pt idx="9">
                  <c:v>0</c:v>
                </c:pt>
                <c:pt idx="10">
                  <c:v>1</c:v>
                </c:pt>
                <c:pt idx="11">
                  <c:v>1</c:v>
                </c:pt>
                <c:pt idx="12">
                  <c:v>1</c:v>
                </c:pt>
              </c:numCache>
            </c:numRef>
          </c:val>
          <c:extLst>
            <c:ext xmlns:c16="http://schemas.microsoft.com/office/drawing/2014/chart" uri="{C3380CC4-5D6E-409C-BE32-E72D297353CC}">
              <c16:uniqueId val="{00000000-5CFB-4BE7-92C7-9E0863149E8C}"/>
            </c:ext>
          </c:extLst>
        </c:ser>
        <c:ser>
          <c:idx val="1"/>
          <c:order val="1"/>
          <c:tx>
            <c:strRef>
              <c:f>'CT06'!$C$25</c:f>
              <c:strCache>
                <c:ptCount val="1"/>
                <c:pt idx="0">
                  <c:v>Meta Vigencia</c:v>
                </c:pt>
              </c:strCache>
            </c:strRef>
          </c:tx>
          <c:spPr>
            <a:solidFill>
              <a:srgbClr val="FF420E"/>
            </a:solidFill>
            <a:ln w="25400">
              <a:noFill/>
            </a:ln>
          </c:spPr>
          <c:invertIfNegative val="0"/>
          <c:cat>
            <c:strRef>
              <c:f>'CT06'!$A$26:$A$38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5CFB-4BE7-92C7-9E0863149E8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'CT06'!$D$25</c:f>
              <c:strCache>
                <c:ptCount val="1"/>
                <c:pt idx="0">
                  <c:v>Meta - Rango</c:v>
                </c:pt>
              </c:strCache>
            </c:strRef>
          </c:tx>
          <c:spPr>
            <a:ln w="38100">
              <a:solidFill>
                <a:srgbClr val="FFD320"/>
              </a:solidFill>
              <a:prstDash val="solid"/>
            </a:ln>
          </c:spPr>
          <c:marker>
            <c:symbol val="none"/>
          </c:marker>
          <c:cat>
            <c:strRef>
              <c:f>'CT06'!$A$26:$A$38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5CFB-4BE7-92C7-9E0863149E8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'CT07'!$B$25</c:f>
              <c:strCache>
                <c:ptCount val="1"/>
                <c:pt idx="0">
                  <c:v>Datos</c:v>
                </c:pt>
              </c:strCache>
            </c:strRef>
          </c:tx>
          <c:spPr>
            <a:solidFill>
              <a:srgbClr val="004586"/>
            </a:solidFill>
            <a:ln w="25400">
              <a:noFill/>
            </a:ln>
          </c:spPr>
          <c:invertIfNegative val="0"/>
          <c:cat>
            <c:strRef>
              <c:f>'CT07'!$A$26:$A$38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'CT07'!$B$26:$B$38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76BA-42EA-A8D5-7B35675DDAA7}"/>
            </c:ext>
          </c:extLst>
        </c:ser>
        <c:ser>
          <c:idx val="1"/>
          <c:order val="1"/>
          <c:tx>
            <c:strRef>
              <c:f>'CT07'!$C$25</c:f>
              <c:strCache>
                <c:ptCount val="1"/>
                <c:pt idx="0">
                  <c:v>Meta Vigencia</c:v>
                </c:pt>
              </c:strCache>
            </c:strRef>
          </c:tx>
          <c:spPr>
            <a:solidFill>
              <a:srgbClr val="FF420E"/>
            </a:solidFill>
            <a:ln w="25400">
              <a:noFill/>
            </a:ln>
          </c:spPr>
          <c:invertIfNegative val="0"/>
          <c:cat>
            <c:strRef>
              <c:f>'CT07'!$A$26:$A$38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6BA-42EA-A8D5-7B35675DDAA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'CT07'!$D$25</c:f>
              <c:strCache>
                <c:ptCount val="1"/>
                <c:pt idx="0">
                  <c:v>Meta - Rango</c:v>
                </c:pt>
              </c:strCache>
            </c:strRef>
          </c:tx>
          <c:spPr>
            <a:ln w="38100">
              <a:solidFill>
                <a:srgbClr val="FFD320"/>
              </a:solidFill>
              <a:prstDash val="solid"/>
            </a:ln>
          </c:spPr>
          <c:marker>
            <c:symbol val="none"/>
          </c:marker>
          <c:cat>
            <c:strRef>
              <c:f>'CT07'!$A$26:$A$38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6BA-42EA-A8D5-7B35675DDAA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'DI07'!$B$25</c:f>
              <c:strCache>
                <c:ptCount val="1"/>
                <c:pt idx="0">
                  <c:v>Datos</c:v>
                </c:pt>
              </c:strCache>
            </c:strRef>
          </c:tx>
          <c:spPr>
            <a:solidFill>
              <a:srgbClr val="004586"/>
            </a:solidFill>
            <a:ln w="25400">
              <a:noFill/>
            </a:ln>
          </c:spPr>
          <c:invertIfNegative val="0"/>
          <c:cat>
            <c:strRef>
              <c:f>'DI07'!$A$26:$A$38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'DI07'!$B$26:$B$38</c:f>
              <c:numCache>
                <c:formatCode>0%</c:formatCode>
                <c:ptCount val="13"/>
                <c:pt idx="0">
                  <c:v>0</c:v>
                </c:pt>
                <c:pt idx="1">
                  <c:v>0</c:v>
                </c:pt>
                <c:pt idx="2">
                  <c:v>0.875</c:v>
                </c:pt>
                <c:pt idx="3">
                  <c:v>0</c:v>
                </c:pt>
                <c:pt idx="4">
                  <c:v>0</c:v>
                </c:pt>
                <c:pt idx="5">
                  <c:v>0.7142857142857143</c:v>
                </c:pt>
                <c:pt idx="6">
                  <c:v>0</c:v>
                </c:pt>
                <c:pt idx="7">
                  <c:v>0</c:v>
                </c:pt>
                <c:pt idx="8">
                  <c:v>0.875</c:v>
                </c:pt>
                <c:pt idx="9">
                  <c:v>0</c:v>
                </c:pt>
                <c:pt idx="10">
                  <c:v>0</c:v>
                </c:pt>
                <c:pt idx="11">
                  <c:v>0.80952380952380953</c:v>
                </c:pt>
                <c:pt idx="12">
                  <c:v>0.7931034482758621</c:v>
                </c:pt>
              </c:numCache>
            </c:numRef>
          </c:val>
          <c:extLst>
            <c:ext xmlns:c16="http://schemas.microsoft.com/office/drawing/2014/chart" uri="{C3380CC4-5D6E-409C-BE32-E72D297353CC}">
              <c16:uniqueId val="{00000000-E910-41E8-BDD2-9D9A13381E30}"/>
            </c:ext>
          </c:extLst>
        </c:ser>
        <c:ser>
          <c:idx val="1"/>
          <c:order val="1"/>
          <c:tx>
            <c:strRef>
              <c:f>'DI07'!$C$25</c:f>
              <c:strCache>
                <c:ptCount val="1"/>
                <c:pt idx="0">
                  <c:v>Meta Vigencia</c:v>
                </c:pt>
              </c:strCache>
            </c:strRef>
          </c:tx>
          <c:spPr>
            <a:solidFill>
              <a:srgbClr val="FF420E"/>
            </a:solidFill>
            <a:ln w="25400">
              <a:noFill/>
            </a:ln>
          </c:spPr>
          <c:invertIfNegative val="0"/>
          <c:cat>
            <c:strRef>
              <c:f>'DI07'!$A$26:$A$38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E910-41E8-BDD2-9D9A13381E3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'DI07'!$D$25</c:f>
              <c:strCache>
                <c:ptCount val="1"/>
                <c:pt idx="0">
                  <c:v>Meta - Rango</c:v>
                </c:pt>
              </c:strCache>
            </c:strRef>
          </c:tx>
          <c:spPr>
            <a:ln w="38100">
              <a:solidFill>
                <a:srgbClr val="FFD320"/>
              </a:solidFill>
              <a:prstDash val="solid"/>
            </a:ln>
          </c:spPr>
          <c:marker>
            <c:symbol val="none"/>
          </c:marker>
          <c:cat>
            <c:strRef>
              <c:f>'DI07'!$A$26:$A$38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E910-41E8-BDD2-9D9A13381E3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'DI09'!$B$25</c:f>
              <c:strCache>
                <c:ptCount val="1"/>
                <c:pt idx="0">
                  <c:v>Datos</c:v>
                </c:pt>
              </c:strCache>
            </c:strRef>
          </c:tx>
          <c:spPr>
            <a:solidFill>
              <a:srgbClr val="004586"/>
            </a:solidFill>
            <a:ln w="25400">
              <a:noFill/>
            </a:ln>
          </c:spPr>
          <c:invertIfNegative val="0"/>
          <c:cat>
            <c:strRef>
              <c:f>'DI09'!$A$26:$A$38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'DI09'!$B$26:$B$38</c:f>
              <c:numCache>
                <c:formatCode>0%</c:formatCode>
                <c:ptCount val="13"/>
                <c:pt idx="0">
                  <c:v>0</c:v>
                </c:pt>
                <c:pt idx="1">
                  <c:v>0</c:v>
                </c:pt>
                <c:pt idx="2">
                  <c:v>1</c:v>
                </c:pt>
                <c:pt idx="3">
                  <c:v>0</c:v>
                </c:pt>
                <c:pt idx="4">
                  <c:v>0</c:v>
                </c:pt>
                <c:pt idx="5">
                  <c:v>0.8</c:v>
                </c:pt>
                <c:pt idx="6">
                  <c:v>0</c:v>
                </c:pt>
                <c:pt idx="7">
                  <c:v>0</c:v>
                </c:pt>
                <c:pt idx="8">
                  <c:v>1</c:v>
                </c:pt>
                <c:pt idx="9">
                  <c:v>0</c:v>
                </c:pt>
                <c:pt idx="10">
                  <c:v>0</c:v>
                </c:pt>
                <c:pt idx="11">
                  <c:v>0.8</c:v>
                </c:pt>
                <c:pt idx="12">
                  <c:v>0.83333333333333337</c:v>
                </c:pt>
              </c:numCache>
            </c:numRef>
          </c:val>
          <c:extLst>
            <c:ext xmlns:c16="http://schemas.microsoft.com/office/drawing/2014/chart" uri="{C3380CC4-5D6E-409C-BE32-E72D297353CC}">
              <c16:uniqueId val="{00000000-7A44-4749-A88A-B739BE36E5A8}"/>
            </c:ext>
          </c:extLst>
        </c:ser>
        <c:ser>
          <c:idx val="1"/>
          <c:order val="1"/>
          <c:tx>
            <c:strRef>
              <c:f>'DI09'!$C$25</c:f>
              <c:strCache>
                <c:ptCount val="1"/>
                <c:pt idx="0">
                  <c:v>Meta Vigencia</c:v>
                </c:pt>
              </c:strCache>
            </c:strRef>
          </c:tx>
          <c:spPr>
            <a:solidFill>
              <a:srgbClr val="FF420E"/>
            </a:solidFill>
            <a:ln w="25400">
              <a:noFill/>
            </a:ln>
          </c:spPr>
          <c:invertIfNegative val="0"/>
          <c:cat>
            <c:strRef>
              <c:f>'DI09'!$A$26:$A$38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'DI09'!$C$26:$C$38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7A44-4749-A88A-B739BE36E5A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'DI09'!$D$25</c:f>
              <c:strCache>
                <c:ptCount val="1"/>
                <c:pt idx="0">
                  <c:v>Meta - Rango</c:v>
                </c:pt>
              </c:strCache>
            </c:strRef>
          </c:tx>
          <c:spPr>
            <a:ln w="38100">
              <a:solidFill>
                <a:srgbClr val="FFD320"/>
              </a:solidFill>
              <a:prstDash val="solid"/>
            </a:ln>
          </c:spPr>
          <c:marker>
            <c:symbol val="none"/>
          </c:marker>
          <c:cat>
            <c:strRef>
              <c:f>'DI09'!$A$26:$A$38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'DI09'!$D$26:$D$38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7A44-4749-A88A-B739BE36E5A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'DI10'!$B$25</c:f>
              <c:strCache>
                <c:ptCount val="1"/>
                <c:pt idx="0">
                  <c:v>Datos</c:v>
                </c:pt>
              </c:strCache>
            </c:strRef>
          </c:tx>
          <c:spPr>
            <a:solidFill>
              <a:srgbClr val="004586"/>
            </a:solidFill>
            <a:ln w="25400">
              <a:noFill/>
            </a:ln>
          </c:spPr>
          <c:invertIfNegative val="0"/>
          <c:cat>
            <c:strRef>
              <c:f>'DI10'!$A$26:$A$38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'DI10'!$B$26:$B$38</c:f>
              <c:numCache>
                <c:formatCode>0%</c:formatCode>
                <c:ptCount val="13"/>
                <c:pt idx="0">
                  <c:v>0</c:v>
                </c:pt>
                <c:pt idx="1">
                  <c:v>0</c:v>
                </c:pt>
                <c:pt idx="2">
                  <c:v>0.125</c:v>
                </c:pt>
                <c:pt idx="3">
                  <c:v>0</c:v>
                </c:pt>
                <c:pt idx="4">
                  <c:v>0</c:v>
                </c:pt>
                <c:pt idx="5">
                  <c:v>0.375</c:v>
                </c:pt>
                <c:pt idx="6">
                  <c:v>0</c:v>
                </c:pt>
                <c:pt idx="7">
                  <c:v>0</c:v>
                </c:pt>
                <c:pt idx="8">
                  <c:v>0.5</c:v>
                </c:pt>
                <c:pt idx="9">
                  <c:v>0</c:v>
                </c:pt>
                <c:pt idx="10">
                  <c:v>0</c:v>
                </c:pt>
                <c:pt idx="11">
                  <c:v>1</c:v>
                </c:pt>
                <c:pt idx="12">
                  <c:v>1</c:v>
                </c:pt>
              </c:numCache>
            </c:numRef>
          </c:val>
          <c:extLst>
            <c:ext xmlns:c16="http://schemas.microsoft.com/office/drawing/2014/chart" uri="{C3380CC4-5D6E-409C-BE32-E72D297353CC}">
              <c16:uniqueId val="{00000000-E539-4B87-94EE-E771E82DEF20}"/>
            </c:ext>
          </c:extLst>
        </c:ser>
        <c:ser>
          <c:idx val="1"/>
          <c:order val="1"/>
          <c:tx>
            <c:strRef>
              <c:f>'DI10'!$C$25</c:f>
              <c:strCache>
                <c:ptCount val="1"/>
                <c:pt idx="0">
                  <c:v>Meta Vigencia</c:v>
                </c:pt>
              </c:strCache>
            </c:strRef>
          </c:tx>
          <c:spPr>
            <a:solidFill>
              <a:srgbClr val="FF420E"/>
            </a:solidFill>
            <a:ln w="25400">
              <a:noFill/>
            </a:ln>
          </c:spPr>
          <c:invertIfNegative val="0"/>
          <c:cat>
            <c:strRef>
              <c:f>'DI10'!$A$26:$A$38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'DI10'!$C$26:$C$38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E539-4B87-94EE-E771E82DEF20}"/>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'DI10'!$D$25</c:f>
              <c:strCache>
                <c:ptCount val="1"/>
                <c:pt idx="0">
                  <c:v>Meta - Rango</c:v>
                </c:pt>
              </c:strCache>
            </c:strRef>
          </c:tx>
          <c:spPr>
            <a:ln w="38100">
              <a:solidFill>
                <a:srgbClr val="FFD320"/>
              </a:solidFill>
              <a:prstDash val="solid"/>
            </a:ln>
          </c:spPr>
          <c:marker>
            <c:symbol val="none"/>
          </c:marker>
          <c:cat>
            <c:strRef>
              <c:f>'DI10'!$A$26:$A$38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'DI10'!$D$26:$D$38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E539-4B87-94EE-E771E82DEF20}"/>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'DE10'!$B$25</c:f>
              <c:strCache>
                <c:ptCount val="1"/>
                <c:pt idx="0">
                  <c:v>Datos</c:v>
                </c:pt>
              </c:strCache>
            </c:strRef>
          </c:tx>
          <c:spPr>
            <a:solidFill>
              <a:srgbClr val="004586"/>
            </a:solidFill>
            <a:ln w="25400">
              <a:noFill/>
            </a:ln>
          </c:spPr>
          <c:invertIfNegative val="0"/>
          <c:cat>
            <c:strRef>
              <c:f>'DE10'!$A$26:$A$38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'DE10'!$B$26:$B$38</c:f>
              <c:numCache>
                <c:formatCode>0%</c:formatCode>
                <c:ptCount val="13"/>
                <c:pt idx="0">
                  <c:v>0</c:v>
                </c:pt>
                <c:pt idx="1">
                  <c:v>0</c:v>
                </c:pt>
                <c:pt idx="2">
                  <c:v>1</c:v>
                </c:pt>
                <c:pt idx="3">
                  <c:v>0</c:v>
                </c:pt>
                <c:pt idx="4">
                  <c:v>0</c:v>
                </c:pt>
                <c:pt idx="5">
                  <c:v>0.5</c:v>
                </c:pt>
                <c:pt idx="6">
                  <c:v>0</c:v>
                </c:pt>
                <c:pt idx="7">
                  <c:v>0</c:v>
                </c:pt>
                <c:pt idx="8">
                  <c:v>0.75</c:v>
                </c:pt>
                <c:pt idx="9">
                  <c:v>0</c:v>
                </c:pt>
                <c:pt idx="10">
                  <c:v>0</c:v>
                </c:pt>
                <c:pt idx="11">
                  <c:v>1</c:v>
                </c:pt>
                <c:pt idx="12">
                  <c:v>0.75</c:v>
                </c:pt>
              </c:numCache>
            </c:numRef>
          </c:val>
          <c:extLst>
            <c:ext xmlns:c16="http://schemas.microsoft.com/office/drawing/2014/chart" uri="{C3380CC4-5D6E-409C-BE32-E72D297353CC}">
              <c16:uniqueId val="{00000000-A360-4254-B048-6C3C66F7CCEC}"/>
            </c:ext>
          </c:extLst>
        </c:ser>
        <c:ser>
          <c:idx val="1"/>
          <c:order val="1"/>
          <c:tx>
            <c:strRef>
              <c:f>'DE10'!$C$25</c:f>
              <c:strCache>
                <c:ptCount val="1"/>
                <c:pt idx="0">
                  <c:v>Meta Vigencia</c:v>
                </c:pt>
              </c:strCache>
            </c:strRef>
          </c:tx>
          <c:spPr>
            <a:solidFill>
              <a:srgbClr val="FF420E"/>
            </a:solidFill>
            <a:ln w="25400">
              <a:noFill/>
            </a:ln>
          </c:spPr>
          <c:invertIfNegative val="0"/>
          <c:cat>
            <c:strRef>
              <c:f>'DE10'!$A$26:$A$38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'DE10'!$C$26:$C$38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A360-4254-B048-6C3C66F7CCE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'DE10'!$D$25</c:f>
              <c:strCache>
                <c:ptCount val="1"/>
                <c:pt idx="0">
                  <c:v>Meta - Rango</c:v>
                </c:pt>
              </c:strCache>
            </c:strRef>
          </c:tx>
          <c:spPr>
            <a:ln w="38100">
              <a:solidFill>
                <a:srgbClr val="FFD320"/>
              </a:solidFill>
              <a:prstDash val="solid"/>
            </a:ln>
          </c:spPr>
          <c:marker>
            <c:symbol val="none"/>
          </c:marker>
          <c:cat>
            <c:strRef>
              <c:f>'DE10'!$A$26:$A$38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'DE10'!$D$26:$D$38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A360-4254-B048-6C3C66F7CCE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'DE16'!$B$25</c:f>
              <c:strCache>
                <c:ptCount val="1"/>
                <c:pt idx="0">
                  <c:v>Datos</c:v>
                </c:pt>
              </c:strCache>
            </c:strRef>
          </c:tx>
          <c:spPr>
            <a:solidFill>
              <a:srgbClr val="004586"/>
            </a:solidFill>
            <a:ln w="25400">
              <a:noFill/>
            </a:ln>
          </c:spPr>
          <c:invertIfNegative val="0"/>
          <c:cat>
            <c:strRef>
              <c:f>'DE16'!$A$26:$A$38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'DE16'!$B$26:$B$38</c:f>
              <c:numCache>
                <c:formatCode>_-* #,##0.0_-;\-* #,##0.0_-;_-* "-"??_-;_-@_-</c:formatCode>
                <c:ptCount val="13"/>
                <c:pt idx="0">
                  <c:v>0</c:v>
                </c:pt>
                <c:pt idx="1">
                  <c:v>0</c:v>
                </c:pt>
                <c:pt idx="2">
                  <c:v>0.5</c:v>
                </c:pt>
                <c:pt idx="3">
                  <c:v>0</c:v>
                </c:pt>
                <c:pt idx="4">
                  <c:v>0</c:v>
                </c:pt>
                <c:pt idx="5">
                  <c:v>1</c:v>
                </c:pt>
                <c:pt idx="6">
                  <c:v>0</c:v>
                </c:pt>
                <c:pt idx="7">
                  <c:v>0</c:v>
                </c:pt>
                <c:pt idx="8">
                  <c:v>0</c:v>
                </c:pt>
                <c:pt idx="9">
                  <c:v>0</c:v>
                </c:pt>
                <c:pt idx="10">
                  <c:v>0</c:v>
                </c:pt>
                <c:pt idx="11">
                  <c:v>0</c:v>
                </c:pt>
                <c:pt idx="12">
                  <c:v>1</c:v>
                </c:pt>
              </c:numCache>
            </c:numRef>
          </c:val>
          <c:extLst>
            <c:ext xmlns:c16="http://schemas.microsoft.com/office/drawing/2014/chart" uri="{C3380CC4-5D6E-409C-BE32-E72D297353CC}">
              <c16:uniqueId val="{00000000-12FC-42DD-86A1-0D76CD2F8E87}"/>
            </c:ext>
          </c:extLst>
        </c:ser>
        <c:ser>
          <c:idx val="1"/>
          <c:order val="1"/>
          <c:tx>
            <c:strRef>
              <c:f>'DE16'!$C$25</c:f>
              <c:strCache>
                <c:ptCount val="1"/>
                <c:pt idx="0">
                  <c:v>Meta Vigencia</c:v>
                </c:pt>
              </c:strCache>
            </c:strRef>
          </c:tx>
          <c:spPr>
            <a:solidFill>
              <a:srgbClr val="FF420E"/>
            </a:solidFill>
            <a:ln w="25400">
              <a:noFill/>
            </a:ln>
          </c:spPr>
          <c:invertIfNegative val="0"/>
          <c:cat>
            <c:strRef>
              <c:f>'DE16'!$A$26:$A$38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'DE16'!$C$26:$C$38</c:f>
              <c:numCache>
                <c:formatCode>_-* #,##0.0_-;\-* #,##0.0_-;_-* "-"??_-;_-@_-</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12FC-42DD-86A1-0D76CD2F8E8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'DE16'!$D$25</c:f>
              <c:strCache>
                <c:ptCount val="1"/>
                <c:pt idx="0">
                  <c:v>Meta - Rango</c:v>
                </c:pt>
              </c:strCache>
            </c:strRef>
          </c:tx>
          <c:spPr>
            <a:ln w="38100">
              <a:solidFill>
                <a:srgbClr val="FFD320"/>
              </a:solidFill>
              <a:prstDash val="solid"/>
            </a:ln>
          </c:spPr>
          <c:marker>
            <c:symbol val="none"/>
          </c:marker>
          <c:cat>
            <c:strRef>
              <c:f>'DE16'!$A$26:$A$38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12FC-42DD-86A1-0D76CD2F8E8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'DE17'!$B$25</c:f>
              <c:strCache>
                <c:ptCount val="1"/>
                <c:pt idx="0">
                  <c:v>Datos</c:v>
                </c:pt>
              </c:strCache>
            </c:strRef>
          </c:tx>
          <c:spPr>
            <a:solidFill>
              <a:srgbClr val="004586"/>
            </a:solidFill>
            <a:ln w="25400">
              <a:noFill/>
            </a:ln>
          </c:spPr>
          <c:invertIfNegative val="0"/>
          <c:cat>
            <c:strRef>
              <c:f>'DE17'!$A$26:$A$38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'DE17'!$B$26:$B$38</c:f>
              <c:numCache>
                <c:formatCode>0%</c:formatCode>
                <c:ptCount val="13"/>
                <c:pt idx="0">
                  <c:v>0</c:v>
                </c:pt>
                <c:pt idx="1">
                  <c:v>0</c:v>
                </c:pt>
                <c:pt idx="2">
                  <c:v>0</c:v>
                </c:pt>
                <c:pt idx="3">
                  <c:v>0</c:v>
                </c:pt>
                <c:pt idx="4">
                  <c:v>0</c:v>
                </c:pt>
                <c:pt idx="5">
                  <c:v>0</c:v>
                </c:pt>
                <c:pt idx="6">
                  <c:v>0</c:v>
                </c:pt>
                <c:pt idx="7">
                  <c:v>0</c:v>
                </c:pt>
                <c:pt idx="8">
                  <c:v>0.5</c:v>
                </c:pt>
                <c:pt idx="9">
                  <c:v>0</c:v>
                </c:pt>
                <c:pt idx="10">
                  <c:v>0</c:v>
                </c:pt>
                <c:pt idx="11">
                  <c:v>1</c:v>
                </c:pt>
                <c:pt idx="12">
                  <c:v>1</c:v>
                </c:pt>
              </c:numCache>
            </c:numRef>
          </c:val>
          <c:extLst>
            <c:ext xmlns:c16="http://schemas.microsoft.com/office/drawing/2014/chart" uri="{C3380CC4-5D6E-409C-BE32-E72D297353CC}">
              <c16:uniqueId val="{00000000-3A8A-4714-8023-E212E92DD1D9}"/>
            </c:ext>
          </c:extLst>
        </c:ser>
        <c:ser>
          <c:idx val="1"/>
          <c:order val="1"/>
          <c:tx>
            <c:strRef>
              <c:f>'DE17'!$C$25</c:f>
              <c:strCache>
                <c:ptCount val="1"/>
                <c:pt idx="0">
                  <c:v>Meta Vigencia</c:v>
                </c:pt>
              </c:strCache>
            </c:strRef>
          </c:tx>
          <c:spPr>
            <a:solidFill>
              <a:srgbClr val="FF420E"/>
            </a:solidFill>
            <a:ln w="25400">
              <a:noFill/>
            </a:ln>
          </c:spPr>
          <c:invertIfNegative val="0"/>
          <c:cat>
            <c:strRef>
              <c:f>'DE17'!$A$26:$A$38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3A8A-4714-8023-E212E92DD1D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'DE17'!$D$25</c:f>
              <c:strCache>
                <c:ptCount val="1"/>
                <c:pt idx="0">
                  <c:v>Meta - Rango</c:v>
                </c:pt>
              </c:strCache>
            </c:strRef>
          </c:tx>
          <c:spPr>
            <a:ln w="38100">
              <a:solidFill>
                <a:srgbClr val="FFD320"/>
              </a:solidFill>
              <a:prstDash val="solid"/>
            </a:ln>
          </c:spPr>
          <c:marker>
            <c:symbol val="none"/>
          </c:marker>
          <c:cat>
            <c:strRef>
              <c:f>'DE17'!$A$26:$A$38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3A8A-4714-8023-E212E92DD1D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'JC02'!$B$25</c:f>
              <c:strCache>
                <c:ptCount val="1"/>
                <c:pt idx="0">
                  <c:v>Datos</c:v>
                </c:pt>
              </c:strCache>
            </c:strRef>
          </c:tx>
          <c:spPr>
            <a:solidFill>
              <a:srgbClr val="004586"/>
            </a:solidFill>
            <a:ln w="25400">
              <a:noFill/>
            </a:ln>
          </c:spPr>
          <c:invertIfNegative val="0"/>
          <c:cat>
            <c:strRef>
              <c:f>'JC02'!$A$26:$A$38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'JC02'!$B$26:$B$38</c:f>
              <c:numCache>
                <c:formatCode>_-* #,##0.0_-;\-* #,##0.0_-;_-* "-"??_-;_-@_-</c:formatCode>
                <c:ptCount val="13"/>
                <c:pt idx="0">
                  <c:v>0</c:v>
                </c:pt>
                <c:pt idx="1">
                  <c:v>0</c:v>
                </c:pt>
                <c:pt idx="2">
                  <c:v>0</c:v>
                </c:pt>
                <c:pt idx="3">
                  <c:v>0</c:v>
                </c:pt>
                <c:pt idx="4">
                  <c:v>0</c:v>
                </c:pt>
                <c:pt idx="5">
                  <c:v>7</c:v>
                </c:pt>
                <c:pt idx="6">
                  <c:v>0</c:v>
                </c:pt>
                <c:pt idx="7">
                  <c:v>0</c:v>
                </c:pt>
                <c:pt idx="8">
                  <c:v>0</c:v>
                </c:pt>
                <c:pt idx="9">
                  <c:v>0</c:v>
                </c:pt>
                <c:pt idx="10">
                  <c:v>0</c:v>
                </c:pt>
                <c:pt idx="11">
                  <c:v>7</c:v>
                </c:pt>
                <c:pt idx="12">
                  <c:v>14</c:v>
                </c:pt>
              </c:numCache>
            </c:numRef>
          </c:val>
          <c:extLst>
            <c:ext xmlns:c16="http://schemas.microsoft.com/office/drawing/2014/chart" uri="{C3380CC4-5D6E-409C-BE32-E72D297353CC}">
              <c16:uniqueId val="{00000000-FCA7-43BA-A16A-407457153F9F}"/>
            </c:ext>
          </c:extLst>
        </c:ser>
        <c:ser>
          <c:idx val="1"/>
          <c:order val="1"/>
          <c:tx>
            <c:strRef>
              <c:f>'JC02'!$C$25</c:f>
              <c:strCache>
                <c:ptCount val="1"/>
                <c:pt idx="0">
                  <c:v>Meta Vigencia</c:v>
                </c:pt>
              </c:strCache>
            </c:strRef>
          </c:tx>
          <c:spPr>
            <a:solidFill>
              <a:srgbClr val="FF420E"/>
            </a:solidFill>
            <a:ln w="25400">
              <a:noFill/>
            </a:ln>
          </c:spPr>
          <c:invertIfNegative val="0"/>
          <c:cat>
            <c:strRef>
              <c:f>'JC02'!$A$26:$A$38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'JC02'!$C$26:$C$38</c:f>
              <c:numCache>
                <c:formatCode>_-* #,##0.0_-;\-* #,##0.0_-;_-* "-"??_-;_-@_-</c:formatCode>
                <c:ptCount val="13"/>
                <c:pt idx="0">
                  <c:v>14</c:v>
                </c:pt>
                <c:pt idx="1">
                  <c:v>14</c:v>
                </c:pt>
                <c:pt idx="2">
                  <c:v>14</c:v>
                </c:pt>
                <c:pt idx="3">
                  <c:v>14</c:v>
                </c:pt>
                <c:pt idx="4">
                  <c:v>14</c:v>
                </c:pt>
                <c:pt idx="5">
                  <c:v>14</c:v>
                </c:pt>
                <c:pt idx="6">
                  <c:v>14</c:v>
                </c:pt>
                <c:pt idx="7">
                  <c:v>14</c:v>
                </c:pt>
                <c:pt idx="8">
                  <c:v>14</c:v>
                </c:pt>
                <c:pt idx="9">
                  <c:v>14</c:v>
                </c:pt>
                <c:pt idx="10">
                  <c:v>14</c:v>
                </c:pt>
                <c:pt idx="11">
                  <c:v>14</c:v>
                </c:pt>
                <c:pt idx="12">
                  <c:v>14</c:v>
                </c:pt>
              </c:numCache>
            </c:numRef>
          </c:val>
          <c:extLst>
            <c:ext xmlns:c16="http://schemas.microsoft.com/office/drawing/2014/chart" uri="{C3380CC4-5D6E-409C-BE32-E72D297353CC}">
              <c16:uniqueId val="{00000001-FCA7-43BA-A16A-407457153F9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'JC02'!$D$25</c:f>
              <c:strCache>
                <c:ptCount val="1"/>
                <c:pt idx="0">
                  <c:v>Meta - Rango</c:v>
                </c:pt>
              </c:strCache>
            </c:strRef>
          </c:tx>
          <c:spPr>
            <a:ln w="38100">
              <a:solidFill>
                <a:srgbClr val="FFD320"/>
              </a:solidFill>
              <a:prstDash val="solid"/>
            </a:ln>
          </c:spPr>
          <c:marker>
            <c:symbol val="none"/>
          </c:marker>
          <c:cat>
            <c:strRef>
              <c:f>'JC02'!$A$26:$A$38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'JC02'!$D$26:$D$38</c:f>
              <c:numCache>
                <c:formatCode>_-* #,##0.0_-;\-* #,##0.0_-;_-* "-"??_-;_-@_-</c:formatCode>
                <c:ptCount val="13"/>
                <c:pt idx="0">
                  <c:v>13.719999999999999</c:v>
                </c:pt>
                <c:pt idx="1">
                  <c:v>13.719999999999999</c:v>
                </c:pt>
                <c:pt idx="2">
                  <c:v>13.719999999999999</c:v>
                </c:pt>
                <c:pt idx="3">
                  <c:v>13.719999999999999</c:v>
                </c:pt>
                <c:pt idx="4">
                  <c:v>13.719999999999999</c:v>
                </c:pt>
                <c:pt idx="5">
                  <c:v>13.719999999999999</c:v>
                </c:pt>
                <c:pt idx="6">
                  <c:v>13.719999999999999</c:v>
                </c:pt>
                <c:pt idx="7">
                  <c:v>13.719999999999999</c:v>
                </c:pt>
                <c:pt idx="8">
                  <c:v>13.719999999999999</c:v>
                </c:pt>
                <c:pt idx="9">
                  <c:v>13.719999999999999</c:v>
                </c:pt>
                <c:pt idx="10">
                  <c:v>13.719999999999999</c:v>
                </c:pt>
                <c:pt idx="11">
                  <c:v>13.719999999999999</c:v>
                </c:pt>
                <c:pt idx="12">
                  <c:v>13.719999999999999</c:v>
                </c:pt>
              </c:numCache>
            </c:numRef>
          </c:val>
          <c:smooth val="0"/>
          <c:extLst>
            <c:ext xmlns:c16="http://schemas.microsoft.com/office/drawing/2014/chart" uri="{C3380CC4-5D6E-409C-BE32-E72D297353CC}">
              <c16:uniqueId val="{00000002-FCA7-43BA-A16A-407457153F9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 val="autoZero"/>
        <c:auto val="1"/>
        <c:lblAlgn val="ctr"/>
        <c:lblOffset val="100"/>
        <c:tickLblSkip val="1"/>
        <c:tickMarkSkip val="1"/>
        <c:noMultiLvlLbl val="0"/>
      </c:catAx>
      <c:valAx>
        <c:axId val="198533920"/>
        <c:scaling>
          <c:orientation val="minMax"/>
          <c:max val="14"/>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'DI34'!$B$25</c:f>
              <c:strCache>
                <c:ptCount val="1"/>
                <c:pt idx="0">
                  <c:v>Datos</c:v>
                </c:pt>
              </c:strCache>
            </c:strRef>
          </c:tx>
          <c:spPr>
            <a:solidFill>
              <a:srgbClr val="004586"/>
            </a:solidFill>
            <a:ln w="25400">
              <a:noFill/>
            </a:ln>
          </c:spPr>
          <c:invertIfNegative val="0"/>
          <c:cat>
            <c:strRef>
              <c:f>'DI34'!$A$26:$A$38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'DI34'!$B$26:$B$38</c:f>
              <c:numCache>
                <c:formatCode>_-* #,##0.0_-;\-* #,##0.0_-;_-* "-"??_-;_-@_-</c:formatCode>
                <c:ptCount val="13"/>
                <c:pt idx="0">
                  <c:v>0</c:v>
                </c:pt>
                <c:pt idx="1">
                  <c:v>0</c:v>
                </c:pt>
                <c:pt idx="2">
                  <c:v>0</c:v>
                </c:pt>
                <c:pt idx="3">
                  <c:v>0</c:v>
                </c:pt>
                <c:pt idx="4">
                  <c:v>0</c:v>
                </c:pt>
                <c:pt idx="5">
                  <c:v>0</c:v>
                </c:pt>
                <c:pt idx="6">
                  <c:v>0.5</c:v>
                </c:pt>
                <c:pt idx="7">
                  <c:v>0</c:v>
                </c:pt>
                <c:pt idx="8">
                  <c:v>0</c:v>
                </c:pt>
                <c:pt idx="9">
                  <c:v>0</c:v>
                </c:pt>
                <c:pt idx="10">
                  <c:v>0</c:v>
                </c:pt>
                <c:pt idx="11">
                  <c:v>1</c:v>
                </c:pt>
                <c:pt idx="12">
                  <c:v>1</c:v>
                </c:pt>
              </c:numCache>
            </c:numRef>
          </c:val>
          <c:extLst>
            <c:ext xmlns:c16="http://schemas.microsoft.com/office/drawing/2014/chart" uri="{C3380CC4-5D6E-409C-BE32-E72D297353CC}">
              <c16:uniqueId val="{00000000-5B64-40E4-97E3-FF37439F0FEE}"/>
            </c:ext>
          </c:extLst>
        </c:ser>
        <c:ser>
          <c:idx val="1"/>
          <c:order val="1"/>
          <c:tx>
            <c:strRef>
              <c:f>'DI34'!$C$25</c:f>
              <c:strCache>
                <c:ptCount val="1"/>
                <c:pt idx="0">
                  <c:v>Meta Vigencia</c:v>
                </c:pt>
              </c:strCache>
            </c:strRef>
          </c:tx>
          <c:spPr>
            <a:solidFill>
              <a:srgbClr val="FF420E"/>
            </a:solidFill>
            <a:ln w="25400">
              <a:noFill/>
            </a:ln>
          </c:spPr>
          <c:invertIfNegative val="0"/>
          <c:cat>
            <c:strRef>
              <c:f>'DI34'!$A$26:$A$38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'DI34'!$C$26:$C$38</c:f>
              <c:numCache>
                <c:formatCode>_-* #,##0.0_-;\-* #,##0.0_-;_-* "-"??_-;_-@_-</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5B64-40E4-97E3-FF37439F0FE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'DI34'!$D$25</c:f>
              <c:strCache>
                <c:ptCount val="1"/>
                <c:pt idx="0">
                  <c:v>Meta - Rango</c:v>
                </c:pt>
              </c:strCache>
            </c:strRef>
          </c:tx>
          <c:spPr>
            <a:ln w="38100">
              <a:solidFill>
                <a:srgbClr val="FFD320"/>
              </a:solidFill>
              <a:prstDash val="solid"/>
            </a:ln>
          </c:spPr>
          <c:marker>
            <c:symbol val="none"/>
          </c:marker>
          <c:cat>
            <c:strRef>
              <c:f>'DI34'!$A$26:$A$38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'DI34'!$D$26:$D$38</c:f>
              <c:numCache>
                <c:formatCode>_-* #,##0.0_-;\-* #,##0.0_-;_-* "-"??_-;_-@_-</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5B64-40E4-97E3-FF37439F0FE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'DI38'!$B$25</c:f>
              <c:strCache>
                <c:ptCount val="1"/>
                <c:pt idx="0">
                  <c:v>Datos</c:v>
                </c:pt>
              </c:strCache>
            </c:strRef>
          </c:tx>
          <c:spPr>
            <a:solidFill>
              <a:srgbClr val="004586"/>
            </a:solidFill>
            <a:ln w="25400">
              <a:noFill/>
            </a:ln>
          </c:spPr>
          <c:invertIfNegative val="0"/>
          <c:cat>
            <c:strRef>
              <c:f>'DI38'!$A$26:$A$38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'DI38'!$B$26:$B$38</c:f>
              <c:numCache>
                <c:formatCode>0%</c:formatCode>
                <c:ptCount val="13"/>
                <c:pt idx="0">
                  <c:v>0</c:v>
                </c:pt>
                <c:pt idx="1">
                  <c:v>0</c:v>
                </c:pt>
                <c:pt idx="2">
                  <c:v>0</c:v>
                </c:pt>
                <c:pt idx="3">
                  <c:v>0.33</c:v>
                </c:pt>
                <c:pt idx="4">
                  <c:v>0</c:v>
                </c:pt>
                <c:pt idx="5">
                  <c:v>0</c:v>
                </c:pt>
                <c:pt idx="6">
                  <c:v>0</c:v>
                </c:pt>
                <c:pt idx="7">
                  <c:v>0.33</c:v>
                </c:pt>
                <c:pt idx="8">
                  <c:v>0</c:v>
                </c:pt>
                <c:pt idx="9">
                  <c:v>0</c:v>
                </c:pt>
                <c:pt idx="10">
                  <c:v>0</c:v>
                </c:pt>
                <c:pt idx="11">
                  <c:v>0.34</c:v>
                </c:pt>
                <c:pt idx="12">
                  <c:v>1</c:v>
                </c:pt>
              </c:numCache>
            </c:numRef>
          </c:val>
          <c:extLst>
            <c:ext xmlns:c16="http://schemas.microsoft.com/office/drawing/2014/chart" uri="{C3380CC4-5D6E-409C-BE32-E72D297353CC}">
              <c16:uniqueId val="{00000000-0D5E-433D-8304-27AE6CC2D1A3}"/>
            </c:ext>
          </c:extLst>
        </c:ser>
        <c:ser>
          <c:idx val="1"/>
          <c:order val="1"/>
          <c:tx>
            <c:strRef>
              <c:f>'DI38'!$C$25</c:f>
              <c:strCache>
                <c:ptCount val="1"/>
                <c:pt idx="0">
                  <c:v>Meta Vigencia</c:v>
                </c:pt>
              </c:strCache>
            </c:strRef>
          </c:tx>
          <c:spPr>
            <a:solidFill>
              <a:srgbClr val="FF420E"/>
            </a:solidFill>
            <a:ln w="25400">
              <a:noFill/>
            </a:ln>
          </c:spPr>
          <c:invertIfNegative val="0"/>
          <c:cat>
            <c:strRef>
              <c:f>'DI38'!$A$26:$A$38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'DI38'!$C$26:$C$38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0D5E-433D-8304-27AE6CC2D1A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'DI38'!$D$25</c:f>
              <c:strCache>
                <c:ptCount val="1"/>
                <c:pt idx="0">
                  <c:v>Meta - Rango</c:v>
                </c:pt>
              </c:strCache>
            </c:strRef>
          </c:tx>
          <c:spPr>
            <a:ln w="38100">
              <a:solidFill>
                <a:srgbClr val="FFD320"/>
              </a:solidFill>
              <a:prstDash val="solid"/>
            </a:ln>
          </c:spPr>
          <c:marker>
            <c:symbol val="none"/>
          </c:marker>
          <c:cat>
            <c:strRef>
              <c:f>'DI38'!$A$26:$A$38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'DI38'!$D$26:$D$38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0D5E-433D-8304-27AE6CC2D1A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'DI31'!$B$25</c:f>
              <c:strCache>
                <c:ptCount val="1"/>
                <c:pt idx="0">
                  <c:v>Datos</c:v>
                </c:pt>
              </c:strCache>
            </c:strRef>
          </c:tx>
          <c:spPr>
            <a:solidFill>
              <a:srgbClr val="004586"/>
            </a:solidFill>
            <a:ln w="25400">
              <a:noFill/>
            </a:ln>
          </c:spPr>
          <c:invertIfNegative val="0"/>
          <c:cat>
            <c:strRef>
              <c:f>'DI31'!$A$26:$A$38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'DI31'!$B$26:$B$38</c:f>
              <c:numCache>
                <c:formatCode>_-* #,##0.0_-;\-* #,##0.0_-;_-* "-"??_-;_-@_-</c:formatCode>
                <c:ptCount val="13"/>
                <c:pt idx="0">
                  <c:v>0</c:v>
                </c:pt>
                <c:pt idx="1">
                  <c:v>0</c:v>
                </c:pt>
                <c:pt idx="2">
                  <c:v>13</c:v>
                </c:pt>
                <c:pt idx="3">
                  <c:v>0</c:v>
                </c:pt>
                <c:pt idx="4">
                  <c:v>0</c:v>
                </c:pt>
                <c:pt idx="5">
                  <c:v>15</c:v>
                </c:pt>
                <c:pt idx="6">
                  <c:v>0</c:v>
                </c:pt>
                <c:pt idx="7">
                  <c:v>0</c:v>
                </c:pt>
                <c:pt idx="8">
                  <c:v>5</c:v>
                </c:pt>
                <c:pt idx="9">
                  <c:v>0</c:v>
                </c:pt>
                <c:pt idx="10">
                  <c:v>0</c:v>
                </c:pt>
                <c:pt idx="11">
                  <c:v>40</c:v>
                </c:pt>
                <c:pt idx="12">
                  <c:v>73</c:v>
                </c:pt>
              </c:numCache>
            </c:numRef>
          </c:val>
          <c:extLst>
            <c:ext xmlns:c16="http://schemas.microsoft.com/office/drawing/2014/chart" uri="{C3380CC4-5D6E-409C-BE32-E72D297353CC}">
              <c16:uniqueId val="{00000000-E7DD-4E2C-8F58-4A4C530611C4}"/>
            </c:ext>
          </c:extLst>
        </c:ser>
        <c:ser>
          <c:idx val="1"/>
          <c:order val="1"/>
          <c:tx>
            <c:strRef>
              <c:f>'DI31'!$C$25</c:f>
              <c:strCache>
                <c:ptCount val="1"/>
                <c:pt idx="0">
                  <c:v>Meta Vigencia</c:v>
                </c:pt>
              </c:strCache>
            </c:strRef>
          </c:tx>
          <c:spPr>
            <a:solidFill>
              <a:srgbClr val="FF420E"/>
            </a:solidFill>
            <a:ln w="25400">
              <a:noFill/>
            </a:ln>
          </c:spPr>
          <c:invertIfNegative val="0"/>
          <c:cat>
            <c:strRef>
              <c:f>'DI31'!$A$26:$A$38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'DI31'!$C$26:$C$38</c:f>
              <c:numCache>
                <c:formatCode>_-* #,##0.0_-;\-* #,##0.0_-;_-* "-"??_-;_-@_-</c:formatCode>
                <c:ptCount val="13"/>
                <c:pt idx="0">
                  <c:v>40</c:v>
                </c:pt>
                <c:pt idx="1">
                  <c:v>40</c:v>
                </c:pt>
                <c:pt idx="2">
                  <c:v>40</c:v>
                </c:pt>
                <c:pt idx="3">
                  <c:v>40</c:v>
                </c:pt>
                <c:pt idx="4">
                  <c:v>40</c:v>
                </c:pt>
                <c:pt idx="5">
                  <c:v>40</c:v>
                </c:pt>
                <c:pt idx="6">
                  <c:v>40</c:v>
                </c:pt>
                <c:pt idx="7">
                  <c:v>40</c:v>
                </c:pt>
                <c:pt idx="8">
                  <c:v>40</c:v>
                </c:pt>
                <c:pt idx="9">
                  <c:v>40</c:v>
                </c:pt>
                <c:pt idx="10">
                  <c:v>40</c:v>
                </c:pt>
                <c:pt idx="11">
                  <c:v>40</c:v>
                </c:pt>
                <c:pt idx="12">
                  <c:v>40</c:v>
                </c:pt>
              </c:numCache>
            </c:numRef>
          </c:val>
          <c:extLst>
            <c:ext xmlns:c16="http://schemas.microsoft.com/office/drawing/2014/chart" uri="{C3380CC4-5D6E-409C-BE32-E72D297353CC}">
              <c16:uniqueId val="{00000001-E7DD-4E2C-8F58-4A4C530611C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'DI31'!$D$25</c:f>
              <c:strCache>
                <c:ptCount val="1"/>
                <c:pt idx="0">
                  <c:v>Meta - Rango</c:v>
                </c:pt>
              </c:strCache>
            </c:strRef>
          </c:tx>
          <c:spPr>
            <a:ln w="38100">
              <a:solidFill>
                <a:srgbClr val="FFD320"/>
              </a:solidFill>
              <a:prstDash val="solid"/>
            </a:ln>
          </c:spPr>
          <c:marker>
            <c:symbol val="none"/>
          </c:marker>
          <c:cat>
            <c:strRef>
              <c:f>'DI31'!$A$26:$A$38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'DI31'!$D$26:$D$38</c:f>
              <c:numCache>
                <c:formatCode>_-* #,##0.0_-;\-* #,##0.0_-;_-* "-"??_-;_-@_-</c:formatCode>
                <c:ptCount val="13"/>
                <c:pt idx="0">
                  <c:v>39.200000000000003</c:v>
                </c:pt>
                <c:pt idx="1">
                  <c:v>39.200000000000003</c:v>
                </c:pt>
                <c:pt idx="2">
                  <c:v>39.200000000000003</c:v>
                </c:pt>
                <c:pt idx="3">
                  <c:v>39.200000000000003</c:v>
                </c:pt>
                <c:pt idx="4">
                  <c:v>39.200000000000003</c:v>
                </c:pt>
                <c:pt idx="5">
                  <c:v>39.200000000000003</c:v>
                </c:pt>
                <c:pt idx="6">
                  <c:v>39.200000000000003</c:v>
                </c:pt>
                <c:pt idx="7">
                  <c:v>39.200000000000003</c:v>
                </c:pt>
                <c:pt idx="8">
                  <c:v>39.200000000000003</c:v>
                </c:pt>
                <c:pt idx="9">
                  <c:v>39.200000000000003</c:v>
                </c:pt>
                <c:pt idx="10">
                  <c:v>39.200000000000003</c:v>
                </c:pt>
                <c:pt idx="11">
                  <c:v>39.200000000000003</c:v>
                </c:pt>
                <c:pt idx="12">
                  <c:v>39.200000000000003</c:v>
                </c:pt>
              </c:numCache>
            </c:numRef>
          </c:val>
          <c:smooth val="0"/>
          <c:extLst>
            <c:ext xmlns:c16="http://schemas.microsoft.com/office/drawing/2014/chart" uri="{C3380CC4-5D6E-409C-BE32-E72D297353CC}">
              <c16:uniqueId val="{00000002-E7DD-4E2C-8F58-4A4C530611C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'DI36'!$B$25</c:f>
              <c:strCache>
                <c:ptCount val="1"/>
                <c:pt idx="0">
                  <c:v>Datos</c:v>
                </c:pt>
              </c:strCache>
            </c:strRef>
          </c:tx>
          <c:spPr>
            <a:solidFill>
              <a:srgbClr val="004586"/>
            </a:solidFill>
            <a:ln w="25400">
              <a:noFill/>
            </a:ln>
          </c:spPr>
          <c:invertIfNegative val="0"/>
          <c:cat>
            <c:strRef>
              <c:f>'DI36'!$A$26:$A$38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'DI36'!$B$26:$B$38</c:f>
              <c:numCache>
                <c:formatCode>0%</c:formatCode>
                <c:ptCount val="13"/>
                <c:pt idx="0">
                  <c:v>0</c:v>
                </c:pt>
                <c:pt idx="1">
                  <c:v>0</c:v>
                </c:pt>
                <c:pt idx="2">
                  <c:v>0.2</c:v>
                </c:pt>
                <c:pt idx="3">
                  <c:v>0</c:v>
                </c:pt>
                <c:pt idx="4">
                  <c:v>0</c:v>
                </c:pt>
                <c:pt idx="5">
                  <c:v>0.8</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9991-4670-8094-E5DC3D1A3A77}"/>
            </c:ext>
          </c:extLst>
        </c:ser>
        <c:ser>
          <c:idx val="1"/>
          <c:order val="1"/>
          <c:tx>
            <c:strRef>
              <c:f>'DI36'!$C$25</c:f>
              <c:strCache>
                <c:ptCount val="1"/>
                <c:pt idx="0">
                  <c:v>Meta Vigencia</c:v>
                </c:pt>
              </c:strCache>
            </c:strRef>
          </c:tx>
          <c:spPr>
            <a:solidFill>
              <a:srgbClr val="FF420E"/>
            </a:solidFill>
            <a:ln w="25400">
              <a:noFill/>
            </a:ln>
          </c:spPr>
          <c:invertIfNegative val="0"/>
          <c:cat>
            <c:strRef>
              <c:f>'DI36'!$A$26:$A$38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991-4670-8094-E5DC3D1A3A7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'DI36'!$D$25</c:f>
              <c:strCache>
                <c:ptCount val="1"/>
                <c:pt idx="0">
                  <c:v>Meta - Rango</c:v>
                </c:pt>
              </c:strCache>
            </c:strRef>
          </c:tx>
          <c:spPr>
            <a:ln w="38100">
              <a:solidFill>
                <a:srgbClr val="FFD320"/>
              </a:solidFill>
              <a:prstDash val="solid"/>
            </a:ln>
          </c:spPr>
          <c:marker>
            <c:symbol val="none"/>
          </c:marker>
          <c:cat>
            <c:strRef>
              <c:f>'DI36'!$A$26:$A$38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991-4670-8094-E5DC3D1A3A7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'DE13'!$B$25</c:f>
              <c:strCache>
                <c:ptCount val="1"/>
                <c:pt idx="0">
                  <c:v>Datos</c:v>
                </c:pt>
              </c:strCache>
            </c:strRef>
          </c:tx>
          <c:spPr>
            <a:solidFill>
              <a:srgbClr val="004586"/>
            </a:solidFill>
            <a:ln w="25400">
              <a:noFill/>
            </a:ln>
          </c:spPr>
          <c:invertIfNegative val="0"/>
          <c:cat>
            <c:strRef>
              <c:f>'DE13'!$A$26:$A$38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425E-421F-BCEA-ED4F60240144}"/>
            </c:ext>
          </c:extLst>
        </c:ser>
        <c:ser>
          <c:idx val="1"/>
          <c:order val="1"/>
          <c:tx>
            <c:strRef>
              <c:f>'DE13'!$C$25</c:f>
              <c:strCache>
                <c:ptCount val="1"/>
                <c:pt idx="0">
                  <c:v>Meta Vigencia</c:v>
                </c:pt>
              </c:strCache>
            </c:strRef>
          </c:tx>
          <c:spPr>
            <a:solidFill>
              <a:srgbClr val="FF420E"/>
            </a:solidFill>
            <a:ln w="25400">
              <a:noFill/>
            </a:ln>
          </c:spPr>
          <c:invertIfNegative val="0"/>
          <c:cat>
            <c:strRef>
              <c:f>'DE13'!$A$26:$A$38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425E-421F-BCEA-ED4F6024014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'DE13'!$D$25</c:f>
              <c:strCache>
                <c:ptCount val="1"/>
                <c:pt idx="0">
                  <c:v>Meta - Rango</c:v>
                </c:pt>
              </c:strCache>
            </c:strRef>
          </c:tx>
          <c:spPr>
            <a:ln w="38100">
              <a:solidFill>
                <a:srgbClr val="FFD320"/>
              </a:solidFill>
              <a:prstDash val="solid"/>
            </a:ln>
          </c:spPr>
          <c:marker>
            <c:symbol val="none"/>
          </c:marker>
          <c:cat>
            <c:strRef>
              <c:f>'DE13'!$A$26:$A$38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425E-421F-BCEA-ED4F6024014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'DE14'!$B$25</c:f>
              <c:strCache>
                <c:ptCount val="1"/>
                <c:pt idx="0">
                  <c:v>Datos</c:v>
                </c:pt>
              </c:strCache>
            </c:strRef>
          </c:tx>
          <c:spPr>
            <a:solidFill>
              <a:srgbClr val="004586"/>
            </a:solidFill>
            <a:ln w="25400">
              <a:noFill/>
            </a:ln>
          </c:spPr>
          <c:invertIfNegative val="0"/>
          <c:cat>
            <c:strRef>
              <c:f>'DE14'!$A$26:$A$38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'DE14'!$B$26:$B$38</c:f>
              <c:numCache>
                <c:formatCode>0%</c:formatCode>
                <c:ptCount val="13"/>
                <c:pt idx="0">
                  <c:v>0</c:v>
                </c:pt>
                <c:pt idx="1">
                  <c:v>0</c:v>
                </c:pt>
                <c:pt idx="2">
                  <c:v>0</c:v>
                </c:pt>
                <c:pt idx="3">
                  <c:v>0</c:v>
                </c:pt>
                <c:pt idx="4">
                  <c:v>0</c:v>
                </c:pt>
                <c:pt idx="5">
                  <c:v>0.5</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83A5-4EB2-8AD1-48A2D39E06DF}"/>
            </c:ext>
          </c:extLst>
        </c:ser>
        <c:ser>
          <c:idx val="1"/>
          <c:order val="1"/>
          <c:tx>
            <c:strRef>
              <c:f>'DE14'!$C$25</c:f>
              <c:strCache>
                <c:ptCount val="1"/>
                <c:pt idx="0">
                  <c:v>Meta Vigencia</c:v>
                </c:pt>
              </c:strCache>
            </c:strRef>
          </c:tx>
          <c:spPr>
            <a:solidFill>
              <a:srgbClr val="FF420E"/>
            </a:solidFill>
            <a:ln w="25400">
              <a:noFill/>
            </a:ln>
          </c:spPr>
          <c:invertIfNegative val="0"/>
          <c:cat>
            <c:strRef>
              <c:f>'DE14'!$A$26:$A$38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83A5-4EB2-8AD1-48A2D39E06D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'DE14'!$D$25</c:f>
              <c:strCache>
                <c:ptCount val="1"/>
                <c:pt idx="0">
                  <c:v>Meta - Rango</c:v>
                </c:pt>
              </c:strCache>
            </c:strRef>
          </c:tx>
          <c:spPr>
            <a:ln w="38100">
              <a:solidFill>
                <a:srgbClr val="FFD320"/>
              </a:solidFill>
              <a:prstDash val="solid"/>
            </a:ln>
          </c:spPr>
          <c:marker>
            <c:symbol val="none"/>
          </c:marker>
          <c:cat>
            <c:strRef>
              <c:f>'DE14'!$A$26:$A$38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83A5-4EB2-8AD1-48A2D39E06D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'DE18'!$B$25</c:f>
              <c:strCache>
                <c:ptCount val="1"/>
                <c:pt idx="0">
                  <c:v>Datos</c:v>
                </c:pt>
              </c:strCache>
            </c:strRef>
          </c:tx>
          <c:spPr>
            <a:solidFill>
              <a:srgbClr val="004586"/>
            </a:solidFill>
            <a:ln w="25400">
              <a:noFill/>
            </a:ln>
          </c:spPr>
          <c:invertIfNegative val="0"/>
          <c:cat>
            <c:strRef>
              <c:f>'DE18'!$A$26:$A$38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'DE18'!$B$26:$B$38</c:f>
              <c:numCache>
                <c:formatCode>_-* #,##0.0_-;\-* #,##0.0_-;_-* "-"??_-;_-@_-</c:formatCode>
                <c:ptCount val="13"/>
                <c:pt idx="0">
                  <c:v>0</c:v>
                </c:pt>
                <c:pt idx="1">
                  <c:v>0</c:v>
                </c:pt>
                <c:pt idx="2">
                  <c:v>0</c:v>
                </c:pt>
                <c:pt idx="3">
                  <c:v>0</c:v>
                </c:pt>
                <c:pt idx="4">
                  <c:v>0</c:v>
                </c:pt>
                <c:pt idx="5">
                  <c:v>2</c:v>
                </c:pt>
                <c:pt idx="6">
                  <c:v>0</c:v>
                </c:pt>
                <c:pt idx="7">
                  <c:v>2</c:v>
                </c:pt>
                <c:pt idx="8">
                  <c:v>0</c:v>
                </c:pt>
                <c:pt idx="9">
                  <c:v>1</c:v>
                </c:pt>
                <c:pt idx="10">
                  <c:v>1</c:v>
                </c:pt>
                <c:pt idx="11">
                  <c:v>0</c:v>
                </c:pt>
                <c:pt idx="12">
                  <c:v>6</c:v>
                </c:pt>
              </c:numCache>
            </c:numRef>
          </c:val>
          <c:extLst>
            <c:ext xmlns:c16="http://schemas.microsoft.com/office/drawing/2014/chart" uri="{C3380CC4-5D6E-409C-BE32-E72D297353CC}">
              <c16:uniqueId val="{00000000-7E8A-43DA-8D9E-3FE31625E01F}"/>
            </c:ext>
          </c:extLst>
        </c:ser>
        <c:ser>
          <c:idx val="1"/>
          <c:order val="1"/>
          <c:tx>
            <c:strRef>
              <c:f>'DE18'!$C$25</c:f>
              <c:strCache>
                <c:ptCount val="1"/>
                <c:pt idx="0">
                  <c:v>Meta Vigencia</c:v>
                </c:pt>
              </c:strCache>
            </c:strRef>
          </c:tx>
          <c:spPr>
            <a:solidFill>
              <a:srgbClr val="FF420E"/>
            </a:solidFill>
            <a:ln w="25400">
              <a:noFill/>
            </a:ln>
          </c:spPr>
          <c:invertIfNegative val="0"/>
          <c:cat>
            <c:strRef>
              <c:f>'DE18'!$A$26:$A$38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'DE18'!$C$26:$C$38</c:f>
              <c:numCache>
                <c:formatCode>_-* #,##0.0_-;\-* #,##0.0_-;_-* "-"??_-;_-@_-</c:formatCode>
                <c:ptCount val="13"/>
                <c:pt idx="0">
                  <c:v>6</c:v>
                </c:pt>
                <c:pt idx="1">
                  <c:v>6</c:v>
                </c:pt>
                <c:pt idx="2">
                  <c:v>6</c:v>
                </c:pt>
                <c:pt idx="3">
                  <c:v>6</c:v>
                </c:pt>
                <c:pt idx="4">
                  <c:v>6</c:v>
                </c:pt>
                <c:pt idx="5">
                  <c:v>6</c:v>
                </c:pt>
                <c:pt idx="6">
                  <c:v>6</c:v>
                </c:pt>
                <c:pt idx="7">
                  <c:v>6</c:v>
                </c:pt>
                <c:pt idx="8">
                  <c:v>6</c:v>
                </c:pt>
                <c:pt idx="9">
                  <c:v>6</c:v>
                </c:pt>
                <c:pt idx="10">
                  <c:v>6</c:v>
                </c:pt>
                <c:pt idx="11">
                  <c:v>6</c:v>
                </c:pt>
                <c:pt idx="12">
                  <c:v>6</c:v>
                </c:pt>
              </c:numCache>
            </c:numRef>
          </c:val>
          <c:extLst>
            <c:ext xmlns:c16="http://schemas.microsoft.com/office/drawing/2014/chart" uri="{C3380CC4-5D6E-409C-BE32-E72D297353CC}">
              <c16:uniqueId val="{00000001-7E8A-43DA-8D9E-3FE31625E01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'DE18'!$D$25</c:f>
              <c:strCache>
                <c:ptCount val="1"/>
                <c:pt idx="0">
                  <c:v>Meta - Rango</c:v>
                </c:pt>
              </c:strCache>
            </c:strRef>
          </c:tx>
          <c:spPr>
            <a:ln w="38100">
              <a:solidFill>
                <a:srgbClr val="FFD320"/>
              </a:solidFill>
              <a:prstDash val="solid"/>
            </a:ln>
          </c:spPr>
          <c:marker>
            <c:symbol val="none"/>
          </c:marker>
          <c:cat>
            <c:strRef>
              <c:f>'DE18'!$A$26:$A$38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'DE18'!$D$26:$D$38</c:f>
              <c:numCache>
                <c:formatCode>_-* #,##0.0_-;\-* #,##0.0_-;_-* "-"??_-;_-@_-</c:formatCode>
                <c:ptCount val="13"/>
                <c:pt idx="0">
                  <c:v>5.88</c:v>
                </c:pt>
                <c:pt idx="1">
                  <c:v>5.88</c:v>
                </c:pt>
                <c:pt idx="2">
                  <c:v>5.88</c:v>
                </c:pt>
                <c:pt idx="3">
                  <c:v>5.88</c:v>
                </c:pt>
                <c:pt idx="4">
                  <c:v>5.88</c:v>
                </c:pt>
                <c:pt idx="5">
                  <c:v>5.88</c:v>
                </c:pt>
                <c:pt idx="6">
                  <c:v>5.88</c:v>
                </c:pt>
                <c:pt idx="7">
                  <c:v>5.88</c:v>
                </c:pt>
                <c:pt idx="8">
                  <c:v>5.88</c:v>
                </c:pt>
                <c:pt idx="9">
                  <c:v>5.88</c:v>
                </c:pt>
                <c:pt idx="10">
                  <c:v>5.88</c:v>
                </c:pt>
                <c:pt idx="11">
                  <c:v>5.88</c:v>
                </c:pt>
                <c:pt idx="12">
                  <c:v>5.88</c:v>
                </c:pt>
              </c:numCache>
            </c:numRef>
          </c:val>
          <c:smooth val="0"/>
          <c:extLst>
            <c:ext xmlns:c16="http://schemas.microsoft.com/office/drawing/2014/chart" uri="{C3380CC4-5D6E-409C-BE32-E72D297353CC}">
              <c16:uniqueId val="{00000002-7E8A-43DA-8D9E-3FE31625E01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'GJ13'!$B$25</c:f>
              <c:strCache>
                <c:ptCount val="1"/>
                <c:pt idx="0">
                  <c:v>Datos</c:v>
                </c:pt>
              </c:strCache>
            </c:strRef>
          </c:tx>
          <c:spPr>
            <a:solidFill>
              <a:srgbClr val="004586"/>
            </a:solidFill>
            <a:ln w="25400">
              <a:noFill/>
            </a:ln>
          </c:spPr>
          <c:invertIfNegative val="0"/>
          <c:cat>
            <c:strRef>
              <c:f>'GJ13'!$A$26:$A$38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'GJ13'!$B$26:$B$38</c:f>
              <c:numCache>
                <c:formatCode>0%</c:formatCode>
                <c:ptCount val="13"/>
                <c:pt idx="0">
                  <c:v>0</c:v>
                </c:pt>
                <c:pt idx="1">
                  <c:v>0</c:v>
                </c:pt>
                <c:pt idx="2">
                  <c:v>0</c:v>
                </c:pt>
                <c:pt idx="3">
                  <c:v>0</c:v>
                </c:pt>
                <c:pt idx="4">
                  <c:v>0</c:v>
                </c:pt>
                <c:pt idx="5">
                  <c:v>0.875</c:v>
                </c:pt>
                <c:pt idx="6">
                  <c:v>0</c:v>
                </c:pt>
                <c:pt idx="7">
                  <c:v>0</c:v>
                </c:pt>
                <c:pt idx="8">
                  <c:v>0</c:v>
                </c:pt>
                <c:pt idx="9">
                  <c:v>0</c:v>
                </c:pt>
                <c:pt idx="10">
                  <c:v>0</c:v>
                </c:pt>
                <c:pt idx="11">
                  <c:v>1</c:v>
                </c:pt>
                <c:pt idx="12">
                  <c:v>0.96551724137931039</c:v>
                </c:pt>
              </c:numCache>
            </c:numRef>
          </c:val>
          <c:extLst>
            <c:ext xmlns:c16="http://schemas.microsoft.com/office/drawing/2014/chart" uri="{C3380CC4-5D6E-409C-BE32-E72D297353CC}">
              <c16:uniqueId val="{00000000-B329-4423-A4FC-D18C6AC283BD}"/>
            </c:ext>
          </c:extLst>
        </c:ser>
        <c:ser>
          <c:idx val="1"/>
          <c:order val="1"/>
          <c:tx>
            <c:strRef>
              <c:f>'GJ13'!$C$25</c:f>
              <c:strCache>
                <c:ptCount val="1"/>
                <c:pt idx="0">
                  <c:v>Meta Vigencia</c:v>
                </c:pt>
              </c:strCache>
            </c:strRef>
          </c:tx>
          <c:spPr>
            <a:solidFill>
              <a:srgbClr val="FF420E"/>
            </a:solidFill>
            <a:ln w="25400">
              <a:noFill/>
            </a:ln>
          </c:spPr>
          <c:invertIfNegative val="0"/>
          <c:cat>
            <c:strRef>
              <c:f>'GJ13'!$A$26:$A$38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B329-4423-A4FC-D18C6AC283B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'GJ13'!$D$25</c:f>
              <c:strCache>
                <c:ptCount val="1"/>
                <c:pt idx="0">
                  <c:v>Meta - Rango</c:v>
                </c:pt>
              </c:strCache>
            </c:strRef>
          </c:tx>
          <c:spPr>
            <a:ln w="38100">
              <a:solidFill>
                <a:srgbClr val="FFD320"/>
              </a:solidFill>
              <a:prstDash val="solid"/>
            </a:ln>
          </c:spPr>
          <c:marker>
            <c:symbol val="none"/>
          </c:marker>
          <c:cat>
            <c:strRef>
              <c:f>'GJ13'!$A$26:$A$38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B329-4423-A4FC-D18C6AC283B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'GJ02'!$B$25</c:f>
              <c:strCache>
                <c:ptCount val="1"/>
                <c:pt idx="0">
                  <c:v>Datos</c:v>
                </c:pt>
              </c:strCache>
            </c:strRef>
          </c:tx>
          <c:spPr>
            <a:solidFill>
              <a:srgbClr val="004586"/>
            </a:solidFill>
            <a:ln w="25400">
              <a:noFill/>
            </a:ln>
          </c:spPr>
          <c:invertIfNegative val="0"/>
          <c:cat>
            <c:strRef>
              <c:f>'GJ02'!$A$26:$A$38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'GJ02'!$B$26:$B$38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0.93768572495656266</c:v>
                </c:pt>
                <c:pt idx="12">
                  <c:v>0.93773021565223036</c:v>
                </c:pt>
              </c:numCache>
            </c:numRef>
          </c:val>
          <c:extLst>
            <c:ext xmlns:c16="http://schemas.microsoft.com/office/drawing/2014/chart" uri="{C3380CC4-5D6E-409C-BE32-E72D297353CC}">
              <c16:uniqueId val="{00000000-11D4-4382-B944-6DB7B56B73E9}"/>
            </c:ext>
          </c:extLst>
        </c:ser>
        <c:ser>
          <c:idx val="1"/>
          <c:order val="1"/>
          <c:tx>
            <c:strRef>
              <c:f>'GJ02'!$C$25</c:f>
              <c:strCache>
                <c:ptCount val="1"/>
                <c:pt idx="0">
                  <c:v>Meta Vigencia</c:v>
                </c:pt>
              </c:strCache>
            </c:strRef>
          </c:tx>
          <c:spPr>
            <a:solidFill>
              <a:srgbClr val="FF420E"/>
            </a:solidFill>
            <a:ln w="25400">
              <a:noFill/>
            </a:ln>
          </c:spPr>
          <c:invertIfNegative val="0"/>
          <c:cat>
            <c:strRef>
              <c:f>'GJ02'!$A$26:$A$38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'GJ02'!$C$26:$C$38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11D4-4382-B944-6DB7B56B73E9}"/>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'GJ02'!$D$25</c:f>
              <c:strCache>
                <c:ptCount val="1"/>
                <c:pt idx="0">
                  <c:v>Meta - Rango</c:v>
                </c:pt>
              </c:strCache>
            </c:strRef>
          </c:tx>
          <c:spPr>
            <a:ln w="38100">
              <a:solidFill>
                <a:srgbClr val="FFD320"/>
              </a:solidFill>
              <a:prstDash val="solid"/>
            </a:ln>
          </c:spPr>
          <c:marker>
            <c:symbol val="none"/>
          </c:marker>
          <c:cat>
            <c:strRef>
              <c:f>'GJ02'!$A$26:$A$38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'GJ02'!$D$26:$D$38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11D4-4382-B944-6DB7B56B73E9}"/>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'CT15'!$B$25</c:f>
              <c:strCache>
                <c:ptCount val="1"/>
                <c:pt idx="0">
                  <c:v>Datos</c:v>
                </c:pt>
              </c:strCache>
            </c:strRef>
          </c:tx>
          <c:spPr>
            <a:solidFill>
              <a:srgbClr val="004586"/>
            </a:solidFill>
            <a:ln w="25400">
              <a:noFill/>
            </a:ln>
          </c:spPr>
          <c:invertIfNegative val="0"/>
          <c:cat>
            <c:strRef>
              <c:f>'CT15'!$A$26:$A$38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3386-4704-AD51-259F95D6F7BF}"/>
            </c:ext>
          </c:extLst>
        </c:ser>
        <c:ser>
          <c:idx val="1"/>
          <c:order val="1"/>
          <c:tx>
            <c:strRef>
              <c:f>'CT15'!$C$25</c:f>
              <c:strCache>
                <c:ptCount val="1"/>
                <c:pt idx="0">
                  <c:v>Meta Vigencia</c:v>
                </c:pt>
              </c:strCache>
            </c:strRef>
          </c:tx>
          <c:spPr>
            <a:solidFill>
              <a:srgbClr val="FF420E"/>
            </a:solidFill>
            <a:ln w="25400">
              <a:noFill/>
            </a:ln>
          </c:spPr>
          <c:invertIfNegative val="0"/>
          <c:cat>
            <c:strRef>
              <c:f>'CT15'!$A$26:$A$38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3386-4704-AD51-259F95D6F7B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'CT15'!$D$25</c:f>
              <c:strCache>
                <c:ptCount val="1"/>
                <c:pt idx="0">
                  <c:v>Meta - Rango</c:v>
                </c:pt>
              </c:strCache>
            </c:strRef>
          </c:tx>
          <c:spPr>
            <a:ln w="38100">
              <a:solidFill>
                <a:srgbClr val="FFD320"/>
              </a:solidFill>
              <a:prstDash val="solid"/>
            </a:ln>
          </c:spPr>
          <c:marker>
            <c:symbol val="none"/>
          </c:marker>
          <c:cat>
            <c:strRef>
              <c:f>'CT15'!$A$26:$A$38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3386-4704-AD51-259F95D6F7B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'JC03'!$B$25</c:f>
              <c:strCache>
                <c:ptCount val="1"/>
                <c:pt idx="0">
                  <c:v>Datos</c:v>
                </c:pt>
              </c:strCache>
            </c:strRef>
          </c:tx>
          <c:spPr>
            <a:solidFill>
              <a:srgbClr val="004586"/>
            </a:solidFill>
            <a:ln w="25400">
              <a:noFill/>
            </a:ln>
          </c:spPr>
          <c:invertIfNegative val="0"/>
          <c:cat>
            <c:strRef>
              <c:f>'JC03'!$A$26:$A$38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'JC03'!$B$26:$B$38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formatCode="0.0%">
                  <c:v>1</c:v>
                </c:pt>
              </c:numCache>
            </c:numRef>
          </c:val>
          <c:extLst>
            <c:ext xmlns:c16="http://schemas.microsoft.com/office/drawing/2014/chart" uri="{C3380CC4-5D6E-409C-BE32-E72D297353CC}">
              <c16:uniqueId val="{00000000-0208-4C30-BB3E-CC56A20FE032}"/>
            </c:ext>
          </c:extLst>
        </c:ser>
        <c:ser>
          <c:idx val="1"/>
          <c:order val="1"/>
          <c:tx>
            <c:strRef>
              <c:f>'JC03'!$C$25</c:f>
              <c:strCache>
                <c:ptCount val="1"/>
                <c:pt idx="0">
                  <c:v>Meta Vigencia</c:v>
                </c:pt>
              </c:strCache>
            </c:strRef>
          </c:tx>
          <c:spPr>
            <a:solidFill>
              <a:srgbClr val="FF420E"/>
            </a:solidFill>
            <a:ln w="25400">
              <a:noFill/>
            </a:ln>
          </c:spPr>
          <c:invertIfNegative val="0"/>
          <c:cat>
            <c:strRef>
              <c:f>'JC03'!$A$26:$A$38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'JC03'!$C$26:$C$38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formatCode="0.0%">
                  <c:v>1</c:v>
                </c:pt>
              </c:numCache>
            </c:numRef>
          </c:val>
          <c:extLst>
            <c:ext xmlns:c16="http://schemas.microsoft.com/office/drawing/2014/chart" uri="{C3380CC4-5D6E-409C-BE32-E72D297353CC}">
              <c16:uniqueId val="{00000001-0208-4C30-BB3E-CC56A20FE03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'JC03'!$D$25</c:f>
              <c:strCache>
                <c:ptCount val="1"/>
                <c:pt idx="0">
                  <c:v>Meta - Rango</c:v>
                </c:pt>
              </c:strCache>
            </c:strRef>
          </c:tx>
          <c:spPr>
            <a:ln w="38100">
              <a:solidFill>
                <a:srgbClr val="FFD320"/>
              </a:solidFill>
              <a:prstDash val="solid"/>
            </a:ln>
          </c:spPr>
          <c:marker>
            <c:symbol val="none"/>
          </c:marker>
          <c:cat>
            <c:strRef>
              <c:f>'JC03'!$A$26:$A$38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'JC03'!$D$26:$D$38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formatCode="0.0%">
                  <c:v>0.98</c:v>
                </c:pt>
              </c:numCache>
            </c:numRef>
          </c:val>
          <c:smooth val="0"/>
          <c:extLst>
            <c:ext xmlns:c16="http://schemas.microsoft.com/office/drawing/2014/chart" uri="{C3380CC4-5D6E-409C-BE32-E72D297353CC}">
              <c16:uniqueId val="{00000002-0208-4C30-BB3E-CC56A20FE03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'CT16'!$B$25</c:f>
              <c:strCache>
                <c:ptCount val="1"/>
                <c:pt idx="0">
                  <c:v>Datos</c:v>
                </c:pt>
              </c:strCache>
            </c:strRef>
          </c:tx>
          <c:spPr>
            <a:solidFill>
              <a:srgbClr val="004586"/>
            </a:solidFill>
            <a:ln w="25400">
              <a:noFill/>
            </a:ln>
          </c:spPr>
          <c:invertIfNegative val="0"/>
          <c:cat>
            <c:strRef>
              <c:f>'CT16'!$A$26:$A$38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'CT16'!$B$26:$B$38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02D-4B45-82B0-0D1FBF1B8052}"/>
            </c:ext>
          </c:extLst>
        </c:ser>
        <c:ser>
          <c:idx val="1"/>
          <c:order val="1"/>
          <c:tx>
            <c:strRef>
              <c:f>'CT16'!$C$25</c:f>
              <c:strCache>
                <c:ptCount val="1"/>
                <c:pt idx="0">
                  <c:v>Meta Vigencia</c:v>
                </c:pt>
              </c:strCache>
            </c:strRef>
          </c:tx>
          <c:spPr>
            <a:solidFill>
              <a:srgbClr val="FF420E"/>
            </a:solidFill>
            <a:ln w="25400">
              <a:noFill/>
            </a:ln>
          </c:spPr>
          <c:invertIfNegative val="0"/>
          <c:cat>
            <c:strRef>
              <c:f>'CT16'!$A$26:$A$38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502D-4B45-82B0-0D1FBF1B8052}"/>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'CT16'!$D$25</c:f>
              <c:strCache>
                <c:ptCount val="1"/>
                <c:pt idx="0">
                  <c:v>Meta - Rango</c:v>
                </c:pt>
              </c:strCache>
            </c:strRef>
          </c:tx>
          <c:spPr>
            <a:ln w="38100">
              <a:solidFill>
                <a:srgbClr val="FFD320"/>
              </a:solidFill>
              <a:prstDash val="solid"/>
            </a:ln>
          </c:spPr>
          <c:marker>
            <c:symbol val="none"/>
          </c:marker>
          <c:cat>
            <c:strRef>
              <c:f>'CT16'!$A$26:$A$38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'CT16'!$D$26:$D$38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502D-4B45-82B0-0D1FBF1B8052}"/>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'GJ04'!$B$25</c:f>
              <c:strCache>
                <c:ptCount val="1"/>
                <c:pt idx="0">
                  <c:v>Datos</c:v>
                </c:pt>
              </c:strCache>
            </c:strRef>
          </c:tx>
          <c:spPr>
            <a:solidFill>
              <a:srgbClr val="004586"/>
            </a:solidFill>
            <a:ln w="25400">
              <a:noFill/>
            </a:ln>
          </c:spPr>
          <c:invertIfNegative val="0"/>
          <c:cat>
            <c:strRef>
              <c:f>'GJ04'!$A$26:$A$38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'GJ04'!$B$26:$B$38</c:f>
              <c:numCache>
                <c:formatCode>0%</c:formatCode>
                <c:ptCount val="13"/>
                <c:pt idx="0">
                  <c:v>0</c:v>
                </c:pt>
                <c:pt idx="1">
                  <c:v>0</c:v>
                </c:pt>
                <c:pt idx="2">
                  <c:v>0</c:v>
                </c:pt>
                <c:pt idx="3">
                  <c:v>0</c:v>
                </c:pt>
                <c:pt idx="4">
                  <c:v>0</c:v>
                </c:pt>
                <c:pt idx="5">
                  <c:v>0.98140495867768596</c:v>
                </c:pt>
                <c:pt idx="6">
                  <c:v>0</c:v>
                </c:pt>
                <c:pt idx="7">
                  <c:v>0</c:v>
                </c:pt>
                <c:pt idx="8">
                  <c:v>0</c:v>
                </c:pt>
                <c:pt idx="9">
                  <c:v>0</c:v>
                </c:pt>
                <c:pt idx="10">
                  <c:v>0</c:v>
                </c:pt>
                <c:pt idx="11">
                  <c:v>1</c:v>
                </c:pt>
                <c:pt idx="12">
                  <c:v>0.9910714285714286</c:v>
                </c:pt>
              </c:numCache>
            </c:numRef>
          </c:val>
          <c:extLst>
            <c:ext xmlns:c16="http://schemas.microsoft.com/office/drawing/2014/chart" uri="{C3380CC4-5D6E-409C-BE32-E72D297353CC}">
              <c16:uniqueId val="{00000000-F2DE-4E0D-BD0C-0C36E4A0B63F}"/>
            </c:ext>
          </c:extLst>
        </c:ser>
        <c:ser>
          <c:idx val="1"/>
          <c:order val="1"/>
          <c:tx>
            <c:strRef>
              <c:f>'GJ04'!$C$25</c:f>
              <c:strCache>
                <c:ptCount val="1"/>
                <c:pt idx="0">
                  <c:v>Meta Vigencia</c:v>
                </c:pt>
              </c:strCache>
            </c:strRef>
          </c:tx>
          <c:spPr>
            <a:solidFill>
              <a:srgbClr val="FF420E"/>
            </a:solidFill>
            <a:ln w="25400">
              <a:noFill/>
            </a:ln>
          </c:spPr>
          <c:invertIfNegative val="0"/>
          <c:cat>
            <c:strRef>
              <c:f>'GJ04'!$A$26:$A$38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F2DE-4E0D-BD0C-0C36E4A0B63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'GJ04'!$D$25</c:f>
              <c:strCache>
                <c:ptCount val="1"/>
                <c:pt idx="0">
                  <c:v>Meta - Rango</c:v>
                </c:pt>
              </c:strCache>
            </c:strRef>
          </c:tx>
          <c:spPr>
            <a:ln w="38100">
              <a:solidFill>
                <a:srgbClr val="FFD320"/>
              </a:solidFill>
              <a:prstDash val="solid"/>
            </a:ln>
          </c:spPr>
          <c:marker>
            <c:symbol val="none"/>
          </c:marker>
          <c:cat>
            <c:strRef>
              <c:f>'GJ04'!$A$26:$A$38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F2DE-4E0D-BD0C-0C36E4A0B63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'GJ05'!$B$25</c:f>
              <c:strCache>
                <c:ptCount val="1"/>
                <c:pt idx="0">
                  <c:v>Datos</c:v>
                </c:pt>
              </c:strCache>
            </c:strRef>
          </c:tx>
          <c:spPr>
            <a:solidFill>
              <a:srgbClr val="004586"/>
            </a:solidFill>
            <a:ln w="25400">
              <a:noFill/>
            </a:ln>
          </c:spPr>
          <c:invertIfNegative val="0"/>
          <c:cat>
            <c:strRef>
              <c:f>'GJ05'!$A$26:$A$38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'GJ05'!$B$26:$B$38</c:f>
              <c:numCache>
                <c:formatCode>_-* #,##0.0_-;\-* #,##0.0_-;_-* "-"??_-;_-@_-</c:formatCode>
                <c:ptCount val="13"/>
                <c:pt idx="0">
                  <c:v>0</c:v>
                </c:pt>
                <c:pt idx="1">
                  <c:v>1</c:v>
                </c:pt>
                <c:pt idx="2">
                  <c:v>0</c:v>
                </c:pt>
                <c:pt idx="3">
                  <c:v>1</c:v>
                </c:pt>
                <c:pt idx="4">
                  <c:v>0</c:v>
                </c:pt>
                <c:pt idx="5">
                  <c:v>0</c:v>
                </c:pt>
                <c:pt idx="6">
                  <c:v>1</c:v>
                </c:pt>
                <c:pt idx="7">
                  <c:v>0</c:v>
                </c:pt>
                <c:pt idx="8">
                  <c:v>0</c:v>
                </c:pt>
                <c:pt idx="9">
                  <c:v>1</c:v>
                </c:pt>
                <c:pt idx="10">
                  <c:v>0</c:v>
                </c:pt>
                <c:pt idx="11">
                  <c:v>0</c:v>
                </c:pt>
                <c:pt idx="12">
                  <c:v>4</c:v>
                </c:pt>
              </c:numCache>
            </c:numRef>
          </c:val>
          <c:extLst>
            <c:ext xmlns:c16="http://schemas.microsoft.com/office/drawing/2014/chart" uri="{C3380CC4-5D6E-409C-BE32-E72D297353CC}">
              <c16:uniqueId val="{00000000-24D4-4604-B8AB-B870AA695C7C}"/>
            </c:ext>
          </c:extLst>
        </c:ser>
        <c:ser>
          <c:idx val="1"/>
          <c:order val="1"/>
          <c:tx>
            <c:strRef>
              <c:f>'GJ05'!$C$25</c:f>
              <c:strCache>
                <c:ptCount val="1"/>
                <c:pt idx="0">
                  <c:v>Meta Vigencia</c:v>
                </c:pt>
              </c:strCache>
            </c:strRef>
          </c:tx>
          <c:spPr>
            <a:solidFill>
              <a:srgbClr val="FF420E"/>
            </a:solidFill>
            <a:ln w="25400">
              <a:noFill/>
            </a:ln>
          </c:spPr>
          <c:invertIfNegative val="0"/>
          <c:cat>
            <c:strRef>
              <c:f>'GJ05'!$A$26:$A$38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'GJ05'!$C$26:$C$38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24D4-4604-B8AB-B870AA695C7C}"/>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'GJ05'!$D$25</c:f>
              <c:strCache>
                <c:ptCount val="1"/>
                <c:pt idx="0">
                  <c:v>Meta - Rango</c:v>
                </c:pt>
              </c:strCache>
            </c:strRef>
          </c:tx>
          <c:spPr>
            <a:ln w="38100">
              <a:solidFill>
                <a:srgbClr val="FFD320"/>
              </a:solidFill>
              <a:prstDash val="solid"/>
            </a:ln>
          </c:spPr>
          <c:marker>
            <c:symbol val="none"/>
          </c:marker>
          <c:cat>
            <c:strRef>
              <c:f>'GJ05'!$A$26:$A$38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'GJ05'!$D$26:$D$38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24D4-4604-B8AB-B870AA695C7C}"/>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'GJ06'!$B$25</c:f>
              <c:strCache>
                <c:ptCount val="1"/>
                <c:pt idx="0">
                  <c:v>Datos</c:v>
                </c:pt>
              </c:strCache>
            </c:strRef>
          </c:tx>
          <c:spPr>
            <a:solidFill>
              <a:srgbClr val="004586"/>
            </a:solidFill>
            <a:ln w="25400">
              <a:noFill/>
            </a:ln>
          </c:spPr>
          <c:invertIfNegative val="0"/>
          <c:cat>
            <c:strRef>
              <c:f>'GJ06'!$A$26:$A$38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'GJ06'!$B$26:$B$38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2F2F-4B80-BBD4-8C482EE5020D}"/>
            </c:ext>
          </c:extLst>
        </c:ser>
        <c:ser>
          <c:idx val="1"/>
          <c:order val="1"/>
          <c:tx>
            <c:strRef>
              <c:f>'GJ06'!$C$25</c:f>
              <c:strCache>
                <c:ptCount val="1"/>
                <c:pt idx="0">
                  <c:v>Meta Vigencia</c:v>
                </c:pt>
              </c:strCache>
            </c:strRef>
          </c:tx>
          <c:spPr>
            <a:solidFill>
              <a:srgbClr val="FF420E"/>
            </a:solidFill>
            <a:ln w="25400">
              <a:noFill/>
            </a:ln>
          </c:spPr>
          <c:invertIfNegative val="0"/>
          <c:cat>
            <c:strRef>
              <c:f>'GJ06'!$A$26:$A$38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'GJ06'!$C$26:$C$38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2F2F-4B80-BBD4-8C482EE5020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'GJ06'!$D$25</c:f>
              <c:strCache>
                <c:ptCount val="1"/>
                <c:pt idx="0">
                  <c:v>Meta - Rango</c:v>
                </c:pt>
              </c:strCache>
            </c:strRef>
          </c:tx>
          <c:spPr>
            <a:ln w="38100">
              <a:solidFill>
                <a:srgbClr val="FFD320"/>
              </a:solidFill>
              <a:prstDash val="solid"/>
            </a:ln>
          </c:spPr>
          <c:marker>
            <c:symbol val="none"/>
          </c:marker>
          <c:cat>
            <c:strRef>
              <c:f>'GJ06'!$A$26:$A$38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'GJ06'!$D$26:$D$38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2F2F-4B80-BBD4-8C482EE5020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'GJ07'!$B$25</c:f>
              <c:strCache>
                <c:ptCount val="1"/>
                <c:pt idx="0">
                  <c:v>Datos</c:v>
                </c:pt>
              </c:strCache>
            </c:strRef>
          </c:tx>
          <c:spPr>
            <a:solidFill>
              <a:srgbClr val="004586"/>
            </a:solidFill>
            <a:ln w="25400">
              <a:noFill/>
            </a:ln>
          </c:spPr>
          <c:invertIfNegative val="0"/>
          <c:cat>
            <c:strRef>
              <c:f>'GJ07'!$A$26:$A$38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'GJ07'!$B$26:$B$38</c:f>
              <c:numCache>
                <c:formatCode>0%</c:formatCode>
                <c:ptCount val="13"/>
                <c:pt idx="0">
                  <c:v>0</c:v>
                </c:pt>
                <c:pt idx="1">
                  <c:v>0</c:v>
                </c:pt>
                <c:pt idx="2">
                  <c:v>0.93364928909952605</c:v>
                </c:pt>
                <c:pt idx="3">
                  <c:v>0</c:v>
                </c:pt>
                <c:pt idx="4">
                  <c:v>0</c:v>
                </c:pt>
                <c:pt idx="5">
                  <c:v>0.96153846153846156</c:v>
                </c:pt>
                <c:pt idx="6">
                  <c:v>0</c:v>
                </c:pt>
                <c:pt idx="7">
                  <c:v>0</c:v>
                </c:pt>
                <c:pt idx="8">
                  <c:v>1</c:v>
                </c:pt>
                <c:pt idx="9">
                  <c:v>0</c:v>
                </c:pt>
                <c:pt idx="10">
                  <c:v>0</c:v>
                </c:pt>
                <c:pt idx="11">
                  <c:v>1</c:v>
                </c:pt>
                <c:pt idx="12">
                  <c:v>0.95833333333333337</c:v>
                </c:pt>
              </c:numCache>
            </c:numRef>
          </c:val>
          <c:extLst>
            <c:ext xmlns:c16="http://schemas.microsoft.com/office/drawing/2014/chart" uri="{C3380CC4-5D6E-409C-BE32-E72D297353CC}">
              <c16:uniqueId val="{00000000-9229-4629-B97F-948ACB9FB79F}"/>
            </c:ext>
          </c:extLst>
        </c:ser>
        <c:ser>
          <c:idx val="1"/>
          <c:order val="1"/>
          <c:tx>
            <c:strRef>
              <c:f>'GJ07'!$C$25</c:f>
              <c:strCache>
                <c:ptCount val="1"/>
                <c:pt idx="0">
                  <c:v>Meta Vigencia</c:v>
                </c:pt>
              </c:strCache>
            </c:strRef>
          </c:tx>
          <c:spPr>
            <a:solidFill>
              <a:srgbClr val="FF420E"/>
            </a:solidFill>
            <a:ln w="25400">
              <a:noFill/>
            </a:ln>
          </c:spPr>
          <c:invertIfNegative val="0"/>
          <c:cat>
            <c:strRef>
              <c:f>'GJ07'!$A$26:$A$38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'GJ07'!$C$26:$C$38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229-4629-B97F-948ACB9FB79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'GJ07'!$D$25</c:f>
              <c:strCache>
                <c:ptCount val="1"/>
                <c:pt idx="0">
                  <c:v>Meta - Rango</c:v>
                </c:pt>
              </c:strCache>
            </c:strRef>
          </c:tx>
          <c:spPr>
            <a:ln w="38100">
              <a:solidFill>
                <a:srgbClr val="FFD320"/>
              </a:solidFill>
              <a:prstDash val="solid"/>
            </a:ln>
          </c:spPr>
          <c:marker>
            <c:symbol val="none"/>
          </c:marker>
          <c:cat>
            <c:strRef>
              <c:f>'GJ07'!$A$26:$A$38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'GJ07'!$D$26:$D$38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229-4629-B97F-948ACB9FB79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'GJ14'!$B$25</c:f>
              <c:strCache>
                <c:ptCount val="1"/>
                <c:pt idx="0">
                  <c:v>Datos</c:v>
                </c:pt>
              </c:strCache>
            </c:strRef>
          </c:tx>
          <c:spPr>
            <a:solidFill>
              <a:srgbClr val="004586"/>
            </a:solidFill>
            <a:ln w="25400">
              <a:noFill/>
            </a:ln>
          </c:spPr>
          <c:invertIfNegative val="0"/>
          <c:cat>
            <c:strRef>
              <c:f>'GJ14'!$A$26:$A$38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'GJ14'!$B$26:$B$38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53E9-41D8-A729-CFB66303D591}"/>
            </c:ext>
          </c:extLst>
        </c:ser>
        <c:ser>
          <c:idx val="1"/>
          <c:order val="1"/>
          <c:tx>
            <c:strRef>
              <c:f>'GJ14'!$C$25</c:f>
              <c:strCache>
                <c:ptCount val="1"/>
                <c:pt idx="0">
                  <c:v>Meta Vigencia</c:v>
                </c:pt>
              </c:strCache>
            </c:strRef>
          </c:tx>
          <c:spPr>
            <a:solidFill>
              <a:srgbClr val="FF420E"/>
            </a:solidFill>
            <a:ln w="25400">
              <a:noFill/>
            </a:ln>
          </c:spPr>
          <c:invertIfNegative val="0"/>
          <c:cat>
            <c:strRef>
              <c:f>'GJ14'!$A$26:$A$38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53E9-41D8-A729-CFB66303D59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'GJ14'!$D$25</c:f>
              <c:strCache>
                <c:ptCount val="1"/>
                <c:pt idx="0">
                  <c:v>Meta - Rango</c:v>
                </c:pt>
              </c:strCache>
            </c:strRef>
          </c:tx>
          <c:spPr>
            <a:ln w="38100">
              <a:solidFill>
                <a:srgbClr val="FFD320"/>
              </a:solidFill>
              <a:prstDash val="solid"/>
            </a:ln>
          </c:spPr>
          <c:marker>
            <c:symbol val="none"/>
          </c:marker>
          <c:cat>
            <c:strRef>
              <c:f>'GJ14'!$A$26:$A$38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53E9-41D8-A729-CFB66303D59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'GJ15'!$B$25</c:f>
              <c:strCache>
                <c:ptCount val="1"/>
                <c:pt idx="0">
                  <c:v>Datos</c:v>
                </c:pt>
              </c:strCache>
            </c:strRef>
          </c:tx>
          <c:spPr>
            <a:solidFill>
              <a:srgbClr val="004586"/>
            </a:solidFill>
            <a:ln w="25400">
              <a:noFill/>
            </a:ln>
          </c:spPr>
          <c:invertIfNegative val="0"/>
          <c:cat>
            <c:strRef>
              <c:f>'GJ15'!$A$26:$A$38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'GJ15'!$B$26:$B$38</c:f>
              <c:numCache>
                <c:formatCode>0%</c:formatCode>
                <c:ptCount val="13"/>
                <c:pt idx="0">
                  <c:v>0</c:v>
                </c:pt>
                <c:pt idx="1">
                  <c:v>0</c:v>
                </c:pt>
                <c:pt idx="2">
                  <c:v>0</c:v>
                </c:pt>
                <c:pt idx="3">
                  <c:v>0</c:v>
                </c:pt>
                <c:pt idx="4">
                  <c:v>0</c:v>
                </c:pt>
                <c:pt idx="5">
                  <c:v>1</c:v>
                </c:pt>
                <c:pt idx="6">
                  <c:v>0</c:v>
                </c:pt>
                <c:pt idx="7">
                  <c:v>0</c:v>
                </c:pt>
                <c:pt idx="8">
                  <c:v>0</c:v>
                </c:pt>
                <c:pt idx="9">
                  <c:v>0</c:v>
                </c:pt>
                <c:pt idx="10">
                  <c:v>0</c:v>
                </c:pt>
                <c:pt idx="11">
                  <c:v>1</c:v>
                </c:pt>
                <c:pt idx="12">
                  <c:v>1</c:v>
                </c:pt>
              </c:numCache>
            </c:numRef>
          </c:val>
          <c:extLst>
            <c:ext xmlns:c16="http://schemas.microsoft.com/office/drawing/2014/chart" uri="{C3380CC4-5D6E-409C-BE32-E72D297353CC}">
              <c16:uniqueId val="{00000000-6F3C-4627-B143-BF31F7E15C37}"/>
            </c:ext>
          </c:extLst>
        </c:ser>
        <c:ser>
          <c:idx val="1"/>
          <c:order val="1"/>
          <c:tx>
            <c:strRef>
              <c:f>'GJ15'!$C$25</c:f>
              <c:strCache>
                <c:ptCount val="1"/>
                <c:pt idx="0">
                  <c:v>Meta Vigencia</c:v>
                </c:pt>
              </c:strCache>
            </c:strRef>
          </c:tx>
          <c:spPr>
            <a:solidFill>
              <a:srgbClr val="FF420E"/>
            </a:solidFill>
            <a:ln w="25400">
              <a:noFill/>
            </a:ln>
          </c:spPr>
          <c:invertIfNegative val="0"/>
          <c:cat>
            <c:strRef>
              <c:f>'GJ15'!$A$26:$A$38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'GJ15'!$C$26:$C$38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6F3C-4627-B143-BF31F7E15C37}"/>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'GJ15'!$D$25</c:f>
              <c:strCache>
                <c:ptCount val="1"/>
                <c:pt idx="0">
                  <c:v>Meta - Rango</c:v>
                </c:pt>
              </c:strCache>
            </c:strRef>
          </c:tx>
          <c:spPr>
            <a:ln w="38100">
              <a:solidFill>
                <a:srgbClr val="FFD320"/>
              </a:solidFill>
              <a:prstDash val="solid"/>
            </a:ln>
          </c:spPr>
          <c:marker>
            <c:symbol val="none"/>
          </c:marker>
          <c:cat>
            <c:strRef>
              <c:f>'GJ15'!$A$26:$A$38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'GJ15'!$D$26:$D$38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6F3C-4627-B143-BF31F7E15C37}"/>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'GJ12'!$B$25</c:f>
              <c:strCache>
                <c:ptCount val="1"/>
                <c:pt idx="0">
                  <c:v>Datos</c:v>
                </c:pt>
              </c:strCache>
            </c:strRef>
          </c:tx>
          <c:spPr>
            <a:solidFill>
              <a:srgbClr val="004586"/>
            </a:solidFill>
            <a:ln w="25400">
              <a:noFill/>
            </a:ln>
          </c:spPr>
          <c:invertIfNegative val="0"/>
          <c:cat>
            <c:strRef>
              <c:f>'GJ12'!$A$26:$A$38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'GJ12'!$B$26:$B$38</c:f>
              <c:numCache>
                <c:formatCode>_-* #,##0.0_-;\-* #,##0.0_-;_-* "-"??_-;_-@_-</c:formatCode>
                <c:ptCount val="13"/>
                <c:pt idx="0">
                  <c:v>1</c:v>
                </c:pt>
                <c:pt idx="1">
                  <c:v>0</c:v>
                </c:pt>
                <c:pt idx="2">
                  <c:v>0</c:v>
                </c:pt>
                <c:pt idx="3">
                  <c:v>0</c:v>
                </c:pt>
                <c:pt idx="4">
                  <c:v>0</c:v>
                </c:pt>
                <c:pt idx="5">
                  <c:v>5</c:v>
                </c:pt>
                <c:pt idx="6">
                  <c:v>0</c:v>
                </c:pt>
                <c:pt idx="7">
                  <c:v>0</c:v>
                </c:pt>
                <c:pt idx="8">
                  <c:v>0</c:v>
                </c:pt>
                <c:pt idx="9">
                  <c:v>0</c:v>
                </c:pt>
                <c:pt idx="10">
                  <c:v>0</c:v>
                </c:pt>
                <c:pt idx="11">
                  <c:v>4</c:v>
                </c:pt>
                <c:pt idx="12">
                  <c:v>10</c:v>
                </c:pt>
              </c:numCache>
            </c:numRef>
          </c:val>
          <c:extLst>
            <c:ext xmlns:c16="http://schemas.microsoft.com/office/drawing/2014/chart" uri="{C3380CC4-5D6E-409C-BE32-E72D297353CC}">
              <c16:uniqueId val="{00000000-3CAA-4018-9EE3-9C73CEADC5E3}"/>
            </c:ext>
          </c:extLst>
        </c:ser>
        <c:ser>
          <c:idx val="1"/>
          <c:order val="1"/>
          <c:tx>
            <c:strRef>
              <c:f>'GJ12'!$C$25</c:f>
              <c:strCache>
                <c:ptCount val="1"/>
                <c:pt idx="0">
                  <c:v>Meta Vigencia</c:v>
                </c:pt>
              </c:strCache>
            </c:strRef>
          </c:tx>
          <c:spPr>
            <a:solidFill>
              <a:srgbClr val="FF420E"/>
            </a:solidFill>
            <a:ln w="25400">
              <a:noFill/>
            </a:ln>
          </c:spPr>
          <c:invertIfNegative val="0"/>
          <c:cat>
            <c:strRef>
              <c:f>'GJ12'!$A$26:$A$38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'GJ12'!$C$26:$C$38</c:f>
              <c:numCache>
                <c:formatCode>_-* #,##0.0_-;\-* #,##0.0_-;_-* "-"??_-;_-@_-</c:formatCode>
                <c:ptCount val="13"/>
                <c:pt idx="0">
                  <c:v>10</c:v>
                </c:pt>
                <c:pt idx="1">
                  <c:v>10</c:v>
                </c:pt>
                <c:pt idx="2">
                  <c:v>10</c:v>
                </c:pt>
                <c:pt idx="3">
                  <c:v>10</c:v>
                </c:pt>
                <c:pt idx="4">
                  <c:v>10</c:v>
                </c:pt>
                <c:pt idx="5">
                  <c:v>10</c:v>
                </c:pt>
                <c:pt idx="6">
                  <c:v>10</c:v>
                </c:pt>
                <c:pt idx="7">
                  <c:v>10</c:v>
                </c:pt>
                <c:pt idx="8">
                  <c:v>10</c:v>
                </c:pt>
                <c:pt idx="9">
                  <c:v>10</c:v>
                </c:pt>
                <c:pt idx="10">
                  <c:v>10</c:v>
                </c:pt>
                <c:pt idx="11">
                  <c:v>10</c:v>
                </c:pt>
                <c:pt idx="12">
                  <c:v>10</c:v>
                </c:pt>
              </c:numCache>
            </c:numRef>
          </c:val>
          <c:extLst>
            <c:ext xmlns:c16="http://schemas.microsoft.com/office/drawing/2014/chart" uri="{C3380CC4-5D6E-409C-BE32-E72D297353CC}">
              <c16:uniqueId val="{00000001-3CAA-4018-9EE3-9C73CEADC5E3}"/>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'GJ12'!$D$25</c:f>
              <c:strCache>
                <c:ptCount val="1"/>
                <c:pt idx="0">
                  <c:v>Meta - Rango</c:v>
                </c:pt>
              </c:strCache>
            </c:strRef>
          </c:tx>
          <c:spPr>
            <a:ln w="38100">
              <a:solidFill>
                <a:srgbClr val="FFD320"/>
              </a:solidFill>
              <a:prstDash val="solid"/>
            </a:ln>
          </c:spPr>
          <c:marker>
            <c:symbol val="none"/>
          </c:marker>
          <c:cat>
            <c:strRef>
              <c:f>'GJ12'!$A$26:$A$38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'GJ12'!$D$26:$D$38</c:f>
              <c:numCache>
                <c:formatCode>_-* #,##0.0_-;\-* #,##0.0_-;_-* "-"??_-;_-@_-</c:formatCode>
                <c:ptCount val="13"/>
                <c:pt idx="0">
                  <c:v>9.8000000000000007</c:v>
                </c:pt>
                <c:pt idx="1">
                  <c:v>9.8000000000000007</c:v>
                </c:pt>
                <c:pt idx="2">
                  <c:v>9.8000000000000007</c:v>
                </c:pt>
                <c:pt idx="3">
                  <c:v>9.8000000000000007</c:v>
                </c:pt>
                <c:pt idx="4">
                  <c:v>9.8000000000000007</c:v>
                </c:pt>
                <c:pt idx="5">
                  <c:v>9.8000000000000007</c:v>
                </c:pt>
                <c:pt idx="6">
                  <c:v>9.8000000000000007</c:v>
                </c:pt>
                <c:pt idx="7">
                  <c:v>9.8000000000000007</c:v>
                </c:pt>
                <c:pt idx="8">
                  <c:v>9.8000000000000007</c:v>
                </c:pt>
                <c:pt idx="9">
                  <c:v>9.8000000000000007</c:v>
                </c:pt>
                <c:pt idx="10">
                  <c:v>9.8000000000000007</c:v>
                </c:pt>
                <c:pt idx="11">
                  <c:v>9.8000000000000007</c:v>
                </c:pt>
                <c:pt idx="12">
                  <c:v>9.8000000000000007</c:v>
                </c:pt>
              </c:numCache>
            </c:numRef>
          </c:val>
          <c:smooth val="0"/>
          <c:extLst>
            <c:ext xmlns:c16="http://schemas.microsoft.com/office/drawing/2014/chart" uri="{C3380CC4-5D6E-409C-BE32-E72D297353CC}">
              <c16:uniqueId val="{00000002-3CAA-4018-9EE3-9C73CEADC5E3}"/>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'GJ10'!$B$25</c:f>
              <c:strCache>
                <c:ptCount val="1"/>
                <c:pt idx="0">
                  <c:v>Datos</c:v>
                </c:pt>
              </c:strCache>
            </c:strRef>
          </c:tx>
          <c:spPr>
            <a:solidFill>
              <a:srgbClr val="004586"/>
            </a:solidFill>
            <a:ln w="25400">
              <a:noFill/>
            </a:ln>
          </c:spPr>
          <c:invertIfNegative val="0"/>
          <c:cat>
            <c:strRef>
              <c:f>'GJ10'!$A$26:$A$38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'GJ10'!$B$26:$B$38</c:f>
              <c:numCache>
                <c:formatCode>_-* #,##0.0_-;\-* #,##0.0_-;_-* "-"??_-;_-@_-</c:formatCode>
                <c:ptCount val="13"/>
                <c:pt idx="0">
                  <c:v>0</c:v>
                </c:pt>
                <c:pt idx="1">
                  <c:v>1</c:v>
                </c:pt>
                <c:pt idx="2">
                  <c:v>4</c:v>
                </c:pt>
                <c:pt idx="3">
                  <c:v>1</c:v>
                </c:pt>
                <c:pt idx="4">
                  <c:v>0</c:v>
                </c:pt>
                <c:pt idx="5">
                  <c:v>7</c:v>
                </c:pt>
                <c:pt idx="6">
                  <c:v>0</c:v>
                </c:pt>
                <c:pt idx="7">
                  <c:v>1</c:v>
                </c:pt>
                <c:pt idx="8">
                  <c:v>6</c:v>
                </c:pt>
                <c:pt idx="9">
                  <c:v>1</c:v>
                </c:pt>
                <c:pt idx="10">
                  <c:v>0</c:v>
                </c:pt>
                <c:pt idx="11">
                  <c:v>11</c:v>
                </c:pt>
                <c:pt idx="12">
                  <c:v>32</c:v>
                </c:pt>
              </c:numCache>
            </c:numRef>
          </c:val>
          <c:extLst>
            <c:ext xmlns:c16="http://schemas.microsoft.com/office/drawing/2014/chart" uri="{C3380CC4-5D6E-409C-BE32-E72D297353CC}">
              <c16:uniqueId val="{00000000-2100-4275-BA07-0FE45602689A}"/>
            </c:ext>
          </c:extLst>
        </c:ser>
        <c:ser>
          <c:idx val="1"/>
          <c:order val="1"/>
          <c:tx>
            <c:strRef>
              <c:f>'GJ10'!$C$25</c:f>
              <c:strCache>
                <c:ptCount val="1"/>
                <c:pt idx="0">
                  <c:v>Meta Vigencia</c:v>
                </c:pt>
              </c:strCache>
            </c:strRef>
          </c:tx>
          <c:spPr>
            <a:solidFill>
              <a:srgbClr val="FF420E"/>
            </a:solidFill>
            <a:ln w="25400">
              <a:noFill/>
            </a:ln>
          </c:spPr>
          <c:invertIfNegative val="0"/>
          <c:cat>
            <c:strRef>
              <c:f>'GJ10'!$A$26:$A$38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'GJ10'!$C$26:$C$38</c:f>
              <c:numCache>
                <c:formatCode>_-* #,##0.0_-;\-* #,##0.0_-;_-* "-"??_-;_-@_-</c:formatCode>
                <c:ptCount val="13"/>
                <c:pt idx="0">
                  <c:v>32</c:v>
                </c:pt>
                <c:pt idx="1">
                  <c:v>32</c:v>
                </c:pt>
                <c:pt idx="2">
                  <c:v>32</c:v>
                </c:pt>
                <c:pt idx="3">
                  <c:v>32</c:v>
                </c:pt>
                <c:pt idx="4">
                  <c:v>32</c:v>
                </c:pt>
                <c:pt idx="5">
                  <c:v>32</c:v>
                </c:pt>
                <c:pt idx="6">
                  <c:v>32</c:v>
                </c:pt>
                <c:pt idx="7">
                  <c:v>32</c:v>
                </c:pt>
                <c:pt idx="8">
                  <c:v>32</c:v>
                </c:pt>
                <c:pt idx="9">
                  <c:v>32</c:v>
                </c:pt>
                <c:pt idx="10">
                  <c:v>32</c:v>
                </c:pt>
                <c:pt idx="11">
                  <c:v>32</c:v>
                </c:pt>
                <c:pt idx="12">
                  <c:v>32</c:v>
                </c:pt>
              </c:numCache>
            </c:numRef>
          </c:val>
          <c:extLst>
            <c:ext xmlns:c16="http://schemas.microsoft.com/office/drawing/2014/chart" uri="{C3380CC4-5D6E-409C-BE32-E72D297353CC}">
              <c16:uniqueId val="{00000001-2100-4275-BA07-0FE45602689A}"/>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'GJ10'!$D$25</c:f>
              <c:strCache>
                <c:ptCount val="1"/>
                <c:pt idx="0">
                  <c:v>Meta - Rango</c:v>
                </c:pt>
              </c:strCache>
            </c:strRef>
          </c:tx>
          <c:spPr>
            <a:ln w="38100">
              <a:solidFill>
                <a:srgbClr val="FFD320"/>
              </a:solidFill>
              <a:prstDash val="solid"/>
            </a:ln>
          </c:spPr>
          <c:marker>
            <c:symbol val="none"/>
          </c:marker>
          <c:cat>
            <c:strRef>
              <c:f>'GJ10'!$A$26:$A$38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'GJ10'!$D$26:$D$38</c:f>
              <c:numCache>
                <c:formatCode>_-* #,##0.0_-;\-* #,##0.0_-;_-* "-"??_-;_-@_-</c:formatCode>
                <c:ptCount val="13"/>
                <c:pt idx="0">
                  <c:v>31.36</c:v>
                </c:pt>
                <c:pt idx="1">
                  <c:v>31.36</c:v>
                </c:pt>
                <c:pt idx="2">
                  <c:v>31.36</c:v>
                </c:pt>
                <c:pt idx="3">
                  <c:v>31.36</c:v>
                </c:pt>
                <c:pt idx="4">
                  <c:v>31.36</c:v>
                </c:pt>
                <c:pt idx="5">
                  <c:v>31.36</c:v>
                </c:pt>
                <c:pt idx="6">
                  <c:v>31.36</c:v>
                </c:pt>
                <c:pt idx="7">
                  <c:v>31.36</c:v>
                </c:pt>
                <c:pt idx="8">
                  <c:v>31.36</c:v>
                </c:pt>
                <c:pt idx="9">
                  <c:v>31.36</c:v>
                </c:pt>
                <c:pt idx="10">
                  <c:v>31.36</c:v>
                </c:pt>
                <c:pt idx="11">
                  <c:v>31.36</c:v>
                </c:pt>
                <c:pt idx="12">
                  <c:v>31.36</c:v>
                </c:pt>
              </c:numCache>
            </c:numRef>
          </c:val>
          <c:smooth val="0"/>
          <c:extLst>
            <c:ext xmlns:c16="http://schemas.microsoft.com/office/drawing/2014/chart" uri="{C3380CC4-5D6E-409C-BE32-E72D297353CC}">
              <c16:uniqueId val="{00000002-2100-4275-BA07-0FE45602689A}"/>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'DI14'!$B$25</c:f>
              <c:strCache>
                <c:ptCount val="1"/>
                <c:pt idx="0">
                  <c:v>Datos</c:v>
                </c:pt>
              </c:strCache>
            </c:strRef>
          </c:tx>
          <c:spPr>
            <a:solidFill>
              <a:srgbClr val="004586"/>
            </a:solidFill>
            <a:ln w="25400">
              <a:noFill/>
            </a:ln>
          </c:spPr>
          <c:invertIfNegative val="0"/>
          <c:cat>
            <c:strRef>
              <c:f>'DI14'!$A$26:$A$38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'DI14'!$B$26:$B$38</c:f>
              <c:numCache>
                <c:formatCode>_-* #,##0.0_-;\-* #,##0.0_-;_-* "-"??_-;_-@_-</c:formatCode>
                <c:ptCount val="13"/>
                <c:pt idx="0">
                  <c:v>0</c:v>
                </c:pt>
                <c:pt idx="1">
                  <c:v>0</c:v>
                </c:pt>
                <c:pt idx="2">
                  <c:v>0</c:v>
                </c:pt>
                <c:pt idx="3">
                  <c:v>1</c:v>
                </c:pt>
                <c:pt idx="4">
                  <c:v>0</c:v>
                </c:pt>
                <c:pt idx="5">
                  <c:v>0</c:v>
                </c:pt>
                <c:pt idx="6">
                  <c:v>2</c:v>
                </c:pt>
                <c:pt idx="7">
                  <c:v>0</c:v>
                </c:pt>
                <c:pt idx="8">
                  <c:v>1</c:v>
                </c:pt>
                <c:pt idx="9">
                  <c:v>0</c:v>
                </c:pt>
                <c:pt idx="10">
                  <c:v>0</c:v>
                </c:pt>
                <c:pt idx="11">
                  <c:v>1</c:v>
                </c:pt>
                <c:pt idx="12">
                  <c:v>5</c:v>
                </c:pt>
              </c:numCache>
            </c:numRef>
          </c:val>
          <c:extLst>
            <c:ext xmlns:c16="http://schemas.microsoft.com/office/drawing/2014/chart" uri="{C3380CC4-5D6E-409C-BE32-E72D297353CC}">
              <c16:uniqueId val="{00000000-79AD-4275-863F-43FD6891231B}"/>
            </c:ext>
          </c:extLst>
        </c:ser>
        <c:ser>
          <c:idx val="1"/>
          <c:order val="1"/>
          <c:tx>
            <c:strRef>
              <c:f>'DI14'!$C$25</c:f>
              <c:strCache>
                <c:ptCount val="1"/>
                <c:pt idx="0">
                  <c:v>Meta Vigencia</c:v>
                </c:pt>
              </c:strCache>
            </c:strRef>
          </c:tx>
          <c:spPr>
            <a:solidFill>
              <a:srgbClr val="FF420E"/>
            </a:solidFill>
            <a:ln w="25400">
              <a:noFill/>
            </a:ln>
          </c:spPr>
          <c:invertIfNegative val="0"/>
          <c:cat>
            <c:strRef>
              <c:f>'DI14'!$A$26:$A$38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'DI14'!$C$26:$C$38</c:f>
              <c:numCache>
                <c:formatCode>_-* #,##0.0_-;\-* #,##0.0_-;_-* "-"??_-;_-@_-</c:formatCode>
                <c:ptCount val="13"/>
                <c:pt idx="0">
                  <c:v>4</c:v>
                </c:pt>
                <c:pt idx="1">
                  <c:v>4</c:v>
                </c:pt>
                <c:pt idx="2">
                  <c:v>4</c:v>
                </c:pt>
                <c:pt idx="3">
                  <c:v>4</c:v>
                </c:pt>
                <c:pt idx="4">
                  <c:v>4</c:v>
                </c:pt>
                <c:pt idx="5">
                  <c:v>4</c:v>
                </c:pt>
                <c:pt idx="6">
                  <c:v>4</c:v>
                </c:pt>
                <c:pt idx="7">
                  <c:v>4</c:v>
                </c:pt>
                <c:pt idx="8">
                  <c:v>4</c:v>
                </c:pt>
                <c:pt idx="9">
                  <c:v>4</c:v>
                </c:pt>
                <c:pt idx="10">
                  <c:v>4</c:v>
                </c:pt>
                <c:pt idx="11">
                  <c:v>4</c:v>
                </c:pt>
                <c:pt idx="12">
                  <c:v>4</c:v>
                </c:pt>
              </c:numCache>
            </c:numRef>
          </c:val>
          <c:extLst>
            <c:ext xmlns:c16="http://schemas.microsoft.com/office/drawing/2014/chart" uri="{C3380CC4-5D6E-409C-BE32-E72D297353CC}">
              <c16:uniqueId val="{00000001-79AD-4275-863F-43FD6891231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'DI14'!$D$25</c:f>
              <c:strCache>
                <c:ptCount val="1"/>
                <c:pt idx="0">
                  <c:v>Meta - Rango</c:v>
                </c:pt>
              </c:strCache>
            </c:strRef>
          </c:tx>
          <c:spPr>
            <a:ln w="38100">
              <a:solidFill>
                <a:srgbClr val="FFD320"/>
              </a:solidFill>
              <a:prstDash val="solid"/>
            </a:ln>
          </c:spPr>
          <c:marker>
            <c:symbol val="none"/>
          </c:marker>
          <c:cat>
            <c:strRef>
              <c:f>'DI14'!$A$26:$A$38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'DI14'!$D$26:$D$38</c:f>
              <c:numCache>
                <c:formatCode>_-* #,##0.0_-;\-* #,##0.0_-;_-* "-"??_-;_-@_-</c:formatCode>
                <c:ptCount val="13"/>
                <c:pt idx="0">
                  <c:v>3.92</c:v>
                </c:pt>
                <c:pt idx="1">
                  <c:v>3.92</c:v>
                </c:pt>
                <c:pt idx="2">
                  <c:v>3.92</c:v>
                </c:pt>
                <c:pt idx="3">
                  <c:v>3.92</c:v>
                </c:pt>
                <c:pt idx="4">
                  <c:v>3.92</c:v>
                </c:pt>
                <c:pt idx="5">
                  <c:v>3.92</c:v>
                </c:pt>
                <c:pt idx="6">
                  <c:v>3.92</c:v>
                </c:pt>
                <c:pt idx="7">
                  <c:v>3.92</c:v>
                </c:pt>
                <c:pt idx="8">
                  <c:v>3.92</c:v>
                </c:pt>
                <c:pt idx="9">
                  <c:v>3.92</c:v>
                </c:pt>
                <c:pt idx="10">
                  <c:v>3.92</c:v>
                </c:pt>
                <c:pt idx="11">
                  <c:v>3.92</c:v>
                </c:pt>
                <c:pt idx="12">
                  <c:v>3.92</c:v>
                </c:pt>
              </c:numCache>
            </c:numRef>
          </c:val>
          <c:smooth val="0"/>
          <c:extLst>
            <c:ext xmlns:c16="http://schemas.microsoft.com/office/drawing/2014/chart" uri="{C3380CC4-5D6E-409C-BE32-E72D297353CC}">
              <c16:uniqueId val="{00000002-79AD-4275-863F-43FD6891231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'JC04'!$B$25</c:f>
              <c:strCache>
                <c:ptCount val="1"/>
                <c:pt idx="0">
                  <c:v>Datos</c:v>
                </c:pt>
              </c:strCache>
            </c:strRef>
          </c:tx>
          <c:spPr>
            <a:solidFill>
              <a:srgbClr val="004586"/>
            </a:solidFill>
            <a:ln w="25400">
              <a:noFill/>
            </a:ln>
          </c:spPr>
          <c:invertIfNegative val="0"/>
          <c:cat>
            <c:strRef>
              <c:f>'JC04'!$A$26:$A$38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'JC04'!$B$26:$B$38</c:f>
              <c:numCache>
                <c:formatCode>0%</c:formatCode>
                <c:ptCount val="13"/>
                <c:pt idx="0">
                  <c:v>0</c:v>
                </c:pt>
                <c:pt idx="1">
                  <c:v>0</c:v>
                </c:pt>
                <c:pt idx="2">
                  <c:v>1</c:v>
                </c:pt>
                <c:pt idx="3">
                  <c:v>0</c:v>
                </c:pt>
                <c:pt idx="4">
                  <c:v>0</c:v>
                </c:pt>
                <c:pt idx="5">
                  <c:v>1</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9CAE-41C0-A74F-F37B31852B8B}"/>
            </c:ext>
          </c:extLst>
        </c:ser>
        <c:ser>
          <c:idx val="1"/>
          <c:order val="1"/>
          <c:tx>
            <c:strRef>
              <c:f>'JC04'!$C$25</c:f>
              <c:strCache>
                <c:ptCount val="1"/>
                <c:pt idx="0">
                  <c:v>Meta Vigencia</c:v>
                </c:pt>
              </c:strCache>
            </c:strRef>
          </c:tx>
          <c:spPr>
            <a:solidFill>
              <a:srgbClr val="FF420E"/>
            </a:solidFill>
            <a:ln w="25400">
              <a:noFill/>
            </a:ln>
          </c:spPr>
          <c:invertIfNegative val="0"/>
          <c:cat>
            <c:strRef>
              <c:f>'JC04'!$A$26:$A$38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'JC04'!$C$26:$C$38</c:f>
              <c:numCache>
                <c:formatCode>0%</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9CAE-41C0-A74F-F37B31852B8B}"/>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'JC04'!$D$25</c:f>
              <c:strCache>
                <c:ptCount val="1"/>
                <c:pt idx="0">
                  <c:v>Meta - Rango</c:v>
                </c:pt>
              </c:strCache>
            </c:strRef>
          </c:tx>
          <c:spPr>
            <a:ln w="38100">
              <a:solidFill>
                <a:srgbClr val="FFD320"/>
              </a:solidFill>
              <a:prstDash val="solid"/>
            </a:ln>
          </c:spPr>
          <c:marker>
            <c:symbol val="none"/>
          </c:marker>
          <c:cat>
            <c:strRef>
              <c:f>'JC04'!$A$26:$A$38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'JC04'!$D$26:$D$38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9CAE-41C0-A74F-F37B31852B8B}"/>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'DI35'!$B$25</c:f>
              <c:strCache>
                <c:ptCount val="1"/>
                <c:pt idx="0">
                  <c:v>Datos</c:v>
                </c:pt>
              </c:strCache>
            </c:strRef>
          </c:tx>
          <c:spPr>
            <a:solidFill>
              <a:srgbClr val="004586"/>
            </a:solidFill>
            <a:ln w="25400">
              <a:noFill/>
            </a:ln>
          </c:spPr>
          <c:invertIfNegative val="0"/>
          <c:cat>
            <c:strRef>
              <c:f>'DI35'!$A$26:$A$38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'DI35'!$B$26:$B$38</c:f>
              <c:numCache>
                <c:formatCode>_-* #,##0.0_-;\-* #,##0.0_-;_-* "-"??_-;_-@_-</c:formatCode>
                <c:ptCount val="13"/>
                <c:pt idx="0">
                  <c:v>0</c:v>
                </c:pt>
                <c:pt idx="1">
                  <c:v>0</c:v>
                </c:pt>
                <c:pt idx="2">
                  <c:v>0</c:v>
                </c:pt>
                <c:pt idx="3">
                  <c:v>2</c:v>
                </c:pt>
                <c:pt idx="4">
                  <c:v>0</c:v>
                </c:pt>
                <c:pt idx="5">
                  <c:v>0</c:v>
                </c:pt>
                <c:pt idx="6">
                  <c:v>0</c:v>
                </c:pt>
                <c:pt idx="7">
                  <c:v>1</c:v>
                </c:pt>
                <c:pt idx="8">
                  <c:v>0</c:v>
                </c:pt>
                <c:pt idx="9">
                  <c:v>0</c:v>
                </c:pt>
                <c:pt idx="10">
                  <c:v>0</c:v>
                </c:pt>
                <c:pt idx="11">
                  <c:v>2</c:v>
                </c:pt>
                <c:pt idx="12">
                  <c:v>5</c:v>
                </c:pt>
              </c:numCache>
            </c:numRef>
          </c:val>
          <c:extLst>
            <c:ext xmlns:c16="http://schemas.microsoft.com/office/drawing/2014/chart" uri="{C3380CC4-5D6E-409C-BE32-E72D297353CC}">
              <c16:uniqueId val="{00000000-21A5-4131-BBC7-126250205EF1}"/>
            </c:ext>
          </c:extLst>
        </c:ser>
        <c:ser>
          <c:idx val="1"/>
          <c:order val="1"/>
          <c:tx>
            <c:strRef>
              <c:f>'DI35'!$C$25</c:f>
              <c:strCache>
                <c:ptCount val="1"/>
                <c:pt idx="0">
                  <c:v>Meta Vigencia</c:v>
                </c:pt>
              </c:strCache>
            </c:strRef>
          </c:tx>
          <c:spPr>
            <a:solidFill>
              <a:srgbClr val="FF420E"/>
            </a:solidFill>
            <a:ln w="25400">
              <a:noFill/>
            </a:ln>
          </c:spPr>
          <c:invertIfNegative val="0"/>
          <c:cat>
            <c:strRef>
              <c:f>'DI35'!$A$26:$A$38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'DI35'!$C$26:$C$38</c:f>
              <c:numCache>
                <c:formatCode>_-* #,##0.0_-;\-* #,##0.0_-;_-* "-"??_-;_-@_-</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21A5-4131-BBC7-126250205EF1}"/>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'DI35'!$D$25</c:f>
              <c:strCache>
                <c:ptCount val="1"/>
                <c:pt idx="0">
                  <c:v>Meta - Rango</c:v>
                </c:pt>
              </c:strCache>
            </c:strRef>
          </c:tx>
          <c:spPr>
            <a:ln w="38100">
              <a:solidFill>
                <a:srgbClr val="FFD320"/>
              </a:solidFill>
              <a:prstDash val="solid"/>
            </a:ln>
          </c:spPr>
          <c:marker>
            <c:symbol val="none"/>
          </c:marker>
          <c:cat>
            <c:strRef>
              <c:f>'DI35'!$A$26:$A$38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'DI35'!$D$26:$D$38</c:f>
              <c:numCache>
                <c:formatCode>_-* #,##0.0_-;\-* #,##0.0_-;_-* "-"??_-;_-@_-</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21A5-4131-BBC7-126250205EF1}"/>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'DI17'!$B$25</c:f>
              <c:strCache>
                <c:ptCount val="1"/>
                <c:pt idx="0">
                  <c:v>Datos</c:v>
                </c:pt>
              </c:strCache>
            </c:strRef>
          </c:tx>
          <c:spPr>
            <a:solidFill>
              <a:srgbClr val="004586"/>
            </a:solidFill>
            <a:ln w="25400">
              <a:noFill/>
            </a:ln>
          </c:spPr>
          <c:invertIfNegative val="0"/>
          <c:cat>
            <c:strRef>
              <c:f>'DI17'!$A$26:$A$38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'DI17'!$B$26:$B$38</c:f>
              <c:numCache>
                <c:formatCode>_-* #,##0.0_-;\-* #,##0.0_-;_-* "-"??_-;_-@_-</c:formatCode>
                <c:ptCount val="13"/>
                <c:pt idx="0">
                  <c:v>0</c:v>
                </c:pt>
                <c:pt idx="1">
                  <c:v>0</c:v>
                </c:pt>
                <c:pt idx="2">
                  <c:v>0</c:v>
                </c:pt>
                <c:pt idx="3">
                  <c:v>0</c:v>
                </c:pt>
                <c:pt idx="4">
                  <c:v>0</c:v>
                </c:pt>
                <c:pt idx="5">
                  <c:v>0</c:v>
                </c:pt>
                <c:pt idx="6">
                  <c:v>0</c:v>
                </c:pt>
                <c:pt idx="7">
                  <c:v>0</c:v>
                </c:pt>
                <c:pt idx="8">
                  <c:v>1</c:v>
                </c:pt>
                <c:pt idx="9">
                  <c:v>0</c:v>
                </c:pt>
                <c:pt idx="10">
                  <c:v>0</c:v>
                </c:pt>
                <c:pt idx="11">
                  <c:v>0</c:v>
                </c:pt>
                <c:pt idx="12">
                  <c:v>1</c:v>
                </c:pt>
              </c:numCache>
            </c:numRef>
          </c:val>
          <c:extLst>
            <c:ext xmlns:c16="http://schemas.microsoft.com/office/drawing/2014/chart" uri="{C3380CC4-5D6E-409C-BE32-E72D297353CC}">
              <c16:uniqueId val="{00000000-4ADC-419C-A1D6-DF53896B94C5}"/>
            </c:ext>
          </c:extLst>
        </c:ser>
        <c:ser>
          <c:idx val="1"/>
          <c:order val="1"/>
          <c:tx>
            <c:strRef>
              <c:f>'DI17'!$C$25</c:f>
              <c:strCache>
                <c:ptCount val="1"/>
                <c:pt idx="0">
                  <c:v>Meta Vigencia</c:v>
                </c:pt>
              </c:strCache>
            </c:strRef>
          </c:tx>
          <c:spPr>
            <a:solidFill>
              <a:srgbClr val="FF420E"/>
            </a:solidFill>
            <a:ln w="25400">
              <a:noFill/>
            </a:ln>
          </c:spPr>
          <c:invertIfNegative val="0"/>
          <c:cat>
            <c:strRef>
              <c:f>'DI17'!$A$26:$A$38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'DI17'!$C$26:$C$38</c:f>
              <c:numCache>
                <c:formatCode>_-* #,##0.0_-;\-* #,##0.0_-;_-* "-"??_-;_-@_-</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1-4ADC-419C-A1D6-DF53896B94C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'DI17'!$D$25</c:f>
              <c:strCache>
                <c:ptCount val="1"/>
                <c:pt idx="0">
                  <c:v>Meta - Rango</c:v>
                </c:pt>
              </c:strCache>
            </c:strRef>
          </c:tx>
          <c:spPr>
            <a:ln w="38100">
              <a:solidFill>
                <a:srgbClr val="FFD320"/>
              </a:solidFill>
              <a:prstDash val="solid"/>
            </a:ln>
          </c:spPr>
          <c:marker>
            <c:symbol val="none"/>
          </c:marker>
          <c:cat>
            <c:strRef>
              <c:f>'DI17'!$A$26:$A$38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'DI17'!$D$26:$D$38</c:f>
              <c:numCache>
                <c:formatCode>_-* #,##0.0_-;\-* #,##0.0_-;_-* "-"??_-;_-@_-</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smooth val="0"/>
          <c:extLst>
            <c:ext xmlns:c16="http://schemas.microsoft.com/office/drawing/2014/chart" uri="{C3380CC4-5D6E-409C-BE32-E72D297353CC}">
              <c16:uniqueId val="{00000002-4ADC-419C-A1D6-DF53896B94C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'GM01'!$B$25</c:f>
              <c:strCache>
                <c:ptCount val="1"/>
                <c:pt idx="0">
                  <c:v>Datos</c:v>
                </c:pt>
              </c:strCache>
            </c:strRef>
          </c:tx>
          <c:spPr>
            <a:solidFill>
              <a:srgbClr val="004586"/>
            </a:solidFill>
            <a:ln w="25400">
              <a:noFill/>
            </a:ln>
          </c:spPr>
          <c:invertIfNegative val="0"/>
          <c:cat>
            <c:strRef>
              <c:f>'GM01'!$A$26:$A$38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'GM01'!$B$26:$B$38</c:f>
              <c:numCache>
                <c:formatCode>0%</c:formatCode>
                <c:ptCount val="13"/>
                <c:pt idx="0">
                  <c:v>0</c:v>
                </c:pt>
                <c:pt idx="1">
                  <c:v>0.97</c:v>
                </c:pt>
                <c:pt idx="2">
                  <c:v>0</c:v>
                </c:pt>
                <c:pt idx="3">
                  <c:v>0</c:v>
                </c:pt>
                <c:pt idx="4">
                  <c:v>0.97</c:v>
                </c:pt>
                <c:pt idx="5">
                  <c:v>0</c:v>
                </c:pt>
                <c:pt idx="6">
                  <c:v>0</c:v>
                </c:pt>
                <c:pt idx="7">
                  <c:v>0.98</c:v>
                </c:pt>
                <c:pt idx="8">
                  <c:v>0</c:v>
                </c:pt>
                <c:pt idx="9">
                  <c:v>0</c:v>
                </c:pt>
                <c:pt idx="10">
                  <c:v>0.94399999999999995</c:v>
                </c:pt>
                <c:pt idx="11">
                  <c:v>0</c:v>
                </c:pt>
                <c:pt idx="12">
                  <c:v>0.98</c:v>
                </c:pt>
              </c:numCache>
            </c:numRef>
          </c:val>
          <c:extLst>
            <c:ext xmlns:c16="http://schemas.microsoft.com/office/drawing/2014/chart" uri="{C3380CC4-5D6E-409C-BE32-E72D297353CC}">
              <c16:uniqueId val="{00000000-5CC7-4762-B7A7-E471EB42EA2E}"/>
            </c:ext>
          </c:extLst>
        </c:ser>
        <c:ser>
          <c:idx val="1"/>
          <c:order val="1"/>
          <c:tx>
            <c:strRef>
              <c:f>'GM01'!$C$25</c:f>
              <c:strCache>
                <c:ptCount val="1"/>
                <c:pt idx="0">
                  <c:v>Meta Vigencia</c:v>
                </c:pt>
              </c:strCache>
            </c:strRef>
          </c:tx>
          <c:spPr>
            <a:solidFill>
              <a:srgbClr val="FF420E"/>
            </a:solidFill>
            <a:ln w="25400">
              <a:noFill/>
            </a:ln>
          </c:spPr>
          <c:invertIfNegative val="0"/>
          <c:cat>
            <c:strRef>
              <c:f>'GM01'!$A$26:$A$38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'GM01'!$C$26:$C$38</c:f>
              <c:numCache>
                <c:formatCode>0%</c:formatCode>
                <c:ptCount val="13"/>
                <c:pt idx="0">
                  <c:v>0.98</c:v>
                </c:pt>
                <c:pt idx="1">
                  <c:v>0.98</c:v>
                </c:pt>
                <c:pt idx="2">
                  <c:v>0.98</c:v>
                </c:pt>
                <c:pt idx="3">
                  <c:v>0.98</c:v>
                </c:pt>
                <c:pt idx="4">
                  <c:v>0.98</c:v>
                </c:pt>
                <c:pt idx="5">
                  <c:v>0.98</c:v>
                </c:pt>
                <c:pt idx="6">
                  <c:v>0.98</c:v>
                </c:pt>
                <c:pt idx="7">
                  <c:v>0.98</c:v>
                </c:pt>
                <c:pt idx="8">
                  <c:v>0.98</c:v>
                </c:pt>
                <c:pt idx="9">
                  <c:v>0.98</c:v>
                </c:pt>
                <c:pt idx="10">
                  <c:v>0.98</c:v>
                </c:pt>
                <c:pt idx="11">
                  <c:v>0.98</c:v>
                </c:pt>
                <c:pt idx="12">
                  <c:v>0.98</c:v>
                </c:pt>
              </c:numCache>
            </c:numRef>
          </c:val>
          <c:extLst>
            <c:ext xmlns:c16="http://schemas.microsoft.com/office/drawing/2014/chart" uri="{C3380CC4-5D6E-409C-BE32-E72D297353CC}">
              <c16:uniqueId val="{00000001-5CC7-4762-B7A7-E471EB42EA2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'GM01'!$D$25</c:f>
              <c:strCache>
                <c:ptCount val="1"/>
                <c:pt idx="0">
                  <c:v>Meta - Rango</c:v>
                </c:pt>
              </c:strCache>
            </c:strRef>
          </c:tx>
          <c:spPr>
            <a:ln w="38100">
              <a:solidFill>
                <a:srgbClr val="FFD320"/>
              </a:solidFill>
              <a:prstDash val="solid"/>
            </a:ln>
          </c:spPr>
          <c:marker>
            <c:symbol val="none"/>
          </c:marker>
          <c:cat>
            <c:strRef>
              <c:f>'GM01'!$A$26:$A$38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'GM01'!$D$26:$D$38</c:f>
              <c:numCache>
                <c:formatCode>0%</c:formatCode>
                <c:ptCount val="13"/>
                <c:pt idx="0">
                  <c:v>0.96039999999999992</c:v>
                </c:pt>
                <c:pt idx="1">
                  <c:v>0.96039999999999992</c:v>
                </c:pt>
                <c:pt idx="2">
                  <c:v>0.96039999999999992</c:v>
                </c:pt>
                <c:pt idx="3">
                  <c:v>0.96039999999999992</c:v>
                </c:pt>
                <c:pt idx="4">
                  <c:v>0.96039999999999992</c:v>
                </c:pt>
                <c:pt idx="5">
                  <c:v>0.96039999999999992</c:v>
                </c:pt>
                <c:pt idx="6">
                  <c:v>0.96039999999999992</c:v>
                </c:pt>
                <c:pt idx="7">
                  <c:v>0.96039999999999992</c:v>
                </c:pt>
                <c:pt idx="8">
                  <c:v>0.96039999999999992</c:v>
                </c:pt>
                <c:pt idx="9">
                  <c:v>0.96039999999999992</c:v>
                </c:pt>
                <c:pt idx="10">
                  <c:v>0.96039999999999992</c:v>
                </c:pt>
                <c:pt idx="11">
                  <c:v>0.96039999999999992</c:v>
                </c:pt>
                <c:pt idx="12">
                  <c:v>0.96039999999999992</c:v>
                </c:pt>
              </c:numCache>
            </c:numRef>
          </c:val>
          <c:smooth val="0"/>
          <c:extLst>
            <c:ext xmlns:c16="http://schemas.microsoft.com/office/drawing/2014/chart" uri="{C3380CC4-5D6E-409C-BE32-E72D297353CC}">
              <c16:uniqueId val="{00000002-5CC7-4762-B7A7-E471EB42EA2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'GM06'!$B$25</c:f>
              <c:strCache>
                <c:ptCount val="1"/>
                <c:pt idx="0">
                  <c:v>Datos</c:v>
                </c:pt>
              </c:strCache>
            </c:strRef>
          </c:tx>
          <c:spPr>
            <a:solidFill>
              <a:srgbClr val="004586"/>
            </a:solidFill>
            <a:ln w="25400">
              <a:noFill/>
            </a:ln>
          </c:spPr>
          <c:invertIfNegative val="0"/>
          <c:cat>
            <c:strRef>
              <c:f>'GM06'!$A$26:$A$38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'GM06'!$B$26:$B$38</c:f>
              <c:numCache>
                <c:formatCode>0%</c:formatCode>
                <c:ptCount val="13"/>
                <c:pt idx="0">
                  <c:v>0</c:v>
                </c:pt>
                <c:pt idx="1">
                  <c:v>0</c:v>
                </c:pt>
                <c:pt idx="2">
                  <c:v>0</c:v>
                </c:pt>
                <c:pt idx="3">
                  <c:v>0</c:v>
                </c:pt>
                <c:pt idx="4">
                  <c:v>0</c:v>
                </c:pt>
                <c:pt idx="5">
                  <c:v>0</c:v>
                </c:pt>
                <c:pt idx="6">
                  <c:v>0</c:v>
                </c:pt>
                <c:pt idx="7">
                  <c:v>0</c:v>
                </c:pt>
                <c:pt idx="8">
                  <c:v>0</c:v>
                </c:pt>
                <c:pt idx="9">
                  <c:v>0.53424657534246578</c:v>
                </c:pt>
                <c:pt idx="10">
                  <c:v>0</c:v>
                </c:pt>
                <c:pt idx="11">
                  <c:v>0.9726027397260274</c:v>
                </c:pt>
                <c:pt idx="12" formatCode="0.0%">
                  <c:v>0.9726027397260274</c:v>
                </c:pt>
              </c:numCache>
            </c:numRef>
          </c:val>
          <c:extLst>
            <c:ext xmlns:c16="http://schemas.microsoft.com/office/drawing/2014/chart" uri="{C3380CC4-5D6E-409C-BE32-E72D297353CC}">
              <c16:uniqueId val="{00000000-AD45-40BC-A97C-6D4310BA6314}"/>
            </c:ext>
          </c:extLst>
        </c:ser>
        <c:ser>
          <c:idx val="1"/>
          <c:order val="1"/>
          <c:tx>
            <c:strRef>
              <c:f>'GM06'!$C$25</c:f>
              <c:strCache>
                <c:ptCount val="1"/>
                <c:pt idx="0">
                  <c:v>Meta Vigencia</c:v>
                </c:pt>
              </c:strCache>
            </c:strRef>
          </c:tx>
          <c:spPr>
            <a:solidFill>
              <a:srgbClr val="FF420E"/>
            </a:solidFill>
            <a:ln w="25400">
              <a:noFill/>
            </a:ln>
          </c:spPr>
          <c:invertIfNegative val="0"/>
          <c:cat>
            <c:strRef>
              <c:f>'GM06'!$A$26:$A$38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'GM06'!$C$26:$C$38</c:f>
              <c:numCache>
                <c:formatCode>0%</c:formatCode>
                <c:ptCount val="13"/>
                <c:pt idx="0">
                  <c:v>0.95</c:v>
                </c:pt>
                <c:pt idx="1">
                  <c:v>0.95</c:v>
                </c:pt>
                <c:pt idx="2">
                  <c:v>0.95</c:v>
                </c:pt>
                <c:pt idx="3">
                  <c:v>0.95</c:v>
                </c:pt>
                <c:pt idx="4">
                  <c:v>0.95</c:v>
                </c:pt>
                <c:pt idx="5">
                  <c:v>0.95</c:v>
                </c:pt>
                <c:pt idx="6">
                  <c:v>0.95</c:v>
                </c:pt>
                <c:pt idx="7">
                  <c:v>0.95</c:v>
                </c:pt>
                <c:pt idx="8">
                  <c:v>0.95</c:v>
                </c:pt>
                <c:pt idx="9">
                  <c:v>0.95</c:v>
                </c:pt>
                <c:pt idx="10">
                  <c:v>0.95</c:v>
                </c:pt>
                <c:pt idx="11">
                  <c:v>0.95</c:v>
                </c:pt>
                <c:pt idx="12">
                  <c:v>0.95</c:v>
                </c:pt>
              </c:numCache>
            </c:numRef>
          </c:val>
          <c:extLst>
            <c:ext xmlns:c16="http://schemas.microsoft.com/office/drawing/2014/chart" uri="{C3380CC4-5D6E-409C-BE32-E72D297353CC}">
              <c16:uniqueId val="{00000001-AD45-40BC-A97C-6D4310BA6314}"/>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'GM06'!$D$25</c:f>
              <c:strCache>
                <c:ptCount val="1"/>
                <c:pt idx="0">
                  <c:v>Meta - Rango</c:v>
                </c:pt>
              </c:strCache>
            </c:strRef>
          </c:tx>
          <c:spPr>
            <a:ln w="38100">
              <a:solidFill>
                <a:srgbClr val="FFD320"/>
              </a:solidFill>
              <a:prstDash val="solid"/>
            </a:ln>
          </c:spPr>
          <c:marker>
            <c:symbol val="none"/>
          </c:marker>
          <c:cat>
            <c:strRef>
              <c:f>'GM06'!$A$26:$A$38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'GM06'!$D$26:$D$38</c:f>
              <c:numCache>
                <c:formatCode>0%</c:formatCode>
                <c:ptCount val="13"/>
                <c:pt idx="0">
                  <c:v>0.93099999999999994</c:v>
                </c:pt>
                <c:pt idx="1">
                  <c:v>0.93099999999999994</c:v>
                </c:pt>
                <c:pt idx="2">
                  <c:v>0.93099999999999994</c:v>
                </c:pt>
                <c:pt idx="3">
                  <c:v>0.93099999999999994</c:v>
                </c:pt>
                <c:pt idx="4">
                  <c:v>0.93099999999999994</c:v>
                </c:pt>
                <c:pt idx="5">
                  <c:v>0.93099999999999994</c:v>
                </c:pt>
                <c:pt idx="6">
                  <c:v>0.93099999999999994</c:v>
                </c:pt>
                <c:pt idx="7">
                  <c:v>0.93099999999999994</c:v>
                </c:pt>
                <c:pt idx="8">
                  <c:v>0.93099999999999994</c:v>
                </c:pt>
                <c:pt idx="9">
                  <c:v>0.93099999999999994</c:v>
                </c:pt>
                <c:pt idx="10">
                  <c:v>0.93099999999999994</c:v>
                </c:pt>
                <c:pt idx="11">
                  <c:v>0.93099999999999994</c:v>
                </c:pt>
                <c:pt idx="12">
                  <c:v>0.93099999999999994</c:v>
                </c:pt>
              </c:numCache>
            </c:numRef>
          </c:val>
          <c:smooth val="0"/>
          <c:extLst>
            <c:ext xmlns:c16="http://schemas.microsoft.com/office/drawing/2014/chart" uri="{C3380CC4-5D6E-409C-BE32-E72D297353CC}">
              <c16:uniqueId val="{00000002-AD45-40BC-A97C-6D4310BA6314}"/>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'GM03'!$B$25</c:f>
              <c:strCache>
                <c:ptCount val="1"/>
                <c:pt idx="0">
                  <c:v>Datos</c:v>
                </c:pt>
              </c:strCache>
            </c:strRef>
          </c:tx>
          <c:spPr>
            <a:solidFill>
              <a:srgbClr val="004586"/>
            </a:solidFill>
            <a:ln w="25400">
              <a:noFill/>
            </a:ln>
          </c:spPr>
          <c:invertIfNegative val="0"/>
          <c:cat>
            <c:strRef>
              <c:f>'GM03'!$A$26:$A$38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'GM03'!$B$26:$B$38</c:f>
              <c:numCache>
                <c:formatCode>0%</c:formatCode>
                <c:ptCount val="13"/>
                <c:pt idx="0">
                  <c:v>0</c:v>
                </c:pt>
                <c:pt idx="1">
                  <c:v>0</c:v>
                </c:pt>
                <c:pt idx="2">
                  <c:v>0</c:v>
                </c:pt>
                <c:pt idx="3">
                  <c:v>0.11375965473111178</c:v>
                </c:pt>
                <c:pt idx="4">
                  <c:v>0</c:v>
                </c:pt>
                <c:pt idx="5">
                  <c:v>0</c:v>
                </c:pt>
                <c:pt idx="6">
                  <c:v>0</c:v>
                </c:pt>
                <c:pt idx="7">
                  <c:v>0.36537798225311124</c:v>
                </c:pt>
                <c:pt idx="8">
                  <c:v>0</c:v>
                </c:pt>
                <c:pt idx="9">
                  <c:v>0</c:v>
                </c:pt>
                <c:pt idx="10">
                  <c:v>0</c:v>
                </c:pt>
                <c:pt idx="11">
                  <c:v>0.92821046217414116</c:v>
                </c:pt>
                <c:pt idx="12">
                  <c:v>0.92821046217414116</c:v>
                </c:pt>
              </c:numCache>
            </c:numRef>
          </c:val>
          <c:extLst>
            <c:ext xmlns:c16="http://schemas.microsoft.com/office/drawing/2014/chart" uri="{C3380CC4-5D6E-409C-BE32-E72D297353CC}">
              <c16:uniqueId val="{00000000-0DD7-4A23-8D3E-FE9648CAA605}"/>
            </c:ext>
          </c:extLst>
        </c:ser>
        <c:ser>
          <c:idx val="1"/>
          <c:order val="1"/>
          <c:tx>
            <c:strRef>
              <c:f>'GM03'!$C$25</c:f>
              <c:strCache>
                <c:ptCount val="1"/>
                <c:pt idx="0">
                  <c:v>Meta Vigencia</c:v>
                </c:pt>
              </c:strCache>
            </c:strRef>
          </c:tx>
          <c:spPr>
            <a:solidFill>
              <a:srgbClr val="FF420E"/>
            </a:solidFill>
            <a:ln w="25400">
              <a:noFill/>
            </a:ln>
          </c:spPr>
          <c:invertIfNegative val="0"/>
          <c:cat>
            <c:strRef>
              <c:f>'GM03'!$A$26:$A$38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'GM03'!$C$26:$C$38</c:f>
              <c:numCache>
                <c:formatCode>0%</c:formatCode>
                <c:ptCount val="13"/>
                <c:pt idx="0">
                  <c:v>0.85</c:v>
                </c:pt>
                <c:pt idx="1">
                  <c:v>0.85</c:v>
                </c:pt>
                <c:pt idx="2">
                  <c:v>0.85</c:v>
                </c:pt>
                <c:pt idx="3">
                  <c:v>0.85</c:v>
                </c:pt>
                <c:pt idx="4">
                  <c:v>0.85</c:v>
                </c:pt>
                <c:pt idx="5">
                  <c:v>0.85</c:v>
                </c:pt>
                <c:pt idx="6">
                  <c:v>0.85</c:v>
                </c:pt>
                <c:pt idx="7">
                  <c:v>0.85</c:v>
                </c:pt>
                <c:pt idx="8">
                  <c:v>0.85</c:v>
                </c:pt>
                <c:pt idx="9">
                  <c:v>0.85</c:v>
                </c:pt>
                <c:pt idx="10">
                  <c:v>0.85</c:v>
                </c:pt>
                <c:pt idx="11">
                  <c:v>0.85</c:v>
                </c:pt>
                <c:pt idx="12">
                  <c:v>0.85</c:v>
                </c:pt>
              </c:numCache>
            </c:numRef>
          </c:val>
          <c:extLst>
            <c:ext xmlns:c16="http://schemas.microsoft.com/office/drawing/2014/chart" uri="{C3380CC4-5D6E-409C-BE32-E72D297353CC}">
              <c16:uniqueId val="{00000001-0DD7-4A23-8D3E-FE9648CAA605}"/>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'GM03'!$D$25</c:f>
              <c:strCache>
                <c:ptCount val="1"/>
                <c:pt idx="0">
                  <c:v>Meta - Rango</c:v>
                </c:pt>
              </c:strCache>
            </c:strRef>
          </c:tx>
          <c:spPr>
            <a:ln w="38100">
              <a:solidFill>
                <a:srgbClr val="FFD320"/>
              </a:solidFill>
              <a:prstDash val="solid"/>
            </a:ln>
          </c:spPr>
          <c:marker>
            <c:symbol val="none"/>
          </c:marker>
          <c:cat>
            <c:strRef>
              <c:f>'GM03'!$A$26:$A$38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'GM03'!$D$26:$D$38</c:f>
              <c:numCache>
                <c:formatCode>0%</c:formatCode>
                <c:ptCount val="13"/>
                <c:pt idx="0">
                  <c:v>0.83299999999999996</c:v>
                </c:pt>
                <c:pt idx="1">
                  <c:v>0.83299999999999996</c:v>
                </c:pt>
                <c:pt idx="2">
                  <c:v>0.83299999999999996</c:v>
                </c:pt>
                <c:pt idx="3">
                  <c:v>0.83299999999999996</c:v>
                </c:pt>
                <c:pt idx="4">
                  <c:v>0.83299999999999996</c:v>
                </c:pt>
                <c:pt idx="5">
                  <c:v>0.83299999999999996</c:v>
                </c:pt>
                <c:pt idx="6">
                  <c:v>0.83299999999999996</c:v>
                </c:pt>
                <c:pt idx="7">
                  <c:v>0.83299999999999996</c:v>
                </c:pt>
                <c:pt idx="8">
                  <c:v>0.83299999999999996</c:v>
                </c:pt>
                <c:pt idx="9">
                  <c:v>0.83299999999999996</c:v>
                </c:pt>
                <c:pt idx="10">
                  <c:v>0.83299999999999996</c:v>
                </c:pt>
                <c:pt idx="11">
                  <c:v>0.83299999999999996</c:v>
                </c:pt>
                <c:pt idx="12">
                  <c:v>0.83299999999999996</c:v>
                </c:pt>
              </c:numCache>
            </c:numRef>
          </c:val>
          <c:smooth val="0"/>
          <c:extLst>
            <c:ext xmlns:c16="http://schemas.microsoft.com/office/drawing/2014/chart" uri="{C3380CC4-5D6E-409C-BE32-E72D297353CC}">
              <c16:uniqueId val="{00000002-0DD7-4A23-8D3E-FE9648CAA605}"/>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'GM07'!$B$25</c:f>
              <c:strCache>
                <c:ptCount val="1"/>
                <c:pt idx="0">
                  <c:v>Datos</c:v>
                </c:pt>
              </c:strCache>
            </c:strRef>
          </c:tx>
          <c:spPr>
            <a:solidFill>
              <a:srgbClr val="004586"/>
            </a:solidFill>
            <a:ln w="25400">
              <a:noFill/>
            </a:ln>
          </c:spPr>
          <c:invertIfNegative val="0"/>
          <c:cat>
            <c:strRef>
              <c:f>'GM07'!$A$26:$A$38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'GM07'!$B$26:$B$38</c:f>
              <c:numCache>
                <c:formatCode>0%</c:formatCode>
                <c:ptCount val="13"/>
                <c:pt idx="0">
                  <c:v>0</c:v>
                </c:pt>
                <c:pt idx="1">
                  <c:v>0</c:v>
                </c:pt>
                <c:pt idx="2">
                  <c:v>0</c:v>
                </c:pt>
                <c:pt idx="3">
                  <c:v>0</c:v>
                </c:pt>
                <c:pt idx="4">
                  <c:v>0</c:v>
                </c:pt>
                <c:pt idx="5">
                  <c:v>0</c:v>
                </c:pt>
                <c:pt idx="6">
                  <c:v>0</c:v>
                </c:pt>
                <c:pt idx="7">
                  <c:v>0</c:v>
                </c:pt>
                <c:pt idx="8">
                  <c:v>0.16883116883116883</c:v>
                </c:pt>
                <c:pt idx="9">
                  <c:v>0</c:v>
                </c:pt>
                <c:pt idx="10">
                  <c:v>0</c:v>
                </c:pt>
                <c:pt idx="11">
                  <c:v>0.88311688311688308</c:v>
                </c:pt>
                <c:pt idx="12">
                  <c:v>0.88311688311688308</c:v>
                </c:pt>
              </c:numCache>
            </c:numRef>
          </c:val>
          <c:extLst>
            <c:ext xmlns:c16="http://schemas.microsoft.com/office/drawing/2014/chart" uri="{C3380CC4-5D6E-409C-BE32-E72D297353CC}">
              <c16:uniqueId val="{00000000-5449-4117-8A36-11A286A92698}"/>
            </c:ext>
          </c:extLst>
        </c:ser>
        <c:ser>
          <c:idx val="1"/>
          <c:order val="1"/>
          <c:tx>
            <c:strRef>
              <c:f>'GM07'!$C$25</c:f>
              <c:strCache>
                <c:ptCount val="1"/>
                <c:pt idx="0">
                  <c:v>Meta Vigencia</c:v>
                </c:pt>
              </c:strCache>
            </c:strRef>
          </c:tx>
          <c:spPr>
            <a:solidFill>
              <a:srgbClr val="FF420E"/>
            </a:solidFill>
            <a:ln w="25400">
              <a:noFill/>
            </a:ln>
          </c:spPr>
          <c:invertIfNegative val="0"/>
          <c:cat>
            <c:strRef>
              <c:f>'GM07'!$A$26:$A$38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'GM07'!$C$26:$C$38</c:f>
              <c:numCache>
                <c:formatCode>0%</c:formatCode>
                <c:ptCount val="13"/>
                <c:pt idx="0">
                  <c:v>0.8</c:v>
                </c:pt>
                <c:pt idx="1">
                  <c:v>0.8</c:v>
                </c:pt>
                <c:pt idx="2">
                  <c:v>0.8</c:v>
                </c:pt>
                <c:pt idx="3">
                  <c:v>0.8</c:v>
                </c:pt>
                <c:pt idx="4">
                  <c:v>0.8</c:v>
                </c:pt>
                <c:pt idx="5">
                  <c:v>0.8</c:v>
                </c:pt>
                <c:pt idx="6">
                  <c:v>0.8</c:v>
                </c:pt>
                <c:pt idx="7">
                  <c:v>0.8</c:v>
                </c:pt>
                <c:pt idx="8">
                  <c:v>0.8</c:v>
                </c:pt>
                <c:pt idx="9">
                  <c:v>0.8</c:v>
                </c:pt>
                <c:pt idx="10">
                  <c:v>0.8</c:v>
                </c:pt>
                <c:pt idx="11">
                  <c:v>0.8</c:v>
                </c:pt>
                <c:pt idx="12">
                  <c:v>0.8</c:v>
                </c:pt>
              </c:numCache>
            </c:numRef>
          </c:val>
          <c:extLst>
            <c:ext xmlns:c16="http://schemas.microsoft.com/office/drawing/2014/chart" uri="{C3380CC4-5D6E-409C-BE32-E72D297353CC}">
              <c16:uniqueId val="{00000001-5449-4117-8A36-11A286A92698}"/>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'GM07'!$D$25</c:f>
              <c:strCache>
                <c:ptCount val="1"/>
                <c:pt idx="0">
                  <c:v>Meta - Rango</c:v>
                </c:pt>
              </c:strCache>
            </c:strRef>
          </c:tx>
          <c:spPr>
            <a:ln w="38100">
              <a:solidFill>
                <a:srgbClr val="FFD320"/>
              </a:solidFill>
              <a:prstDash val="solid"/>
            </a:ln>
          </c:spPr>
          <c:marker>
            <c:symbol val="none"/>
          </c:marker>
          <c:cat>
            <c:strRef>
              <c:f>'GM07'!$A$26:$A$38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'GM07'!$D$26:$D$38</c:f>
              <c:numCache>
                <c:formatCode>0%</c:formatCode>
                <c:ptCount val="13"/>
                <c:pt idx="0">
                  <c:v>0.78400000000000003</c:v>
                </c:pt>
                <c:pt idx="1">
                  <c:v>0.78400000000000003</c:v>
                </c:pt>
                <c:pt idx="2">
                  <c:v>0.78400000000000003</c:v>
                </c:pt>
                <c:pt idx="3">
                  <c:v>0.78400000000000003</c:v>
                </c:pt>
                <c:pt idx="4">
                  <c:v>0.78400000000000003</c:v>
                </c:pt>
                <c:pt idx="5">
                  <c:v>0.78400000000000003</c:v>
                </c:pt>
                <c:pt idx="6">
                  <c:v>0.78400000000000003</c:v>
                </c:pt>
                <c:pt idx="7">
                  <c:v>0.78400000000000003</c:v>
                </c:pt>
                <c:pt idx="8">
                  <c:v>0.78400000000000003</c:v>
                </c:pt>
                <c:pt idx="9">
                  <c:v>0.78400000000000003</c:v>
                </c:pt>
                <c:pt idx="10">
                  <c:v>0.78400000000000003</c:v>
                </c:pt>
                <c:pt idx="11">
                  <c:v>0.78400000000000003</c:v>
                </c:pt>
                <c:pt idx="12">
                  <c:v>0.78400000000000003</c:v>
                </c:pt>
              </c:numCache>
            </c:numRef>
          </c:val>
          <c:smooth val="0"/>
          <c:extLst>
            <c:ext xmlns:c16="http://schemas.microsoft.com/office/drawing/2014/chart" uri="{C3380CC4-5D6E-409C-BE32-E72D297353CC}">
              <c16:uniqueId val="{00000002-5449-4117-8A36-11A286A92698}"/>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'DE04'!$B$25</c:f>
              <c:strCache>
                <c:ptCount val="1"/>
                <c:pt idx="0">
                  <c:v>Datos</c:v>
                </c:pt>
              </c:strCache>
            </c:strRef>
          </c:tx>
          <c:spPr>
            <a:solidFill>
              <a:srgbClr val="004586"/>
            </a:solidFill>
            <a:ln w="25400">
              <a:noFill/>
            </a:ln>
          </c:spPr>
          <c:invertIfNegative val="0"/>
          <c:cat>
            <c:strRef>
              <c:f>'DE04'!$A$26:$A$38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'DE04'!$B$26:$B$38</c:f>
              <c:numCache>
                <c:formatCode>0%</c:formatCode>
                <c:ptCount val="13"/>
                <c:pt idx="0">
                  <c:v>0</c:v>
                </c:pt>
                <c:pt idx="1">
                  <c:v>0</c:v>
                </c:pt>
                <c:pt idx="2">
                  <c:v>0</c:v>
                </c:pt>
                <c:pt idx="3">
                  <c:v>0</c:v>
                </c:pt>
                <c:pt idx="4">
                  <c:v>1</c:v>
                </c:pt>
                <c:pt idx="5">
                  <c:v>0</c:v>
                </c:pt>
                <c:pt idx="6">
                  <c:v>0</c:v>
                </c:pt>
                <c:pt idx="7">
                  <c:v>0</c:v>
                </c:pt>
                <c:pt idx="8">
                  <c:v>1</c:v>
                </c:pt>
                <c:pt idx="9">
                  <c:v>0</c:v>
                </c:pt>
                <c:pt idx="10">
                  <c:v>0</c:v>
                </c:pt>
                <c:pt idx="11">
                  <c:v>1</c:v>
                </c:pt>
                <c:pt idx="12">
                  <c:v>1</c:v>
                </c:pt>
              </c:numCache>
            </c:numRef>
          </c:val>
          <c:extLst>
            <c:ext xmlns:c16="http://schemas.microsoft.com/office/drawing/2014/chart" uri="{C3380CC4-5D6E-409C-BE32-E72D297353CC}">
              <c16:uniqueId val="{00000000-67BA-4CFA-9C66-F17B48B19D3D}"/>
            </c:ext>
          </c:extLst>
        </c:ser>
        <c:ser>
          <c:idx val="1"/>
          <c:order val="1"/>
          <c:tx>
            <c:strRef>
              <c:f>'DE04'!$C$25</c:f>
              <c:strCache>
                <c:ptCount val="1"/>
                <c:pt idx="0">
                  <c:v>Meta Vigencia</c:v>
                </c:pt>
              </c:strCache>
            </c:strRef>
          </c:tx>
          <c:spPr>
            <a:solidFill>
              <a:srgbClr val="FF420E"/>
            </a:solidFill>
            <a:ln w="25400">
              <a:noFill/>
            </a:ln>
          </c:spPr>
          <c:invertIfNegative val="0"/>
          <c:cat>
            <c:strRef>
              <c:f>'DE04'!$A$26:$A$38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'DE04'!$C$26:$C$38</c:f>
              <c:numCache>
                <c:formatCode>0%</c:formatCode>
                <c:ptCount val="13"/>
                <c:pt idx="0">
                  <c:v>0.9</c:v>
                </c:pt>
                <c:pt idx="1">
                  <c:v>0.9</c:v>
                </c:pt>
                <c:pt idx="2">
                  <c:v>0.9</c:v>
                </c:pt>
                <c:pt idx="3">
                  <c:v>0.9</c:v>
                </c:pt>
                <c:pt idx="4">
                  <c:v>0.9</c:v>
                </c:pt>
                <c:pt idx="5">
                  <c:v>0.9</c:v>
                </c:pt>
                <c:pt idx="6">
                  <c:v>0.9</c:v>
                </c:pt>
                <c:pt idx="7">
                  <c:v>0.9</c:v>
                </c:pt>
                <c:pt idx="8">
                  <c:v>0.9</c:v>
                </c:pt>
                <c:pt idx="9">
                  <c:v>0.9</c:v>
                </c:pt>
                <c:pt idx="10">
                  <c:v>0.9</c:v>
                </c:pt>
                <c:pt idx="11">
                  <c:v>0.9</c:v>
                </c:pt>
                <c:pt idx="12">
                  <c:v>0.9</c:v>
                </c:pt>
              </c:numCache>
            </c:numRef>
          </c:val>
          <c:extLst>
            <c:ext xmlns:c16="http://schemas.microsoft.com/office/drawing/2014/chart" uri="{C3380CC4-5D6E-409C-BE32-E72D297353CC}">
              <c16:uniqueId val="{00000001-67BA-4CFA-9C66-F17B48B19D3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'DE04'!$D$25</c:f>
              <c:strCache>
                <c:ptCount val="1"/>
                <c:pt idx="0">
                  <c:v>Meta - Rango</c:v>
                </c:pt>
              </c:strCache>
            </c:strRef>
          </c:tx>
          <c:spPr>
            <a:ln w="38100">
              <a:solidFill>
                <a:srgbClr val="FFD320"/>
              </a:solidFill>
              <a:prstDash val="solid"/>
            </a:ln>
          </c:spPr>
          <c:marker>
            <c:symbol val="none"/>
          </c:marker>
          <c:cat>
            <c:strRef>
              <c:f>'DE04'!$A$26:$A$38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'DE04'!$D$26:$D$38</c:f>
              <c:numCache>
                <c:formatCode>0%</c:formatCode>
                <c:ptCount val="13"/>
                <c:pt idx="0">
                  <c:v>0.88200000000000001</c:v>
                </c:pt>
                <c:pt idx="1">
                  <c:v>0.88200000000000001</c:v>
                </c:pt>
                <c:pt idx="2">
                  <c:v>0.88200000000000001</c:v>
                </c:pt>
                <c:pt idx="3">
                  <c:v>0.88200000000000001</c:v>
                </c:pt>
                <c:pt idx="4">
                  <c:v>0.88200000000000001</c:v>
                </c:pt>
                <c:pt idx="5">
                  <c:v>0.88200000000000001</c:v>
                </c:pt>
                <c:pt idx="6">
                  <c:v>0.88200000000000001</c:v>
                </c:pt>
                <c:pt idx="7">
                  <c:v>0.88200000000000001</c:v>
                </c:pt>
                <c:pt idx="8">
                  <c:v>0.88200000000000001</c:v>
                </c:pt>
                <c:pt idx="9">
                  <c:v>0.88200000000000001</c:v>
                </c:pt>
                <c:pt idx="10">
                  <c:v>0.88200000000000001</c:v>
                </c:pt>
                <c:pt idx="11">
                  <c:v>0.88200000000000001</c:v>
                </c:pt>
                <c:pt idx="12">
                  <c:v>0.88200000000000001</c:v>
                </c:pt>
              </c:numCache>
            </c:numRef>
          </c:val>
          <c:smooth val="0"/>
          <c:extLst>
            <c:ext xmlns:c16="http://schemas.microsoft.com/office/drawing/2014/chart" uri="{C3380CC4-5D6E-409C-BE32-E72D297353CC}">
              <c16:uniqueId val="{00000002-67BA-4CFA-9C66-F17B48B19D3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'DE01'!$B$25</c:f>
              <c:strCache>
                <c:ptCount val="1"/>
                <c:pt idx="0">
                  <c:v>Datos</c:v>
                </c:pt>
              </c:strCache>
            </c:strRef>
          </c:tx>
          <c:spPr>
            <a:solidFill>
              <a:srgbClr val="004586"/>
            </a:solidFill>
            <a:ln w="25400">
              <a:noFill/>
            </a:ln>
          </c:spPr>
          <c:invertIfNegative val="0"/>
          <c:cat>
            <c:strRef>
              <c:f>'DE01'!$A$26:$A$38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'DE01'!$B$26:$B$38</c:f>
              <c:numCache>
                <c:formatCode>_-* #,##0.0_-;\-* #,##0.0_-;_-* "-"??_-;_-@_-</c:formatCode>
                <c:ptCount val="13"/>
                <c:pt idx="0">
                  <c:v>0</c:v>
                </c:pt>
                <c:pt idx="1">
                  <c:v>0</c:v>
                </c:pt>
                <c:pt idx="2">
                  <c:v>0</c:v>
                </c:pt>
                <c:pt idx="3">
                  <c:v>0</c:v>
                </c:pt>
                <c:pt idx="4">
                  <c:v>0</c:v>
                </c:pt>
                <c:pt idx="5">
                  <c:v>0</c:v>
                </c:pt>
                <c:pt idx="6">
                  <c:v>0</c:v>
                </c:pt>
                <c:pt idx="7">
                  <c:v>100</c:v>
                </c:pt>
                <c:pt idx="8">
                  <c:v>0</c:v>
                </c:pt>
                <c:pt idx="9">
                  <c:v>0</c:v>
                </c:pt>
                <c:pt idx="10">
                  <c:v>0</c:v>
                </c:pt>
                <c:pt idx="11">
                  <c:v>0</c:v>
                </c:pt>
                <c:pt idx="12">
                  <c:v>100</c:v>
                </c:pt>
              </c:numCache>
            </c:numRef>
          </c:val>
          <c:extLst>
            <c:ext xmlns:c16="http://schemas.microsoft.com/office/drawing/2014/chart" uri="{C3380CC4-5D6E-409C-BE32-E72D297353CC}">
              <c16:uniqueId val="{00000000-5327-49F4-94AA-4C13388418BE}"/>
            </c:ext>
          </c:extLst>
        </c:ser>
        <c:ser>
          <c:idx val="1"/>
          <c:order val="1"/>
          <c:tx>
            <c:strRef>
              <c:f>'DE01'!$C$25</c:f>
              <c:strCache>
                <c:ptCount val="1"/>
                <c:pt idx="0">
                  <c:v>Meta Vigencia</c:v>
                </c:pt>
              </c:strCache>
            </c:strRef>
          </c:tx>
          <c:spPr>
            <a:solidFill>
              <a:srgbClr val="FF420E"/>
            </a:solidFill>
            <a:ln w="25400">
              <a:noFill/>
            </a:ln>
          </c:spPr>
          <c:invertIfNegative val="0"/>
          <c:cat>
            <c:strRef>
              <c:f>'DE01'!$A$26:$A$38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'DE01'!$C$26:$C$38</c:f>
              <c:numCache>
                <c:formatCode>_-* #,##0.0_-;\-* #,##0.0_-;_-* "-"??_-;_-@_-</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val>
          <c:extLst>
            <c:ext xmlns:c16="http://schemas.microsoft.com/office/drawing/2014/chart" uri="{C3380CC4-5D6E-409C-BE32-E72D297353CC}">
              <c16:uniqueId val="{00000001-5327-49F4-94AA-4C13388418BE}"/>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'DE01'!$D$25</c:f>
              <c:strCache>
                <c:ptCount val="1"/>
                <c:pt idx="0">
                  <c:v>Meta - Rango</c:v>
                </c:pt>
              </c:strCache>
            </c:strRef>
          </c:tx>
          <c:spPr>
            <a:ln w="38100">
              <a:solidFill>
                <a:srgbClr val="FFD320"/>
              </a:solidFill>
              <a:prstDash val="solid"/>
            </a:ln>
          </c:spPr>
          <c:marker>
            <c:symbol val="none"/>
          </c:marker>
          <c:cat>
            <c:strRef>
              <c:f>'DE01'!$A$26:$A$38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'DE01'!$D$26:$D$38</c:f>
              <c:numCache>
                <c:formatCode>_-* #,##0.0_-;\-* #,##0.0_-;_-* "-"??_-;_-@_-</c:formatCode>
                <c:ptCount val="13"/>
                <c:pt idx="0">
                  <c:v>98</c:v>
                </c:pt>
                <c:pt idx="1">
                  <c:v>98</c:v>
                </c:pt>
                <c:pt idx="2">
                  <c:v>98</c:v>
                </c:pt>
                <c:pt idx="3">
                  <c:v>98</c:v>
                </c:pt>
                <c:pt idx="4">
                  <c:v>98</c:v>
                </c:pt>
                <c:pt idx="5">
                  <c:v>98</c:v>
                </c:pt>
                <c:pt idx="6">
                  <c:v>98</c:v>
                </c:pt>
                <c:pt idx="7">
                  <c:v>98</c:v>
                </c:pt>
                <c:pt idx="8">
                  <c:v>98</c:v>
                </c:pt>
                <c:pt idx="9">
                  <c:v>98</c:v>
                </c:pt>
                <c:pt idx="10">
                  <c:v>98</c:v>
                </c:pt>
                <c:pt idx="11">
                  <c:v>98</c:v>
                </c:pt>
                <c:pt idx="12">
                  <c:v>98</c:v>
                </c:pt>
              </c:numCache>
            </c:numRef>
          </c:val>
          <c:smooth val="0"/>
          <c:extLst>
            <c:ext xmlns:c16="http://schemas.microsoft.com/office/drawing/2014/chart" uri="{C3380CC4-5D6E-409C-BE32-E72D297353CC}">
              <c16:uniqueId val="{00000002-5327-49F4-94AA-4C13388418BE}"/>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0%"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'GM04'!$B$25</c:f>
              <c:strCache>
                <c:ptCount val="1"/>
                <c:pt idx="0">
                  <c:v>Datos</c:v>
                </c:pt>
              </c:strCache>
            </c:strRef>
          </c:tx>
          <c:spPr>
            <a:solidFill>
              <a:srgbClr val="004586"/>
            </a:solidFill>
            <a:ln w="25400">
              <a:noFill/>
            </a:ln>
          </c:spPr>
          <c:invertIfNegative val="0"/>
          <c:cat>
            <c:strRef>
              <c:f>'GM04'!$A$26:$A$38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'GM04'!$B$26:$B$38</c:f>
              <c:numCache>
                <c:formatCode>_-* #,##0.0_-;\-* #,##0.0_-;_-* "-"??_-;_-@_-</c:formatCode>
                <c:ptCount val="13"/>
                <c:pt idx="0">
                  <c:v>0</c:v>
                </c:pt>
                <c:pt idx="1">
                  <c:v>0</c:v>
                </c:pt>
                <c:pt idx="2">
                  <c:v>0</c:v>
                </c:pt>
                <c:pt idx="3">
                  <c:v>0</c:v>
                </c:pt>
                <c:pt idx="4">
                  <c:v>0</c:v>
                </c:pt>
                <c:pt idx="5">
                  <c:v>2</c:v>
                </c:pt>
                <c:pt idx="6">
                  <c:v>0</c:v>
                </c:pt>
                <c:pt idx="7">
                  <c:v>0</c:v>
                </c:pt>
                <c:pt idx="8">
                  <c:v>0</c:v>
                </c:pt>
                <c:pt idx="9">
                  <c:v>0</c:v>
                </c:pt>
                <c:pt idx="10">
                  <c:v>0</c:v>
                </c:pt>
                <c:pt idx="11">
                  <c:v>4</c:v>
                </c:pt>
                <c:pt idx="12">
                  <c:v>6</c:v>
                </c:pt>
              </c:numCache>
            </c:numRef>
          </c:val>
          <c:extLst>
            <c:ext xmlns:c16="http://schemas.microsoft.com/office/drawing/2014/chart" uri="{C3380CC4-5D6E-409C-BE32-E72D297353CC}">
              <c16:uniqueId val="{00000000-29AC-415A-A1E8-97888896F1AF}"/>
            </c:ext>
          </c:extLst>
        </c:ser>
        <c:ser>
          <c:idx val="1"/>
          <c:order val="1"/>
          <c:tx>
            <c:strRef>
              <c:f>'GM04'!$C$25</c:f>
              <c:strCache>
                <c:ptCount val="1"/>
                <c:pt idx="0">
                  <c:v>Meta Vigencia</c:v>
                </c:pt>
              </c:strCache>
            </c:strRef>
          </c:tx>
          <c:spPr>
            <a:solidFill>
              <a:srgbClr val="FF420E"/>
            </a:solidFill>
            <a:ln w="25400">
              <a:noFill/>
            </a:ln>
          </c:spPr>
          <c:invertIfNegative val="0"/>
          <c:cat>
            <c:strRef>
              <c:f>'GM04'!$A$26:$A$38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'GM04'!$C$26:$C$38</c:f>
              <c:numCache>
                <c:formatCode>_-* #,##0.0_-;\-* #,##0.0_-;_-* "-"??_-;_-@_-</c:formatCode>
                <c:ptCount val="13"/>
                <c:pt idx="0">
                  <c:v>6</c:v>
                </c:pt>
                <c:pt idx="1">
                  <c:v>6</c:v>
                </c:pt>
                <c:pt idx="2">
                  <c:v>6</c:v>
                </c:pt>
                <c:pt idx="3">
                  <c:v>6</c:v>
                </c:pt>
                <c:pt idx="4">
                  <c:v>6</c:v>
                </c:pt>
                <c:pt idx="5">
                  <c:v>6</c:v>
                </c:pt>
                <c:pt idx="6">
                  <c:v>6</c:v>
                </c:pt>
                <c:pt idx="7">
                  <c:v>6</c:v>
                </c:pt>
                <c:pt idx="8">
                  <c:v>6</c:v>
                </c:pt>
                <c:pt idx="9">
                  <c:v>6</c:v>
                </c:pt>
                <c:pt idx="10">
                  <c:v>6</c:v>
                </c:pt>
                <c:pt idx="11">
                  <c:v>6</c:v>
                </c:pt>
                <c:pt idx="12">
                  <c:v>6</c:v>
                </c:pt>
              </c:numCache>
            </c:numRef>
          </c:val>
          <c:extLst>
            <c:ext xmlns:c16="http://schemas.microsoft.com/office/drawing/2014/chart" uri="{C3380CC4-5D6E-409C-BE32-E72D297353CC}">
              <c16:uniqueId val="{00000001-29AC-415A-A1E8-97888896F1AF}"/>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'GM04'!$D$25</c:f>
              <c:strCache>
                <c:ptCount val="1"/>
                <c:pt idx="0">
                  <c:v>Meta - Rango</c:v>
                </c:pt>
              </c:strCache>
            </c:strRef>
          </c:tx>
          <c:spPr>
            <a:ln w="38100">
              <a:solidFill>
                <a:srgbClr val="FFD320"/>
              </a:solidFill>
              <a:prstDash val="solid"/>
            </a:ln>
          </c:spPr>
          <c:marker>
            <c:symbol val="none"/>
          </c:marker>
          <c:cat>
            <c:strRef>
              <c:f>'GM04'!$A$26:$A$38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'GM04'!$D$26:$D$38</c:f>
              <c:numCache>
                <c:formatCode>_-* #,##0.0_-;\-* #,##0.0_-;_-* "-"??_-;_-@_-</c:formatCode>
                <c:ptCount val="13"/>
                <c:pt idx="0">
                  <c:v>5.88</c:v>
                </c:pt>
                <c:pt idx="1">
                  <c:v>5.88</c:v>
                </c:pt>
                <c:pt idx="2">
                  <c:v>5.88</c:v>
                </c:pt>
                <c:pt idx="3">
                  <c:v>5.88</c:v>
                </c:pt>
                <c:pt idx="4">
                  <c:v>5.88</c:v>
                </c:pt>
                <c:pt idx="5">
                  <c:v>5.88</c:v>
                </c:pt>
                <c:pt idx="6">
                  <c:v>5.88</c:v>
                </c:pt>
                <c:pt idx="7">
                  <c:v>5.88</c:v>
                </c:pt>
                <c:pt idx="8">
                  <c:v>5.88</c:v>
                </c:pt>
                <c:pt idx="9">
                  <c:v>5.88</c:v>
                </c:pt>
                <c:pt idx="10">
                  <c:v>5.88</c:v>
                </c:pt>
                <c:pt idx="11">
                  <c:v>5.88</c:v>
                </c:pt>
                <c:pt idx="12">
                  <c:v>5.88</c:v>
                </c:pt>
              </c:numCache>
            </c:numRef>
          </c:val>
          <c:smooth val="0"/>
          <c:extLst>
            <c:ext xmlns:c16="http://schemas.microsoft.com/office/drawing/2014/chart" uri="{C3380CC4-5D6E-409C-BE32-E72D297353CC}">
              <c16:uniqueId val="{00000002-29AC-415A-A1E8-97888896F1AF}"/>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60002560655527E-2"/>
          <c:y val="6.0515759104747373E-2"/>
          <c:w val="0.86363613084949742"/>
          <c:h val="0.74795320896049489"/>
        </c:manualLayout>
      </c:layout>
      <c:barChart>
        <c:barDir val="col"/>
        <c:grouping val="clustered"/>
        <c:varyColors val="0"/>
        <c:ser>
          <c:idx val="0"/>
          <c:order val="0"/>
          <c:tx>
            <c:strRef>
              <c:f>'GM05'!$B$25</c:f>
              <c:strCache>
                <c:ptCount val="1"/>
                <c:pt idx="0">
                  <c:v>Datos</c:v>
                </c:pt>
              </c:strCache>
            </c:strRef>
          </c:tx>
          <c:spPr>
            <a:solidFill>
              <a:srgbClr val="004586"/>
            </a:solidFill>
            <a:ln w="25400">
              <a:noFill/>
            </a:ln>
          </c:spPr>
          <c:invertIfNegative val="0"/>
          <c:cat>
            <c:strRef>
              <c:f>'GM05'!$A$26:$A$38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'GM05'!$B$26:$B$38</c:f>
              <c:numCache>
                <c:formatCode>_-* #,##0.0_-;\-* #,##0.0_-;_-* "-"??_-;_-@_-</c:formatCode>
                <c:ptCount val="13"/>
                <c:pt idx="0">
                  <c:v>0</c:v>
                </c:pt>
                <c:pt idx="1">
                  <c:v>0</c:v>
                </c:pt>
                <c:pt idx="2">
                  <c:v>15</c:v>
                </c:pt>
                <c:pt idx="3">
                  <c:v>0</c:v>
                </c:pt>
                <c:pt idx="4">
                  <c:v>0</c:v>
                </c:pt>
                <c:pt idx="5">
                  <c:v>9</c:v>
                </c:pt>
                <c:pt idx="6">
                  <c:v>0</c:v>
                </c:pt>
                <c:pt idx="7">
                  <c:v>0</c:v>
                </c:pt>
                <c:pt idx="8">
                  <c:v>11</c:v>
                </c:pt>
                <c:pt idx="9">
                  <c:v>0</c:v>
                </c:pt>
                <c:pt idx="10">
                  <c:v>0</c:v>
                </c:pt>
                <c:pt idx="11">
                  <c:v>19</c:v>
                </c:pt>
                <c:pt idx="12">
                  <c:v>54</c:v>
                </c:pt>
              </c:numCache>
            </c:numRef>
          </c:val>
          <c:extLst>
            <c:ext xmlns:c16="http://schemas.microsoft.com/office/drawing/2014/chart" uri="{C3380CC4-5D6E-409C-BE32-E72D297353CC}">
              <c16:uniqueId val="{00000000-7611-4620-9C62-3A169D96DF7D}"/>
            </c:ext>
          </c:extLst>
        </c:ser>
        <c:ser>
          <c:idx val="1"/>
          <c:order val="1"/>
          <c:tx>
            <c:strRef>
              <c:f>'GM05'!$C$25</c:f>
              <c:strCache>
                <c:ptCount val="1"/>
                <c:pt idx="0">
                  <c:v>Meta Vigencia</c:v>
                </c:pt>
              </c:strCache>
            </c:strRef>
          </c:tx>
          <c:spPr>
            <a:solidFill>
              <a:srgbClr val="FF420E"/>
            </a:solidFill>
            <a:ln w="25400">
              <a:noFill/>
            </a:ln>
          </c:spPr>
          <c:invertIfNegative val="0"/>
          <c:cat>
            <c:strRef>
              <c:f>'GM05'!$A$26:$A$38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'GM05'!$C$26:$C$38</c:f>
              <c:numCache>
                <c:formatCode>_-* #,##0.0_-;\-* #,##0.0_-;_-* "-"??_-;_-@_-</c:formatCode>
                <c:ptCount val="13"/>
                <c:pt idx="0">
                  <c:v>54</c:v>
                </c:pt>
                <c:pt idx="1">
                  <c:v>54</c:v>
                </c:pt>
                <c:pt idx="2">
                  <c:v>54</c:v>
                </c:pt>
                <c:pt idx="3">
                  <c:v>54</c:v>
                </c:pt>
                <c:pt idx="4">
                  <c:v>54</c:v>
                </c:pt>
                <c:pt idx="5">
                  <c:v>54</c:v>
                </c:pt>
                <c:pt idx="6">
                  <c:v>54</c:v>
                </c:pt>
                <c:pt idx="7">
                  <c:v>54</c:v>
                </c:pt>
                <c:pt idx="8">
                  <c:v>54</c:v>
                </c:pt>
                <c:pt idx="9">
                  <c:v>54</c:v>
                </c:pt>
                <c:pt idx="10">
                  <c:v>54</c:v>
                </c:pt>
                <c:pt idx="11">
                  <c:v>54</c:v>
                </c:pt>
                <c:pt idx="12">
                  <c:v>54</c:v>
                </c:pt>
              </c:numCache>
            </c:numRef>
          </c:val>
          <c:extLst>
            <c:ext xmlns:c16="http://schemas.microsoft.com/office/drawing/2014/chart" uri="{C3380CC4-5D6E-409C-BE32-E72D297353CC}">
              <c16:uniqueId val="{00000001-7611-4620-9C62-3A169D96DF7D}"/>
            </c:ext>
          </c:extLst>
        </c:ser>
        <c:dLbls>
          <c:showLegendKey val="0"/>
          <c:showVal val="0"/>
          <c:showCatName val="0"/>
          <c:showSerName val="0"/>
          <c:showPercent val="0"/>
          <c:showBubbleSize val="0"/>
        </c:dLbls>
        <c:gapWidth val="150"/>
        <c:axId val="198527200"/>
        <c:axId val="198533920"/>
      </c:barChart>
      <c:lineChart>
        <c:grouping val="standard"/>
        <c:varyColors val="0"/>
        <c:ser>
          <c:idx val="0"/>
          <c:order val="2"/>
          <c:tx>
            <c:strRef>
              <c:f>'GM05'!$D$25</c:f>
              <c:strCache>
                <c:ptCount val="1"/>
                <c:pt idx="0">
                  <c:v>Meta - Rango</c:v>
                </c:pt>
              </c:strCache>
            </c:strRef>
          </c:tx>
          <c:spPr>
            <a:ln w="38100">
              <a:solidFill>
                <a:srgbClr val="FFD320"/>
              </a:solidFill>
              <a:prstDash val="solid"/>
            </a:ln>
          </c:spPr>
          <c:marker>
            <c:symbol val="none"/>
          </c:marker>
          <c:cat>
            <c:strRef>
              <c:f>'GM05'!$A$26:$A$38</c:f>
              <c:strCache>
                <c:ptCount val="13"/>
                <c:pt idx="0">
                  <c:v>Ene</c:v>
                </c:pt>
                <c:pt idx="1">
                  <c:v>Feb</c:v>
                </c:pt>
                <c:pt idx="2">
                  <c:v>Mar</c:v>
                </c:pt>
                <c:pt idx="3">
                  <c:v>Abr</c:v>
                </c:pt>
                <c:pt idx="4">
                  <c:v>May</c:v>
                </c:pt>
                <c:pt idx="5">
                  <c:v>Jun</c:v>
                </c:pt>
                <c:pt idx="6">
                  <c:v>Jul</c:v>
                </c:pt>
                <c:pt idx="7">
                  <c:v>Ago</c:v>
                </c:pt>
                <c:pt idx="8">
                  <c:v>Sep</c:v>
                </c:pt>
                <c:pt idx="9">
                  <c:v>Oct</c:v>
                </c:pt>
                <c:pt idx="10">
                  <c:v>Nov</c:v>
                </c:pt>
                <c:pt idx="11">
                  <c:v>Dic</c:v>
                </c:pt>
                <c:pt idx="12">
                  <c:v>Total</c:v>
                </c:pt>
              </c:strCache>
            </c:strRef>
          </c:cat>
          <c:val>
            <c:numRef>
              <c:f>'GM05'!$D$26:$D$38</c:f>
              <c:numCache>
                <c:formatCode>_-* #,##0.0_-;\-* #,##0.0_-;_-* "-"??_-;_-@_-</c:formatCode>
                <c:ptCount val="13"/>
                <c:pt idx="0">
                  <c:v>52.92</c:v>
                </c:pt>
                <c:pt idx="1">
                  <c:v>52.92</c:v>
                </c:pt>
                <c:pt idx="2">
                  <c:v>52.92</c:v>
                </c:pt>
                <c:pt idx="3">
                  <c:v>52.92</c:v>
                </c:pt>
                <c:pt idx="4">
                  <c:v>52.92</c:v>
                </c:pt>
                <c:pt idx="5">
                  <c:v>52.92</c:v>
                </c:pt>
                <c:pt idx="6">
                  <c:v>52.92</c:v>
                </c:pt>
                <c:pt idx="7">
                  <c:v>52.92</c:v>
                </c:pt>
                <c:pt idx="8">
                  <c:v>52.92</c:v>
                </c:pt>
                <c:pt idx="9">
                  <c:v>52.92</c:v>
                </c:pt>
                <c:pt idx="10">
                  <c:v>52.92</c:v>
                </c:pt>
                <c:pt idx="11">
                  <c:v>52.92</c:v>
                </c:pt>
                <c:pt idx="12">
                  <c:v>52.92</c:v>
                </c:pt>
              </c:numCache>
            </c:numRef>
          </c:val>
          <c:smooth val="0"/>
          <c:extLst>
            <c:ext xmlns:c16="http://schemas.microsoft.com/office/drawing/2014/chart" uri="{C3380CC4-5D6E-409C-BE32-E72D297353CC}">
              <c16:uniqueId val="{00000002-7611-4620-9C62-3A169D96DF7D}"/>
            </c:ext>
          </c:extLst>
        </c:ser>
        <c:dLbls>
          <c:showLegendKey val="0"/>
          <c:showVal val="0"/>
          <c:showCatName val="0"/>
          <c:showSerName val="0"/>
          <c:showPercent val="0"/>
          <c:showBubbleSize val="0"/>
        </c:dLbls>
        <c:marker val="1"/>
        <c:smooth val="0"/>
        <c:axId val="198527200"/>
        <c:axId val="198533920"/>
      </c:lineChart>
      <c:catAx>
        <c:axId val="198527200"/>
        <c:scaling>
          <c:orientation val="minMax"/>
        </c:scaling>
        <c:delete val="0"/>
        <c:axPos val="b"/>
        <c:numFmt formatCode="General" sourceLinked="0"/>
        <c:majorTickMark val="none"/>
        <c:minorTickMark val="none"/>
        <c:tickLblPos val="low"/>
        <c:spPr>
          <a:ln w="12700">
            <a:solidFill>
              <a:srgbClr val="B3B3B3"/>
            </a:solidFill>
            <a:prstDash val="solid"/>
          </a:ln>
        </c:spPr>
        <c:txPr>
          <a:bodyPr rot="0" vert="horz"/>
          <a:lstStyle/>
          <a:p>
            <a:pPr>
              <a:defRPr sz="800" b="0" i="0" u="none" strike="noStrike" baseline="0">
                <a:solidFill>
                  <a:srgbClr val="000000"/>
                </a:solidFill>
                <a:latin typeface="Arial" pitchFamily="34" charset="0"/>
                <a:ea typeface="Calibri"/>
                <a:cs typeface="Arial" pitchFamily="34" charset="0"/>
              </a:defRPr>
            </a:pPr>
            <a:endParaRPr lang="es-CO"/>
          </a:p>
        </c:txPr>
        <c:crossAx val="198533920"/>
        <c:crossesAt val="0"/>
        <c:auto val="1"/>
        <c:lblAlgn val="ctr"/>
        <c:lblOffset val="100"/>
        <c:tickLblSkip val="1"/>
        <c:tickMarkSkip val="1"/>
        <c:noMultiLvlLbl val="0"/>
      </c:catAx>
      <c:valAx>
        <c:axId val="198533920"/>
        <c:scaling>
          <c:orientation val="minMax"/>
        </c:scaling>
        <c:delete val="0"/>
        <c:axPos val="l"/>
        <c:majorGridlines>
          <c:spPr>
            <a:ln w="12700">
              <a:solidFill>
                <a:srgbClr val="B3B3B3"/>
              </a:solidFill>
              <a:prstDash val="solid"/>
            </a:ln>
          </c:spPr>
        </c:majorGridlines>
        <c:numFmt formatCode="General" sourceLinked="0"/>
        <c:majorTickMark val="none"/>
        <c:minorTickMark val="none"/>
        <c:tickLblPos val="nextTo"/>
        <c:spPr>
          <a:ln w="12700">
            <a:solidFill>
              <a:srgbClr val="B3B3B3"/>
            </a:solidFill>
            <a:prstDash val="solid"/>
          </a:ln>
        </c:spPr>
        <c:txPr>
          <a:bodyPr rot="0" vert="horz"/>
          <a:lstStyle/>
          <a:p>
            <a:pPr>
              <a:defRPr sz="1000" b="0" i="0" u="none" strike="noStrike" baseline="0">
                <a:solidFill>
                  <a:srgbClr val="000000"/>
                </a:solidFill>
                <a:latin typeface="Calibri"/>
                <a:ea typeface="Calibri"/>
                <a:cs typeface="Calibri"/>
              </a:defRPr>
            </a:pPr>
            <a:endParaRPr lang="es-CO"/>
          </a:p>
        </c:txPr>
        <c:crossAx val="198527200"/>
        <c:crosses val="autoZero"/>
        <c:crossBetween val="between"/>
      </c:valAx>
      <c:spPr>
        <a:noFill/>
        <a:ln w="12700">
          <a:solidFill>
            <a:srgbClr val="B3B3B3"/>
          </a:solidFill>
          <a:prstDash val="solid"/>
        </a:ln>
      </c:spPr>
    </c:plotArea>
    <c:legend>
      <c:legendPos val="r"/>
      <c:layout>
        <c:manualLayout>
          <c:xMode val="edge"/>
          <c:yMode val="edge"/>
          <c:x val="4.117793851392669E-2"/>
          <c:y val="0.88003921147692976"/>
          <c:w val="0.89871430648313566"/>
          <c:h val="9.7927954121738298E-2"/>
        </c:manualLayout>
      </c:layout>
      <c:overlay val="0"/>
      <c:spPr>
        <a:solidFill>
          <a:schemeClr val="bg1">
            <a:lumMod val="95000"/>
          </a:schemeClr>
        </a:solidFill>
        <a:ln w="25400">
          <a:noFill/>
        </a:ln>
      </c:spPr>
      <c:txPr>
        <a:bodyPr/>
        <a:lstStyle/>
        <a:p>
          <a:pPr>
            <a:defRPr sz="775" b="0" i="0" u="none" strike="noStrike" baseline="0">
              <a:solidFill>
                <a:srgbClr val="000000"/>
              </a:solidFill>
              <a:latin typeface="Calibri"/>
              <a:ea typeface="Calibri"/>
              <a:cs typeface="Calibri"/>
            </a:defRPr>
          </a:pPr>
          <a:endParaRPr lang="es-CO"/>
        </a:p>
      </c:txPr>
    </c:legend>
    <c:plotVisOnly val="0"/>
    <c:dispBlanksAs val="gap"/>
    <c:showDLblsOverMax val="0"/>
  </c:chart>
  <c:spPr>
    <a:solidFill>
      <a:srgbClr val="FFFFFF"/>
    </a:solidFill>
    <a:ln w="9525">
      <a:solidFill>
        <a:schemeClr val="bg1">
          <a:lumMod val="85000"/>
        </a:schemeClr>
      </a:solidFill>
    </a:ln>
  </c:spPr>
  <c:txPr>
    <a:bodyPr/>
    <a:lstStyle/>
    <a:p>
      <a:pPr>
        <a:defRPr sz="1100" b="0" i="0" u="none" strike="noStrike" baseline="0">
          <a:solidFill>
            <a:srgbClr val="000000"/>
          </a:solidFill>
          <a:latin typeface="Arial1"/>
          <a:ea typeface="Arial1"/>
          <a:cs typeface="Arial1"/>
        </a:defRPr>
      </a:pPr>
      <a:endParaRPr lang="es-CO"/>
    </a:p>
  </c:txPr>
  <c:printSettings>
    <c:headerFooter alignWithMargins="0"/>
    <c:pageMargins b="1" l="0.75" r="0.75" t="1" header="0.51180555555555551" footer="0.51180555555555551"/>
    <c:pageSetup firstPageNumber="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5.xml"/><Relationship Id="rId5" Type="http://schemas.openxmlformats.org/officeDocument/2006/relationships/image" Target="../media/image6.svg"/><Relationship Id="rId4" Type="http://schemas.openxmlformats.org/officeDocument/2006/relationships/image" Target="../media/image5.png"/></Relationships>
</file>

<file path=xl/drawings/_rels/drawing101.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6.xml"/><Relationship Id="rId5" Type="http://schemas.openxmlformats.org/officeDocument/2006/relationships/image" Target="../media/image6.svg"/><Relationship Id="rId4"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7.xml"/><Relationship Id="rId5" Type="http://schemas.openxmlformats.org/officeDocument/2006/relationships/image" Target="../media/image6.svg"/><Relationship Id="rId4"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8.xml"/><Relationship Id="rId5" Type="http://schemas.openxmlformats.org/officeDocument/2006/relationships/image" Target="../media/image6.svg"/><Relationship Id="rId4"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OAC!A1"/><Relationship Id="rId1" Type="http://schemas.openxmlformats.org/officeDocument/2006/relationships/chart" Target="../charts/chart89.xml"/><Relationship Id="rId5" Type="http://schemas.openxmlformats.org/officeDocument/2006/relationships/image" Target="../media/image1.jpeg"/><Relationship Id="rId4" Type="http://schemas.openxmlformats.org/officeDocument/2006/relationships/image" Target="../media/image6.svg"/></Relationships>
</file>

<file path=xl/drawings/_rels/drawing105.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1.jpeg"/><Relationship Id="rId1" Type="http://schemas.openxmlformats.org/officeDocument/2006/relationships/chart" Target="../charts/chart90.xml"/><Relationship Id="rId5" Type="http://schemas.openxmlformats.org/officeDocument/2006/relationships/image" Target="../media/image6.svg"/><Relationship Id="rId4"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3" Type="http://schemas.openxmlformats.org/officeDocument/2006/relationships/hyperlink" Target="#OAC!A1"/><Relationship Id="rId2" Type="http://schemas.openxmlformats.org/officeDocument/2006/relationships/image" Target="../media/image1.jpeg"/><Relationship Id="rId1" Type="http://schemas.openxmlformats.org/officeDocument/2006/relationships/chart" Target="../charts/chart91.xml"/><Relationship Id="rId5" Type="http://schemas.openxmlformats.org/officeDocument/2006/relationships/image" Target="../media/image6.svg"/><Relationship Id="rId4"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OAP!A1"/><Relationship Id="rId1" Type="http://schemas.openxmlformats.org/officeDocument/2006/relationships/chart" Target="../charts/chart92.xml"/><Relationship Id="rId5" Type="http://schemas.openxmlformats.org/officeDocument/2006/relationships/image" Target="../media/image1.jpeg"/><Relationship Id="rId4" Type="http://schemas.openxmlformats.org/officeDocument/2006/relationships/image" Target="../media/image6.svg"/></Relationships>
</file>

<file path=xl/drawings/_rels/drawing108.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3.xml"/><Relationship Id="rId5" Type="http://schemas.openxmlformats.org/officeDocument/2006/relationships/image" Target="../media/image6.svg"/><Relationship Id="rId4" Type="http://schemas.openxmlformats.org/officeDocument/2006/relationships/image" Target="../media/image5.png"/></Relationships>
</file>

<file path=xl/drawings/_rels/drawing109.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4.xml"/><Relationship Id="rId5" Type="http://schemas.openxmlformats.org/officeDocument/2006/relationships/image" Target="../media/image6.sv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10.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5.xml"/><Relationship Id="rId5" Type="http://schemas.openxmlformats.org/officeDocument/2006/relationships/image" Target="../media/image6.svg"/><Relationship Id="rId4"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6.xml"/><Relationship Id="rId5" Type="http://schemas.openxmlformats.org/officeDocument/2006/relationships/image" Target="../media/image6.svg"/><Relationship Id="rId4"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3" Type="http://schemas.openxmlformats.org/officeDocument/2006/relationships/hyperlink" Target="#OAP!A1"/><Relationship Id="rId2" Type="http://schemas.openxmlformats.org/officeDocument/2006/relationships/image" Target="../media/image1.jpeg"/><Relationship Id="rId1" Type="http://schemas.openxmlformats.org/officeDocument/2006/relationships/chart" Target="../charts/chart97.xml"/><Relationship Id="rId5" Type="http://schemas.openxmlformats.org/officeDocument/2006/relationships/image" Target="../media/image6.svg"/><Relationship Id="rId4"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OCI!A1"/><Relationship Id="rId1" Type="http://schemas.openxmlformats.org/officeDocument/2006/relationships/chart" Target="../charts/chart98.xml"/><Relationship Id="rId5" Type="http://schemas.openxmlformats.org/officeDocument/2006/relationships/image" Target="../media/image1.jpeg"/><Relationship Id="rId4" Type="http://schemas.openxmlformats.org/officeDocument/2006/relationships/image" Target="../media/image6.svg"/></Relationships>
</file>

<file path=xl/drawings/_rels/drawing114.xml.rels><?xml version="1.0" encoding="UTF-8" standalone="yes"?>
<Relationships xmlns="http://schemas.openxmlformats.org/package/2006/relationships"><Relationship Id="rId3" Type="http://schemas.openxmlformats.org/officeDocument/2006/relationships/hyperlink" Target="#OCI!A1"/><Relationship Id="rId2" Type="http://schemas.openxmlformats.org/officeDocument/2006/relationships/image" Target="../media/image1.jpeg"/><Relationship Id="rId1" Type="http://schemas.openxmlformats.org/officeDocument/2006/relationships/chart" Target="../charts/chart99.xml"/><Relationship Id="rId5" Type="http://schemas.openxmlformats.org/officeDocument/2006/relationships/image" Target="../media/image6.svg"/><Relationship Id="rId4" Type="http://schemas.openxmlformats.org/officeDocument/2006/relationships/image" Target="../media/image5.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SG!A1"/><Relationship Id="rId1" Type="http://schemas.openxmlformats.org/officeDocument/2006/relationships/chart" Target="../charts/chart100.xml"/><Relationship Id="rId5" Type="http://schemas.openxmlformats.org/officeDocument/2006/relationships/image" Target="../media/image1.jpeg"/><Relationship Id="rId4" Type="http://schemas.openxmlformats.org/officeDocument/2006/relationships/image" Target="../media/image6.svg"/></Relationships>
</file>

<file path=xl/drawings/_rels/drawing11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1.xml"/><Relationship Id="rId5" Type="http://schemas.openxmlformats.org/officeDocument/2006/relationships/image" Target="../media/image6.svg"/><Relationship Id="rId4" Type="http://schemas.openxmlformats.org/officeDocument/2006/relationships/image" Target="../media/image5.png"/></Relationships>
</file>

<file path=xl/drawings/_rels/drawing11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2.xml"/><Relationship Id="rId5" Type="http://schemas.openxmlformats.org/officeDocument/2006/relationships/image" Target="../media/image6.svg"/><Relationship Id="rId4" Type="http://schemas.openxmlformats.org/officeDocument/2006/relationships/image" Target="../media/image5.png"/></Relationships>
</file>

<file path=xl/drawings/_rels/drawing11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3.xml"/><Relationship Id="rId5" Type="http://schemas.openxmlformats.org/officeDocument/2006/relationships/image" Target="../media/image6.svg"/><Relationship Id="rId4" Type="http://schemas.openxmlformats.org/officeDocument/2006/relationships/image" Target="../media/image5.png"/></Relationships>
</file>

<file path=xl/drawings/_rels/drawing11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4.xml"/><Relationship Id="rId5" Type="http://schemas.openxmlformats.org/officeDocument/2006/relationships/image" Target="../media/image6.sv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2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5.xml"/><Relationship Id="rId5" Type="http://schemas.openxmlformats.org/officeDocument/2006/relationships/image" Target="../media/image6.svg"/><Relationship Id="rId4" Type="http://schemas.openxmlformats.org/officeDocument/2006/relationships/image" Target="../media/image5.png"/></Relationships>
</file>

<file path=xl/drawings/_rels/drawing12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6.xml"/><Relationship Id="rId5" Type="http://schemas.openxmlformats.org/officeDocument/2006/relationships/image" Target="../media/image6.svg"/><Relationship Id="rId4" Type="http://schemas.openxmlformats.org/officeDocument/2006/relationships/image" Target="../media/image5.png"/></Relationships>
</file>

<file path=xl/drawings/_rels/drawing12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7.xml"/><Relationship Id="rId5" Type="http://schemas.openxmlformats.org/officeDocument/2006/relationships/image" Target="../media/image6.svg"/><Relationship Id="rId4" Type="http://schemas.openxmlformats.org/officeDocument/2006/relationships/image" Target="../media/image5.png"/></Relationships>
</file>

<file path=xl/drawings/_rels/drawing12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8.xml"/><Relationship Id="rId5" Type="http://schemas.openxmlformats.org/officeDocument/2006/relationships/image" Target="../media/image6.svg"/><Relationship Id="rId4" Type="http://schemas.openxmlformats.org/officeDocument/2006/relationships/image" Target="../media/image5.png"/></Relationships>
</file>

<file path=xl/drawings/_rels/drawing12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09.xml"/><Relationship Id="rId5" Type="http://schemas.openxmlformats.org/officeDocument/2006/relationships/image" Target="../media/image6.svg"/><Relationship Id="rId4"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0.xml"/><Relationship Id="rId5" Type="http://schemas.openxmlformats.org/officeDocument/2006/relationships/image" Target="../media/image6.svg"/><Relationship Id="rId4" Type="http://schemas.openxmlformats.org/officeDocument/2006/relationships/image" Target="../media/image5.png"/></Relationships>
</file>

<file path=xl/drawings/_rels/drawing12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1.xml"/><Relationship Id="rId5" Type="http://schemas.openxmlformats.org/officeDocument/2006/relationships/image" Target="../media/image6.svg"/><Relationship Id="rId4" Type="http://schemas.openxmlformats.org/officeDocument/2006/relationships/image" Target="../media/image5.png"/></Relationships>
</file>

<file path=xl/drawings/_rels/drawing12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2.xml"/><Relationship Id="rId5" Type="http://schemas.openxmlformats.org/officeDocument/2006/relationships/image" Target="../media/image6.svg"/><Relationship Id="rId4" Type="http://schemas.openxmlformats.org/officeDocument/2006/relationships/image" Target="../media/image5.png"/></Relationships>
</file>

<file path=xl/drawings/_rels/drawing12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3.xml"/><Relationship Id="rId5" Type="http://schemas.openxmlformats.org/officeDocument/2006/relationships/image" Target="../media/image6.svg"/><Relationship Id="rId4" Type="http://schemas.openxmlformats.org/officeDocument/2006/relationships/image" Target="../media/image5.png"/></Relationships>
</file>

<file path=xl/drawings/_rels/drawing12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4.xml"/><Relationship Id="rId5" Type="http://schemas.openxmlformats.org/officeDocument/2006/relationships/image" Target="../media/image6.sv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3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5.xml"/><Relationship Id="rId5" Type="http://schemas.openxmlformats.org/officeDocument/2006/relationships/image" Target="../media/image6.svg"/><Relationship Id="rId4" Type="http://schemas.openxmlformats.org/officeDocument/2006/relationships/image" Target="../media/image5.png"/></Relationships>
</file>

<file path=xl/drawings/_rels/drawing13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6.xml"/><Relationship Id="rId5" Type="http://schemas.openxmlformats.org/officeDocument/2006/relationships/image" Target="../media/image6.svg"/><Relationship Id="rId4" Type="http://schemas.openxmlformats.org/officeDocument/2006/relationships/image" Target="../media/image5.png"/></Relationships>
</file>

<file path=xl/drawings/_rels/drawing132.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7.xml"/><Relationship Id="rId5" Type="http://schemas.openxmlformats.org/officeDocument/2006/relationships/image" Target="../media/image6.svg"/><Relationship Id="rId4" Type="http://schemas.openxmlformats.org/officeDocument/2006/relationships/image" Target="../media/image5.png"/></Relationships>
</file>

<file path=xl/drawings/_rels/drawing133.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8.xml"/><Relationship Id="rId5" Type="http://schemas.openxmlformats.org/officeDocument/2006/relationships/image" Target="../media/image6.svg"/><Relationship Id="rId4" Type="http://schemas.openxmlformats.org/officeDocument/2006/relationships/image" Target="../media/image5.png"/></Relationships>
</file>

<file path=xl/drawings/_rels/drawing134.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19.xml"/><Relationship Id="rId5" Type="http://schemas.openxmlformats.org/officeDocument/2006/relationships/image" Target="../media/image6.svg"/><Relationship Id="rId4" Type="http://schemas.openxmlformats.org/officeDocument/2006/relationships/image" Target="../media/image5.png"/></Relationships>
</file>

<file path=xl/drawings/_rels/drawing135.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0.xml"/><Relationship Id="rId5" Type="http://schemas.openxmlformats.org/officeDocument/2006/relationships/image" Target="../media/image6.svg"/><Relationship Id="rId4" Type="http://schemas.openxmlformats.org/officeDocument/2006/relationships/image" Target="../media/image5.png"/></Relationships>
</file>

<file path=xl/drawings/_rels/drawing136.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1.xml"/><Relationship Id="rId5" Type="http://schemas.openxmlformats.org/officeDocument/2006/relationships/image" Target="../media/image6.svg"/><Relationship Id="rId4" Type="http://schemas.openxmlformats.org/officeDocument/2006/relationships/image" Target="../media/image5.png"/></Relationships>
</file>

<file path=xl/drawings/_rels/drawing137.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2.xml"/><Relationship Id="rId5" Type="http://schemas.openxmlformats.org/officeDocument/2006/relationships/image" Target="../media/image6.svg"/><Relationship Id="rId4" Type="http://schemas.openxmlformats.org/officeDocument/2006/relationships/image" Target="../media/image5.png"/></Relationships>
</file>

<file path=xl/drawings/_rels/drawing138.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3.xml"/><Relationship Id="rId5" Type="http://schemas.openxmlformats.org/officeDocument/2006/relationships/image" Target="../media/image6.svg"/><Relationship Id="rId4" Type="http://schemas.openxmlformats.org/officeDocument/2006/relationships/image" Target="../media/image5.png"/></Relationships>
</file>

<file path=xl/drawings/_rels/drawing139.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4.xml"/><Relationship Id="rId5" Type="http://schemas.openxmlformats.org/officeDocument/2006/relationships/image" Target="../media/image6.svg"/><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jpeg"/></Relationships>
</file>

<file path=xl/drawings/_rels/drawing140.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5.xml"/><Relationship Id="rId5" Type="http://schemas.openxmlformats.org/officeDocument/2006/relationships/image" Target="../media/image6.svg"/><Relationship Id="rId4" Type="http://schemas.openxmlformats.org/officeDocument/2006/relationships/image" Target="../media/image5.png"/></Relationships>
</file>

<file path=xl/drawings/_rels/drawing141.xml.rels><?xml version="1.0" encoding="UTF-8" standalone="yes"?>
<Relationships xmlns="http://schemas.openxmlformats.org/package/2006/relationships"><Relationship Id="rId3" Type="http://schemas.openxmlformats.org/officeDocument/2006/relationships/hyperlink" Target="#SG!A1"/><Relationship Id="rId2" Type="http://schemas.openxmlformats.org/officeDocument/2006/relationships/image" Target="../media/image1.jpeg"/><Relationship Id="rId1" Type="http://schemas.openxmlformats.org/officeDocument/2006/relationships/chart" Target="../charts/chart126.xml"/><Relationship Id="rId5" Type="http://schemas.openxmlformats.org/officeDocument/2006/relationships/image" Target="../media/image6.svg"/><Relationship Id="rId4" Type="http://schemas.openxmlformats.org/officeDocument/2006/relationships/image" Target="../media/image5.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OFL!A1"/><Relationship Id="rId1" Type="http://schemas.openxmlformats.org/officeDocument/2006/relationships/chart" Target="../charts/chart127.xml"/><Relationship Id="rId5" Type="http://schemas.openxmlformats.org/officeDocument/2006/relationships/image" Target="../media/image1.jpeg"/><Relationship Id="rId4" Type="http://schemas.openxmlformats.org/officeDocument/2006/relationships/image" Target="../media/image6.svg"/></Relationships>
</file>

<file path=xl/drawings/_rels/drawing143.xml.rels><?xml version="1.0" encoding="UTF-8" standalone="yes"?>
<Relationships xmlns="http://schemas.openxmlformats.org/package/2006/relationships"><Relationship Id="rId3" Type="http://schemas.openxmlformats.org/officeDocument/2006/relationships/hyperlink" Target="#OFL!A1"/><Relationship Id="rId2" Type="http://schemas.openxmlformats.org/officeDocument/2006/relationships/image" Target="../media/image1.jpeg"/><Relationship Id="rId1" Type="http://schemas.openxmlformats.org/officeDocument/2006/relationships/chart" Target="../charts/chart128.xml"/><Relationship Id="rId5" Type="http://schemas.openxmlformats.org/officeDocument/2006/relationships/image" Target="../media/image6.svg"/><Relationship Id="rId4" Type="http://schemas.openxmlformats.org/officeDocument/2006/relationships/image" Target="../media/image5.png"/></Relationships>
</file>

<file path=xl/drawings/_rels/drawing144.xml.rels><?xml version="1.0" encoding="UTF-8" standalone="yes"?>
<Relationships xmlns="http://schemas.openxmlformats.org/package/2006/relationships"><Relationship Id="rId3" Type="http://schemas.openxmlformats.org/officeDocument/2006/relationships/hyperlink" Target="#OFL!A1"/><Relationship Id="rId2" Type="http://schemas.openxmlformats.org/officeDocument/2006/relationships/image" Target="../media/image1.jpeg"/><Relationship Id="rId1" Type="http://schemas.openxmlformats.org/officeDocument/2006/relationships/chart" Target="../charts/chart129.xml"/><Relationship Id="rId5" Type="http://schemas.openxmlformats.org/officeDocument/2006/relationships/image" Target="../media/image6.sv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D!A1"/><Relationship Id="rId1" Type="http://schemas.openxmlformats.org/officeDocument/2006/relationships/chart" Target="../charts/chart1.xml"/><Relationship Id="rId5" Type="http://schemas.openxmlformats.org/officeDocument/2006/relationships/image" Target="../media/image1.jpeg"/><Relationship Id="rId4" Type="http://schemas.openxmlformats.org/officeDocument/2006/relationships/image" Target="../media/image6.svg"/></Relationships>
</file>

<file path=xl/drawings/_rels/drawing17.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jpeg"/><Relationship Id="rId1" Type="http://schemas.openxmlformats.org/officeDocument/2006/relationships/chart" Target="../charts/chart2.xml"/><Relationship Id="rId5" Type="http://schemas.openxmlformats.org/officeDocument/2006/relationships/image" Target="../media/image6.svg"/><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jpeg"/><Relationship Id="rId1" Type="http://schemas.openxmlformats.org/officeDocument/2006/relationships/chart" Target="../charts/chart3.xml"/><Relationship Id="rId5" Type="http://schemas.openxmlformats.org/officeDocument/2006/relationships/image" Target="../media/image6.svg"/><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jpeg"/><Relationship Id="rId1" Type="http://schemas.openxmlformats.org/officeDocument/2006/relationships/chart" Target="../charts/chart4.xml"/><Relationship Id="rId5" Type="http://schemas.openxmlformats.org/officeDocument/2006/relationships/image" Target="../media/image6.sv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hyperlink" Target="#DIA!A1"/><Relationship Id="rId2" Type="http://schemas.openxmlformats.org/officeDocument/2006/relationships/image" Target="../media/image1.jpeg"/><Relationship Id="rId1" Type="http://schemas.openxmlformats.org/officeDocument/2006/relationships/chart" Target="../charts/chart5.xml"/><Relationship Id="rId5" Type="http://schemas.openxmlformats.org/officeDocument/2006/relationships/image" Target="../media/image6.svg"/><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FJYC!A1"/><Relationship Id="rId1" Type="http://schemas.openxmlformats.org/officeDocument/2006/relationships/chart" Target="../charts/chart6.xml"/><Relationship Id="rId5" Type="http://schemas.openxmlformats.org/officeDocument/2006/relationships/image" Target="../media/image1.jpeg"/><Relationship Id="rId4" Type="http://schemas.openxmlformats.org/officeDocument/2006/relationships/image" Target="../media/image6.svg"/></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FJYC!A1"/><Relationship Id="rId1" Type="http://schemas.openxmlformats.org/officeDocument/2006/relationships/image" Target="../media/image1.jpeg"/><Relationship Id="rId5" Type="http://schemas.openxmlformats.org/officeDocument/2006/relationships/chart" Target="../charts/chart7.xml"/><Relationship Id="rId4" Type="http://schemas.openxmlformats.org/officeDocument/2006/relationships/image" Target="../media/image6.svg"/></Relationships>
</file>

<file path=xl/drawings/_rels/drawing23.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8.xml"/><Relationship Id="rId5" Type="http://schemas.openxmlformats.org/officeDocument/2006/relationships/image" Target="../media/image6.svg"/><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9.xml"/><Relationship Id="rId5" Type="http://schemas.openxmlformats.org/officeDocument/2006/relationships/image" Target="../media/image6.sv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FJYC!A1"/><Relationship Id="rId1" Type="http://schemas.openxmlformats.org/officeDocument/2006/relationships/image" Target="../media/image1.jpeg"/><Relationship Id="rId5" Type="http://schemas.openxmlformats.org/officeDocument/2006/relationships/chart" Target="../charts/chart10.xml"/><Relationship Id="rId4" Type="http://schemas.openxmlformats.org/officeDocument/2006/relationships/image" Target="../media/image6.svg"/></Relationships>
</file>

<file path=xl/drawings/_rels/drawing26.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11.xml"/><Relationship Id="rId5" Type="http://schemas.openxmlformats.org/officeDocument/2006/relationships/image" Target="../media/image6.svg"/><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12.xml"/><Relationship Id="rId5" Type="http://schemas.openxmlformats.org/officeDocument/2006/relationships/image" Target="../media/image6.svg"/><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hyperlink" Target="#DFJYC!A1"/><Relationship Id="rId2" Type="http://schemas.openxmlformats.org/officeDocument/2006/relationships/image" Target="../media/image1.jpeg"/><Relationship Id="rId1" Type="http://schemas.openxmlformats.org/officeDocument/2006/relationships/chart" Target="../charts/chart13.xml"/><Relationship Id="rId5" Type="http://schemas.openxmlformats.org/officeDocument/2006/relationships/image" Target="../media/image6.svg"/><Relationship Id="rId4"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EAS!A1"/><Relationship Id="rId1" Type="http://schemas.openxmlformats.org/officeDocument/2006/relationships/chart" Target="../charts/chart14.xml"/><Relationship Id="rId5" Type="http://schemas.openxmlformats.org/officeDocument/2006/relationships/image" Target="../media/image1.jpeg"/><Relationship Id="rId4" Type="http://schemas.openxmlformats.org/officeDocument/2006/relationships/image" Target="../media/image6.svg"/></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1.jpeg"/><Relationship Id="rId1" Type="http://schemas.openxmlformats.org/officeDocument/2006/relationships/chart" Target="../charts/chart15.xml"/><Relationship Id="rId5" Type="http://schemas.openxmlformats.org/officeDocument/2006/relationships/image" Target="../media/image6.svg"/><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1.jpeg"/><Relationship Id="rId1" Type="http://schemas.openxmlformats.org/officeDocument/2006/relationships/chart" Target="../charts/chart16.xml"/><Relationship Id="rId5" Type="http://schemas.openxmlformats.org/officeDocument/2006/relationships/image" Target="../media/image6.svg"/><Relationship Id="rId4" Type="http://schemas.openxmlformats.org/officeDocument/2006/relationships/image" Target="../media/image5.png"/></Relationships>
</file>

<file path=xl/drawings/_rels/drawing32.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1.jpeg"/><Relationship Id="rId1" Type="http://schemas.openxmlformats.org/officeDocument/2006/relationships/chart" Target="../charts/chart17.xml"/><Relationship Id="rId5" Type="http://schemas.openxmlformats.org/officeDocument/2006/relationships/image" Target="../media/image6.svg"/><Relationship Id="rId4"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hyperlink" Target="#DEAS!A1"/><Relationship Id="rId2" Type="http://schemas.openxmlformats.org/officeDocument/2006/relationships/image" Target="../media/image1.jpeg"/><Relationship Id="rId1" Type="http://schemas.openxmlformats.org/officeDocument/2006/relationships/chart" Target="../charts/chart18.xml"/><Relationship Id="rId5" Type="http://schemas.openxmlformats.org/officeDocument/2006/relationships/image" Target="../media/image6.svg"/><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19.xml"/><Relationship Id="rId5" Type="http://schemas.openxmlformats.org/officeDocument/2006/relationships/image" Target="../media/image6.svg"/><Relationship Id="rId4"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0.xml"/><Relationship Id="rId5" Type="http://schemas.openxmlformats.org/officeDocument/2006/relationships/image" Target="../media/image6.svg"/><Relationship Id="rId4"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1.xml"/><Relationship Id="rId5" Type="http://schemas.openxmlformats.org/officeDocument/2006/relationships/image" Target="../media/image6.svg"/><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2.xml"/><Relationship Id="rId5" Type="http://schemas.openxmlformats.org/officeDocument/2006/relationships/image" Target="../media/image6.svg"/><Relationship Id="rId4"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3.xml"/><Relationship Id="rId5" Type="http://schemas.openxmlformats.org/officeDocument/2006/relationships/image" Target="../media/image6.svg"/><Relationship Id="rId4"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4.xml"/><Relationship Id="rId5" Type="http://schemas.openxmlformats.org/officeDocument/2006/relationships/image" Target="../media/image6.sv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5.xml"/><Relationship Id="rId5" Type="http://schemas.openxmlformats.org/officeDocument/2006/relationships/image" Target="../media/image6.sv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6.xml"/><Relationship Id="rId5" Type="http://schemas.openxmlformats.org/officeDocument/2006/relationships/image" Target="../media/image6.svg"/><Relationship Id="rId4" Type="http://schemas.openxmlformats.org/officeDocument/2006/relationships/image" Target="../media/image5.png"/></Relationships>
</file>

<file path=xl/drawings/_rels/drawing42.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7.xml"/><Relationship Id="rId5" Type="http://schemas.openxmlformats.org/officeDocument/2006/relationships/image" Target="../media/image6.svg"/><Relationship Id="rId4" Type="http://schemas.openxmlformats.org/officeDocument/2006/relationships/image" Target="../media/image5.png"/></Relationships>
</file>

<file path=xl/drawings/_rels/drawing43.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8.xml"/><Relationship Id="rId5" Type="http://schemas.openxmlformats.org/officeDocument/2006/relationships/image" Target="../media/image6.svg"/><Relationship Id="rId4" Type="http://schemas.openxmlformats.org/officeDocument/2006/relationships/image" Target="../media/image5.png"/></Relationships>
</file>

<file path=xl/drawings/_rels/drawing44.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29.xml"/><Relationship Id="rId5" Type="http://schemas.openxmlformats.org/officeDocument/2006/relationships/image" Target="../media/image6.svg"/><Relationship Id="rId4" Type="http://schemas.openxmlformats.org/officeDocument/2006/relationships/image" Target="../media/image5.png"/></Relationships>
</file>

<file path=xl/drawings/_rels/drawing45.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30.xml"/><Relationship Id="rId5" Type="http://schemas.openxmlformats.org/officeDocument/2006/relationships/image" Target="../media/image6.svg"/><Relationship Id="rId4" Type="http://schemas.openxmlformats.org/officeDocument/2006/relationships/image" Target="../media/image5.png"/></Relationships>
</file>

<file path=xl/drawings/_rels/drawing46.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31.xml"/><Relationship Id="rId5" Type="http://schemas.openxmlformats.org/officeDocument/2006/relationships/image" Target="../media/image6.svg"/><Relationship Id="rId4"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hyperlink" Target="#DETGRAT!A1"/><Relationship Id="rId2" Type="http://schemas.openxmlformats.org/officeDocument/2006/relationships/image" Target="../media/image1.jpeg"/><Relationship Id="rId1" Type="http://schemas.openxmlformats.org/officeDocument/2006/relationships/chart" Target="../charts/chart32.xml"/><Relationship Id="rId5" Type="http://schemas.openxmlformats.org/officeDocument/2006/relationships/image" Target="../media/image6.svg"/><Relationship Id="rId4" Type="http://schemas.openxmlformats.org/officeDocument/2006/relationships/image" Target="../media/image5.png"/></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PU!A1"/><Relationship Id="rId1" Type="http://schemas.openxmlformats.org/officeDocument/2006/relationships/chart" Target="../charts/chart33.xml"/><Relationship Id="rId5" Type="http://schemas.openxmlformats.org/officeDocument/2006/relationships/image" Target="../media/image1.jpeg"/><Relationship Id="rId4" Type="http://schemas.openxmlformats.org/officeDocument/2006/relationships/image" Target="../media/image6.svg"/></Relationships>
</file>

<file path=xl/drawings/_rels/drawing49.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4.xml"/><Relationship Id="rId5" Type="http://schemas.openxmlformats.org/officeDocument/2006/relationships/image" Target="../media/image6.sv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5.xml"/><Relationship Id="rId5" Type="http://schemas.openxmlformats.org/officeDocument/2006/relationships/image" Target="../media/image6.svg"/><Relationship Id="rId4" Type="http://schemas.openxmlformats.org/officeDocument/2006/relationships/image" Target="../media/image5.png"/></Relationships>
</file>

<file path=xl/drawings/_rels/drawing51.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6.xml"/><Relationship Id="rId5" Type="http://schemas.openxmlformats.org/officeDocument/2006/relationships/image" Target="../media/image6.svg"/><Relationship Id="rId4"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7.xml"/><Relationship Id="rId5" Type="http://schemas.openxmlformats.org/officeDocument/2006/relationships/image" Target="../media/image6.svg"/><Relationship Id="rId4" Type="http://schemas.openxmlformats.org/officeDocument/2006/relationships/image" Target="../media/image5.png"/></Relationships>
</file>

<file path=xl/drawings/_rels/drawing53.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8.xml"/><Relationship Id="rId5" Type="http://schemas.openxmlformats.org/officeDocument/2006/relationships/image" Target="../media/image6.svg"/><Relationship Id="rId4"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39.xml"/><Relationship Id="rId5" Type="http://schemas.openxmlformats.org/officeDocument/2006/relationships/image" Target="../media/image6.svg"/><Relationship Id="rId4"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hyperlink" Target="#DPU!A1"/><Relationship Id="rId2" Type="http://schemas.openxmlformats.org/officeDocument/2006/relationships/image" Target="../media/image1.jpeg"/><Relationship Id="rId1" Type="http://schemas.openxmlformats.org/officeDocument/2006/relationships/chart" Target="../charts/chart40.xml"/><Relationship Id="rId5" Type="http://schemas.openxmlformats.org/officeDocument/2006/relationships/image" Target="../media/image6.svg"/><Relationship Id="rId4"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1.xml"/><Relationship Id="rId5" Type="http://schemas.openxmlformats.org/officeDocument/2006/relationships/image" Target="../media/image6.svg"/><Relationship Id="rId4"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2.xml"/><Relationship Id="rId5" Type="http://schemas.openxmlformats.org/officeDocument/2006/relationships/image" Target="../media/image6.svg"/><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3.xml"/><Relationship Id="rId5" Type="http://schemas.openxmlformats.org/officeDocument/2006/relationships/image" Target="../media/image6.svg"/><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4.xml"/><Relationship Id="rId5" Type="http://schemas.openxmlformats.org/officeDocument/2006/relationships/image" Target="../media/image6.sv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5.xml"/><Relationship Id="rId5" Type="http://schemas.openxmlformats.org/officeDocument/2006/relationships/image" Target="../media/image6.svg"/><Relationship Id="rId4" Type="http://schemas.openxmlformats.org/officeDocument/2006/relationships/image" Target="../media/image5.png"/></Relationships>
</file>

<file path=xl/drawings/_rels/drawing61.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6.xml"/><Relationship Id="rId5" Type="http://schemas.openxmlformats.org/officeDocument/2006/relationships/image" Target="../media/image6.svg"/><Relationship Id="rId4"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7.xml"/><Relationship Id="rId5" Type="http://schemas.openxmlformats.org/officeDocument/2006/relationships/image" Target="../media/image6.svg"/><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3" Type="http://schemas.openxmlformats.org/officeDocument/2006/relationships/hyperlink" Target="#DOLF!A1"/><Relationship Id="rId2" Type="http://schemas.openxmlformats.org/officeDocument/2006/relationships/image" Target="../media/image1.jpeg"/><Relationship Id="rId1" Type="http://schemas.openxmlformats.org/officeDocument/2006/relationships/chart" Target="../charts/chart48.xml"/><Relationship Id="rId5" Type="http://schemas.openxmlformats.org/officeDocument/2006/relationships/image" Target="../media/image6.svg"/><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PSS!A1"/><Relationship Id="rId1" Type="http://schemas.openxmlformats.org/officeDocument/2006/relationships/chart" Target="../charts/chart49.xml"/><Relationship Id="rId5" Type="http://schemas.openxmlformats.org/officeDocument/2006/relationships/image" Target="../media/image1.jpeg"/><Relationship Id="rId4" Type="http://schemas.openxmlformats.org/officeDocument/2006/relationships/image" Target="../media/image6.svg"/></Relationships>
</file>

<file path=xl/drawings/_rels/drawing65.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0.xml"/><Relationship Id="rId5" Type="http://schemas.openxmlformats.org/officeDocument/2006/relationships/image" Target="../media/image6.sv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1.xml"/><Relationship Id="rId5" Type="http://schemas.openxmlformats.org/officeDocument/2006/relationships/image" Target="../media/image6.sv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2.xml"/><Relationship Id="rId5" Type="http://schemas.openxmlformats.org/officeDocument/2006/relationships/image" Target="../media/image6.svg"/><Relationship Id="rId4" Type="http://schemas.openxmlformats.org/officeDocument/2006/relationships/image" Target="../media/image5.png"/></Relationships>
</file>

<file path=xl/drawings/_rels/drawing68.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3.xml"/><Relationship Id="rId5" Type="http://schemas.openxmlformats.org/officeDocument/2006/relationships/image" Target="../media/image6.svg"/><Relationship Id="rId4" Type="http://schemas.openxmlformats.org/officeDocument/2006/relationships/image" Target="../media/image5.png"/></Relationships>
</file>

<file path=xl/drawings/_rels/drawing69.xml.rels><?xml version="1.0" encoding="UTF-8" standalone="yes"?>
<Relationships xmlns="http://schemas.openxmlformats.org/package/2006/relationships"><Relationship Id="rId3" Type="http://schemas.openxmlformats.org/officeDocument/2006/relationships/hyperlink" Target="#DPSS!A1"/><Relationship Id="rId2" Type="http://schemas.openxmlformats.org/officeDocument/2006/relationships/image" Target="../media/image1.jpeg"/><Relationship Id="rId1" Type="http://schemas.openxmlformats.org/officeDocument/2006/relationships/chart" Target="../charts/chart54.xml"/><Relationship Id="rId5" Type="http://schemas.openxmlformats.org/officeDocument/2006/relationships/image" Target="../media/image6.sv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5.xml"/><Relationship Id="rId5" Type="http://schemas.openxmlformats.org/officeDocument/2006/relationships/image" Target="../media/image1.jpeg"/><Relationship Id="rId4" Type="http://schemas.openxmlformats.org/officeDocument/2006/relationships/image" Target="../media/image6.svg"/></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6.xml"/><Relationship Id="rId5" Type="http://schemas.openxmlformats.org/officeDocument/2006/relationships/image" Target="../media/image1.jpeg"/><Relationship Id="rId4" Type="http://schemas.openxmlformats.org/officeDocument/2006/relationships/image" Target="../media/image6.svg"/></Relationships>
</file>

<file path=xl/drawings/_rels/drawing7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7.xml"/><Relationship Id="rId5" Type="http://schemas.openxmlformats.org/officeDocument/2006/relationships/image" Target="../media/image1.jpeg"/><Relationship Id="rId4" Type="http://schemas.openxmlformats.org/officeDocument/2006/relationships/image" Target="../media/image6.svg"/></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8.xml"/><Relationship Id="rId5" Type="http://schemas.openxmlformats.org/officeDocument/2006/relationships/image" Target="../media/image1.jpeg"/><Relationship Id="rId4" Type="http://schemas.openxmlformats.org/officeDocument/2006/relationships/image" Target="../media/image6.svg"/></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59.xml"/><Relationship Id="rId5" Type="http://schemas.openxmlformats.org/officeDocument/2006/relationships/image" Target="../media/image1.jpeg"/><Relationship Id="rId4" Type="http://schemas.openxmlformats.org/officeDocument/2006/relationships/image" Target="../media/image6.svg"/></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0.xml"/><Relationship Id="rId5" Type="http://schemas.openxmlformats.org/officeDocument/2006/relationships/image" Target="../media/image1.jpeg"/><Relationship Id="rId4" Type="http://schemas.openxmlformats.org/officeDocument/2006/relationships/image" Target="../media/image6.svg"/></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1.xml"/><Relationship Id="rId5" Type="http://schemas.openxmlformats.org/officeDocument/2006/relationships/image" Target="../media/image1.jpeg"/><Relationship Id="rId4" Type="http://schemas.openxmlformats.org/officeDocument/2006/relationships/image" Target="../media/image6.svg"/></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2.xml"/><Relationship Id="rId5" Type="http://schemas.openxmlformats.org/officeDocument/2006/relationships/image" Target="../media/image1.jpeg"/><Relationship Id="rId4" Type="http://schemas.openxmlformats.org/officeDocument/2006/relationships/image" Target="../media/image6.svg"/></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3.xml"/><Relationship Id="rId5" Type="http://schemas.openxmlformats.org/officeDocument/2006/relationships/image" Target="../media/image1.jpeg"/><Relationship Id="rId4" Type="http://schemas.openxmlformats.org/officeDocument/2006/relationships/image" Target="../media/image6.svg"/></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4.xml"/><Relationship Id="rId5" Type="http://schemas.openxmlformats.org/officeDocument/2006/relationships/image" Target="../media/image1.jpeg"/><Relationship Id="rId4" Type="http://schemas.openxmlformats.org/officeDocument/2006/relationships/image" Target="../media/image6.sv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D!A1"/><Relationship Id="rId1" Type="http://schemas.openxmlformats.org/officeDocument/2006/relationships/chart" Target="../charts/chart65.xml"/><Relationship Id="rId5" Type="http://schemas.openxmlformats.org/officeDocument/2006/relationships/image" Target="../media/image1.jpeg"/><Relationship Id="rId4" Type="http://schemas.openxmlformats.org/officeDocument/2006/relationships/image" Target="../media/image6.svg"/></Relationships>
</file>

<file path=xl/drawings/_rels/drawing8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66.xml"/><Relationship Id="rId5" Type="http://schemas.openxmlformats.org/officeDocument/2006/relationships/image" Target="../media/image6.svg"/><Relationship Id="rId4" Type="http://schemas.openxmlformats.org/officeDocument/2006/relationships/image" Target="../media/image5.png"/></Relationships>
</file>

<file path=xl/drawings/_rels/drawing82.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67.xml"/><Relationship Id="rId5" Type="http://schemas.openxmlformats.org/officeDocument/2006/relationships/image" Target="../media/image6.svg"/><Relationship Id="rId4" Type="http://schemas.openxmlformats.org/officeDocument/2006/relationships/image" Target="../media/image5.png"/></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8.xml"/><Relationship Id="rId5" Type="http://schemas.openxmlformats.org/officeDocument/2006/relationships/image" Target="../media/image1.jpeg"/><Relationship Id="rId4" Type="http://schemas.openxmlformats.org/officeDocument/2006/relationships/image" Target="../media/image6.svg"/></Relationships>
</file>

<file path=xl/drawings/_rels/drawing8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A!A1"/><Relationship Id="rId1" Type="http://schemas.openxmlformats.org/officeDocument/2006/relationships/chart" Target="../charts/chart69.xml"/><Relationship Id="rId5" Type="http://schemas.openxmlformats.org/officeDocument/2006/relationships/image" Target="../media/image1.jpeg"/><Relationship Id="rId4" Type="http://schemas.openxmlformats.org/officeDocument/2006/relationships/image" Target="../media/image6.svg"/></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ID!A1"/><Relationship Id="rId1" Type="http://schemas.openxmlformats.org/officeDocument/2006/relationships/chart" Target="../charts/chart70.xml"/><Relationship Id="rId5" Type="http://schemas.openxmlformats.org/officeDocument/2006/relationships/image" Target="../media/image1.jpeg"/><Relationship Id="rId4" Type="http://schemas.openxmlformats.org/officeDocument/2006/relationships/image" Target="../media/image6.svg"/></Relationships>
</file>

<file path=xl/drawings/_rels/drawing86.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1.xml"/><Relationship Id="rId5" Type="http://schemas.openxmlformats.org/officeDocument/2006/relationships/image" Target="../media/image6.svg"/><Relationship Id="rId4" Type="http://schemas.openxmlformats.org/officeDocument/2006/relationships/image" Target="../media/image5.png"/></Relationships>
</file>

<file path=xl/drawings/_rels/drawing87.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2.xml"/><Relationship Id="rId5" Type="http://schemas.openxmlformats.org/officeDocument/2006/relationships/image" Target="../media/image6.svg"/><Relationship Id="rId4" Type="http://schemas.openxmlformats.org/officeDocument/2006/relationships/image" Target="../media/image5.png"/></Relationships>
</file>

<file path=xl/drawings/_rels/drawing88.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3.xml"/><Relationship Id="rId5" Type="http://schemas.openxmlformats.org/officeDocument/2006/relationships/image" Target="../media/image6.svg"/><Relationship Id="rId4" Type="http://schemas.openxmlformats.org/officeDocument/2006/relationships/image" Target="../media/image5.png"/></Relationships>
</file>

<file path=xl/drawings/_rels/drawing89.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4.xml"/><Relationship Id="rId5" Type="http://schemas.openxmlformats.org/officeDocument/2006/relationships/image" Target="../media/image6.sv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ADORES!A1"/><Relationship Id="rId4"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5.xml"/><Relationship Id="rId5" Type="http://schemas.openxmlformats.org/officeDocument/2006/relationships/image" Target="../media/image6.svg"/><Relationship Id="rId4" Type="http://schemas.openxmlformats.org/officeDocument/2006/relationships/image" Target="../media/image5.png"/></Relationships>
</file>

<file path=xl/drawings/_rels/drawing91.xml.rels><?xml version="1.0" encoding="UTF-8" standalone="yes"?>
<Relationships xmlns="http://schemas.openxmlformats.org/package/2006/relationships"><Relationship Id="rId3" Type="http://schemas.openxmlformats.org/officeDocument/2006/relationships/hyperlink" Target="#DID!A1"/><Relationship Id="rId2" Type="http://schemas.openxmlformats.org/officeDocument/2006/relationships/image" Target="../media/image1.jpeg"/><Relationship Id="rId1" Type="http://schemas.openxmlformats.org/officeDocument/2006/relationships/chart" Target="../charts/chart76.xml"/><Relationship Id="rId5" Type="http://schemas.openxmlformats.org/officeDocument/2006/relationships/image" Target="../media/image6.svg"/><Relationship Id="rId4" Type="http://schemas.openxmlformats.org/officeDocument/2006/relationships/image" Target="../media/image5.png"/></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DJ!A1"/><Relationship Id="rId1" Type="http://schemas.openxmlformats.org/officeDocument/2006/relationships/chart" Target="../charts/chart77.xml"/><Relationship Id="rId5" Type="http://schemas.openxmlformats.org/officeDocument/2006/relationships/image" Target="../media/image1.jpeg"/><Relationship Id="rId4" Type="http://schemas.openxmlformats.org/officeDocument/2006/relationships/image" Target="../media/image6.svg"/></Relationships>
</file>

<file path=xl/drawings/_rels/drawing93.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78.xml"/><Relationship Id="rId5" Type="http://schemas.openxmlformats.org/officeDocument/2006/relationships/image" Target="../media/image6.svg"/><Relationship Id="rId4" Type="http://schemas.openxmlformats.org/officeDocument/2006/relationships/image" Target="../media/image5.png"/></Relationships>
</file>

<file path=xl/drawings/_rels/drawing94.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79.xml"/><Relationship Id="rId5" Type="http://schemas.openxmlformats.org/officeDocument/2006/relationships/image" Target="../media/image6.svg"/><Relationship Id="rId4"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0.xml"/><Relationship Id="rId5" Type="http://schemas.openxmlformats.org/officeDocument/2006/relationships/image" Target="../media/image6.svg"/><Relationship Id="rId4" Type="http://schemas.openxmlformats.org/officeDocument/2006/relationships/image" Target="../media/image5.png"/></Relationships>
</file>

<file path=xl/drawings/_rels/drawing96.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1.xml"/><Relationship Id="rId5" Type="http://schemas.openxmlformats.org/officeDocument/2006/relationships/image" Target="../media/image6.svg"/><Relationship Id="rId4" Type="http://schemas.openxmlformats.org/officeDocument/2006/relationships/image" Target="../media/image5.png"/></Relationships>
</file>

<file path=xl/drawings/_rels/drawing97.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2.xml"/><Relationship Id="rId5" Type="http://schemas.openxmlformats.org/officeDocument/2006/relationships/image" Target="../media/image6.svg"/><Relationship Id="rId4"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3.xml"/><Relationship Id="rId5" Type="http://schemas.openxmlformats.org/officeDocument/2006/relationships/image" Target="../media/image6.svg"/><Relationship Id="rId4" Type="http://schemas.openxmlformats.org/officeDocument/2006/relationships/image" Target="../media/image5.png"/></Relationships>
</file>

<file path=xl/drawings/_rels/drawing99.xml.rels><?xml version="1.0" encoding="UTF-8" standalone="yes"?>
<Relationships xmlns="http://schemas.openxmlformats.org/package/2006/relationships"><Relationship Id="rId3" Type="http://schemas.openxmlformats.org/officeDocument/2006/relationships/hyperlink" Target="#DJ!A1"/><Relationship Id="rId2" Type="http://schemas.openxmlformats.org/officeDocument/2006/relationships/image" Target="../media/image1.jpeg"/><Relationship Id="rId1" Type="http://schemas.openxmlformats.org/officeDocument/2006/relationships/chart" Target="../charts/chart84.xml"/><Relationship Id="rId5" Type="http://schemas.openxmlformats.org/officeDocument/2006/relationships/image" Target="../media/image6.sv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3714750</xdr:colOff>
      <xdr:row>2</xdr:row>
      <xdr:rowOff>17479</xdr:rowOff>
    </xdr:from>
    <xdr:to>
      <xdr:col>3</xdr:col>
      <xdr:colOff>421821</xdr:colOff>
      <xdr:row>3</xdr:row>
      <xdr:rowOff>274245</xdr:rowOff>
    </xdr:to>
    <xdr:pic>
      <xdr:nvPicPr>
        <xdr:cNvPr id="3" name="Imagen 2" descr="Logo">
          <a:extLst>
            <a:ext uri="{FF2B5EF4-FFF2-40B4-BE49-F238E27FC236}">
              <a16:creationId xmlns:a16="http://schemas.microsoft.com/office/drawing/2014/main" id="{E8A70B9A-2D69-4C26-B504-2178FE4076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35286" y="384872"/>
          <a:ext cx="1455964" cy="797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C3FDCDD1-87BF-4FB3-9656-150BE7F279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209550</xdr:colOff>
      <xdr:row>0</xdr:row>
      <xdr:rowOff>104775</xdr:rowOff>
    </xdr:from>
    <xdr:to>
      <xdr:col>2</xdr:col>
      <xdr:colOff>610906</xdr:colOff>
      <xdr:row>4</xdr:row>
      <xdr:rowOff>60159</xdr:rowOff>
    </xdr:to>
    <xdr:pic>
      <xdr:nvPicPr>
        <xdr:cNvPr id="4" name="Imagen 3">
          <a:extLst>
            <a:ext uri="{FF2B5EF4-FFF2-40B4-BE49-F238E27FC236}">
              <a16:creationId xmlns:a16="http://schemas.microsoft.com/office/drawing/2014/main" id="{F42217F2-974E-4EFC-A1EE-5D9743F4B0E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0" y="1047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653CBC3-9ED5-4189-9B2B-8A9010EB08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9F58CD8-F459-4798-9709-F3ECD86252E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88F61F0-AC3D-42CA-85FB-A0F448478D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B346D6C-54AD-45D8-9C97-371D355597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268936B-1566-4574-8F4D-B2F1CA8A7EF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712D974-9DCD-4939-86AC-5FABC229ED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21D716B-C640-4A2C-83FA-38E9384A6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B554486-BA49-4D87-911A-6F0FA5045B3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C09DA80-F79D-446A-B642-D60DF89817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6696BDD-B368-4EE7-A116-E4308D5D3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384B0DE-5951-4197-958D-44739E98DF8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8A76FC5-EFF5-43D1-882F-E999ACCD47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2B85F08-A614-456C-8682-1C9202D66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FB45E7B-F41C-4707-834F-878D59BE5A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7D30706-0F48-4C81-828D-8A4870269C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FB51CCE-7FDC-4C05-A8B2-3D3F8673C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93BC20D-8B2A-417F-A7BD-98C3A1AC1AE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AFC8DB9-C795-4721-A9DF-0A14864DC4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2EA39F1-EFC4-45D6-A3DD-7258AD710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31ADFA9-C0AA-42E3-9DE9-DE428219DDB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49C6263-5BC9-4AEB-8932-163A031169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7A7FC78-6E02-4450-9A3C-0DC3F8FAC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9F1CE24-89BE-44C8-BC56-63875108AA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494F16A-8040-4568-A0A9-97F68EB0C74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970E8A5-D280-4BC6-B8ED-9487EA74B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2828ADC-C7D9-4510-B274-D4D1B4B8C0A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CD5A97A-F867-4CD1-85CC-60C7068E4C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CD6B326-3D13-4E4A-8ADA-2D6C21227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F454CF3-658C-412C-B315-F98D09BEB91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BF34ACD-2022-47AD-A079-ACB1C6D862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84D2AD1-5DA3-4F9C-BE7F-87022D534C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228600</xdr:colOff>
      <xdr:row>0</xdr:row>
      <xdr:rowOff>142875</xdr:rowOff>
    </xdr:from>
    <xdr:to>
      <xdr:col>2</xdr:col>
      <xdr:colOff>629956</xdr:colOff>
      <xdr:row>4</xdr:row>
      <xdr:rowOff>98259</xdr:rowOff>
    </xdr:to>
    <xdr:pic>
      <xdr:nvPicPr>
        <xdr:cNvPr id="4" name="Imagen 3">
          <a:extLst>
            <a:ext uri="{FF2B5EF4-FFF2-40B4-BE49-F238E27FC236}">
              <a16:creationId xmlns:a16="http://schemas.microsoft.com/office/drawing/2014/main" id="{FC9D1E4E-1CB2-45C1-B2D1-B4B4EA5C8A0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6800"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4E50870-C913-4058-9E2C-F104A1485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0B989A2-CECE-4CD7-881F-0A98074E9C4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9FDC7C-3C99-4B60-9858-7D7AD53732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7FED307-F43D-4EEF-AF78-CFC60D532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4EC531C-0D97-4164-9E6E-183F254568F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9307ECA-EA74-4BC3-9D89-0217C8F07E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C1939C3-89C1-4F58-A82E-6D15D8A30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BA14591-6206-4BB8-B5E5-DF2A1EA1956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32A3E9B-0FE6-4673-9152-9A68D710D8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F851BEF-6FC8-412B-8663-D11627275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E4D96442-3B11-45BE-8A0A-0680DFADD0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E4474E0-91E2-4C9F-8952-00941145056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95D21C4-880E-4827-9B12-37AAAE7D6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8B70703-EAD1-4FD4-8BF7-383C5C43A99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1EA1CE8-B624-4106-ACB4-E20162329A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A30C74E-C5C5-447A-8812-2E72FA35E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75A27F7A-DDFB-4236-8642-7CE1BB2112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CD595FE-988F-4226-81F7-3851E495BE8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6009355-354B-432B-B70C-E10DB7249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52A7EDB-45D7-4CC7-B13D-1170E2F5638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887F65C-D35F-4DC0-A6D4-C9D3CF95BC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FE7E6FA-5DDD-4BE0-B8D8-AD0810853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AC073A8-7CEB-4A6E-BC81-212E4862D6E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A3A50DA-96CE-460D-A864-E9605846389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A40BF06-0D20-4D75-B3A5-77495E2C7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18DE462-4C2E-4D6D-9BAE-EDD14F5BC6C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AF96855-7F7D-4701-AD16-2A99F3B5A8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5243581-174D-4A46-961C-37CC9DD35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65382BE-C96C-47D7-97EF-BE6A2BA33AA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3979710-2569-45BE-977F-69B864F230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2</xdr:col>
      <xdr:colOff>47625</xdr:colOff>
      <xdr:row>8</xdr:row>
      <xdr:rowOff>161925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75A60C86-92B5-4F0E-AECD-6767FD24C5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209550</xdr:colOff>
      <xdr:row>0</xdr:row>
      <xdr:rowOff>133350</xdr:rowOff>
    </xdr:from>
    <xdr:to>
      <xdr:col>2</xdr:col>
      <xdr:colOff>725206</xdr:colOff>
      <xdr:row>4</xdr:row>
      <xdr:rowOff>88734</xdr:rowOff>
    </xdr:to>
    <xdr:pic>
      <xdr:nvPicPr>
        <xdr:cNvPr id="4" name="Imagen 3">
          <a:extLst>
            <a:ext uri="{FF2B5EF4-FFF2-40B4-BE49-F238E27FC236}">
              <a16:creationId xmlns:a16="http://schemas.microsoft.com/office/drawing/2014/main" id="{835834D2-95CF-4AAB-81A8-B84C0947ABE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66775" y="1333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B9AD4D9-D396-430B-BA49-7DA117980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37DA0FB-764A-4972-BB29-5C3B4ECBCF1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E539D16-3B07-4A5E-B267-43C51F7653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21DAE5F-E7F8-4318-850B-FE573352D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59909E2-400E-4279-AAA5-5C7A6B92F14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522F724-5B64-467F-8615-20C9AB43A5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C8D31D7-017A-4570-AB59-D45E5A4C3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E03E0CF-83FC-4BBD-AC99-E9220C74622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FFE1BCD-52CE-4B10-9154-78E5F24FD7D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122529A-EC30-4142-B4D8-C42F0269B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E9E58C8-D62D-483E-AAC8-BC50F8947AB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5873497-E8FE-40CF-B632-3D7BA4124C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04C06C9-11C9-401E-9286-352D3D2D2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4089D4A-D6EF-41A5-A02F-B5F8F9AC137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2C3EDFB-1C9E-4ECD-B74C-1BC2C6D88E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BAC326A-9347-4AA0-A301-9953F0DC9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C76CB7B-F905-4E16-9434-43C2AE2F3B3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84DAF98-91F2-4124-A321-5D30AFA3BFD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7F99B2D-B046-43E8-AF39-A17FA4A77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90E9019-10DE-44A6-8ACE-A64449FB0FF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546F508-1507-4B44-A2BD-E8E143F5FA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8ADAD3E-ED9F-4D74-9893-9BFC7D4B2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BA6EDA9-977C-432D-B30E-D77BC086109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7D02FF5-83C9-4C26-9B56-0992C8E950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6FF6791-6A53-4322-B4C1-BBE97B1F4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64B8EB7-E93E-4533-B989-EC130144B5F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69DE732-10D5-4402-8F5A-CA1DBB776F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175785D-4012-49AE-87BB-D3DC44EDD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345FECE-929C-4C85-92C0-EC5408B091E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2C4BB1C-B971-4341-AE39-302EE42172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EB194C1-0147-4795-8F9D-20436255EF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171450</xdr:colOff>
      <xdr:row>0</xdr:row>
      <xdr:rowOff>142875</xdr:rowOff>
    </xdr:from>
    <xdr:to>
      <xdr:col>2</xdr:col>
      <xdr:colOff>572806</xdr:colOff>
      <xdr:row>4</xdr:row>
      <xdr:rowOff>98259</xdr:rowOff>
    </xdr:to>
    <xdr:pic>
      <xdr:nvPicPr>
        <xdr:cNvPr id="4" name="Imagen 3">
          <a:extLst>
            <a:ext uri="{FF2B5EF4-FFF2-40B4-BE49-F238E27FC236}">
              <a16:creationId xmlns:a16="http://schemas.microsoft.com/office/drawing/2014/main" id="{7C277EE2-F65E-4EF1-AD8B-D65E365FD80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4375"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22AE493-D3F8-4924-9778-9027B3C8E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57776FB-4878-4C19-9213-DA065AAF190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DBF7EA2-323E-46F3-9B1F-A307E9FB36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F5DDFD6-52B5-4718-84D7-12A3FEA540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82930A2-702A-4DC1-9FF6-E22F9EA4F80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F5ACE89-4115-403D-BF0E-A33ED312925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AC542BC-3B8C-4975-A33E-0777AC2272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AB24732-7C33-48C9-BC1F-782763C7405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4E5004B-8A42-4D18-A477-B668F23433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1DC0ED0-C791-474D-A56C-0E33447E0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4E1C397-9F2B-4F4D-8C01-B59F0128D8F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EB6072A-BDB0-41AA-94A4-07D84B8D94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D38A4DA-63BC-456D-BC51-5E0E97BF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7202EAF-1B80-4F12-8744-9F0766487F7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09E4F70-6788-4F1D-AE79-ABCDA2A65E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06576D6-BEF1-4712-915D-00CA42299E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F63EA9E-704A-4EFA-AD07-47330570F64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06695B6-7B06-4212-848B-52D9478400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E6C6D46-EA10-4849-A158-E98030521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A237548-3A94-4827-96A3-3C16DB35405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78D1639-64D6-4582-A3AC-285445F355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852333B-52A4-4069-B135-91581FEFE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0F3C2E2-46BF-4AEA-875E-117E48E18F5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94CBF72-7D1B-4C73-80C1-ADB9421AEA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38738B9-66E0-4FC9-A026-32CDAD1C2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C5579EB-64CB-4F61-A41D-DB4AF8F1C8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C0262A7-C3F3-4932-BDD8-D33F87A120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4150C70-4190-46DC-9D7C-200D1C7D7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3" name="Imagen 2">
          <a:extLst>
            <a:ext uri="{FF2B5EF4-FFF2-40B4-BE49-F238E27FC236}">
              <a16:creationId xmlns:a16="http://schemas.microsoft.com/office/drawing/2014/main" id="{E4225191-11F3-41AD-B5AB-536349D7420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4C77E4B4-D5B4-4094-96BB-2B4EE0B70F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500DC1B-BD18-47F2-B679-090AA36EF4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85725</xdr:colOff>
      <xdr:row>0</xdr:row>
      <xdr:rowOff>152400</xdr:rowOff>
    </xdr:from>
    <xdr:to>
      <xdr:col>2</xdr:col>
      <xdr:colOff>483906</xdr:colOff>
      <xdr:row>4</xdr:row>
      <xdr:rowOff>104609</xdr:rowOff>
    </xdr:to>
    <xdr:pic>
      <xdr:nvPicPr>
        <xdr:cNvPr id="4" name="Imagen 3">
          <a:extLst>
            <a:ext uri="{FF2B5EF4-FFF2-40B4-BE49-F238E27FC236}">
              <a16:creationId xmlns:a16="http://schemas.microsoft.com/office/drawing/2014/main" id="{BB3E30C0-52D8-4F06-8C54-F7FD83D0C60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3925" y="15240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8600189-D986-49EE-9BD5-8573BA64B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2494A86-DEDB-4EB8-ABD2-D582B95EDBA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FD7C812-73D3-4903-A202-7D17B664E3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303C55B-3900-4BFD-AF0E-5E865222D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3A14BB3-7FE7-40DC-8F8F-7279F3635D3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B165F33-42CD-44AD-82D1-CBA33B2839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8E37BB1-AF1A-4D66-AB60-83D6DF81E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EA516AD-BDE3-4D6E-9FB0-D616E14097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6D7A146-B8EC-451C-92A7-4FBE2E5685B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7DD3963-5B42-4652-AB08-7CFB0350D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EC72B06-2A62-436C-8DE3-D1812CADD8C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4353CE1-82D1-4A4C-916E-79157E98345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C36A0D9-7C2E-44CE-8818-B8824520E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40F1F85-C8BC-4E1A-835E-5E3280C709E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4B8A911-279D-476D-A6CF-A925445B48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266700</xdr:colOff>
      <xdr:row>6</xdr:row>
      <xdr:rowOff>19050</xdr:rowOff>
    </xdr:from>
    <xdr:ext cx="504825" cy="504825"/>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F5FE376A-1575-4260-A696-D61346B30C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04900"/>
          <a:ext cx="504825" cy="504825"/>
        </a:xfrm>
        <a:prstGeom prst="rect">
          <a:avLst/>
        </a:prstGeom>
      </xdr:spPr>
    </xdr:pic>
    <xdr:clientData/>
  </xdr:oneCellAnchor>
  <xdr:oneCellAnchor>
    <xdr:from>
      <xdr:col>1</xdr:col>
      <xdr:colOff>171450</xdr:colOff>
      <xdr:row>0</xdr:row>
      <xdr:rowOff>152400</xdr:rowOff>
    </xdr:from>
    <xdr:ext cx="1239556" cy="679284"/>
    <xdr:pic>
      <xdr:nvPicPr>
        <xdr:cNvPr id="3" name="Imagen 2">
          <a:extLst>
            <a:ext uri="{FF2B5EF4-FFF2-40B4-BE49-F238E27FC236}">
              <a16:creationId xmlns:a16="http://schemas.microsoft.com/office/drawing/2014/main" id="{A0FD9B95-3A64-4DCB-B136-652B3D15B20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9650" y="15240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8C44745-0CE5-443B-9203-2A75736B3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58E3048D-A5F6-4D46-B33E-F1EB797C04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E3DD86C-CDAD-4587-B595-9DB05A6008E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A40B0DD-1E46-4CC9-B6EC-BA4D2917A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A33C361-246E-4BDB-AD69-ED113A642BA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16565</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09C7AF7-A952-47E3-B215-0A0C84786E2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6565" y="0"/>
          <a:ext cx="315058" cy="319524"/>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985B435-3279-4897-983E-1E6C6984A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3512E74-90AD-4715-96BA-301F7A1B42F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24848</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80A2011-6C83-4EB1-AB45-8A098302B9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24848" y="0"/>
          <a:ext cx="315058" cy="319524"/>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D4117AA-01FB-48DD-849D-306F9E81FE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10305EE-8F77-4591-8A9D-F22A6CAE834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16565</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4CBC6FE-8EF1-4352-9D9F-D9EB32CBEE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6565" y="0"/>
          <a:ext cx="315058" cy="31952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771525</xdr:colOff>
      <xdr:row>8</xdr:row>
      <xdr:rowOff>85725</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54D2125E-187B-47A1-9541-D3DF28FD9C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247650</xdr:colOff>
      <xdr:row>0</xdr:row>
      <xdr:rowOff>142875</xdr:rowOff>
    </xdr:from>
    <xdr:to>
      <xdr:col>2</xdr:col>
      <xdr:colOff>649006</xdr:colOff>
      <xdr:row>4</xdr:row>
      <xdr:rowOff>98259</xdr:rowOff>
    </xdr:to>
    <xdr:pic>
      <xdr:nvPicPr>
        <xdr:cNvPr id="3" name="Imagen 2" descr="logo&#10;">
          <a:extLst>
            <a:ext uri="{FF2B5EF4-FFF2-40B4-BE49-F238E27FC236}">
              <a16:creationId xmlns:a16="http://schemas.microsoft.com/office/drawing/2014/main" id="{C9692D21-EF61-4D55-8909-1456C9AB571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85850" y="1428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AABA572-5EDD-4F69-B4A0-58106C88D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3" name="Imagen 2">
          <a:extLst>
            <a:ext uri="{FF2B5EF4-FFF2-40B4-BE49-F238E27FC236}">
              <a16:creationId xmlns:a16="http://schemas.microsoft.com/office/drawing/2014/main" id="{8AC80F52-8763-442C-A861-1935694F3E0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24848</xdr:colOff>
      <xdr:row>0</xdr:row>
      <xdr:rowOff>0</xdr:rowOff>
    </xdr:from>
    <xdr:ext cx="315058" cy="319524"/>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24D3E3BA-5B4C-4BEA-83B7-7C49ABD649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24848" y="0"/>
          <a:ext cx="315058" cy="319524"/>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68383C4-D594-4879-AC82-75CD0CFD0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F54FEF50-EB0A-4944-95E3-27134C5361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350D965-6EBD-44B8-879C-2282EABD237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A34773C-F02F-406D-87CE-71EAC4BA13E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12239DFE-9FC1-4AF9-B309-C0B7E2A7B68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twoCellAnchor>
    <xdr:from>
      <xdr:col>4</xdr:col>
      <xdr:colOff>114300</xdr:colOff>
      <xdr:row>24</xdr:row>
      <xdr:rowOff>95250</xdr:rowOff>
    </xdr:from>
    <xdr:to>
      <xdr:col>14</xdr:col>
      <xdr:colOff>618001</xdr:colOff>
      <xdr:row>37</xdr:row>
      <xdr:rowOff>133351</xdr:rowOff>
    </xdr:to>
    <xdr:graphicFrame macro="">
      <xdr:nvGraphicFramePr>
        <xdr:cNvPr id="3" name="Gráfico 3" descr="Gráfica que muestra el porcentaje de avance o cumplimiento del indicador">
          <a:extLst>
            <a:ext uri="{FF2B5EF4-FFF2-40B4-BE49-F238E27FC236}">
              <a16:creationId xmlns:a16="http://schemas.microsoft.com/office/drawing/2014/main" id="{0B733C36-9130-480C-8DF3-25D058B9D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EB48E60-4785-4B81-9B10-BCAE9A810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DD6F8D0-079B-47B2-9A41-97F7317205F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3D76C14-49DD-4CF7-B931-E79B739D1D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096A52D-8C34-4387-8C51-4EAAB128D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3D551A6-3036-4121-A2C4-060BA027552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0CE89B0-1B09-42D3-BF9D-480AACD158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845857C-DB6E-4482-B631-990C141573D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8283</xdr:colOff>
      <xdr:row>0</xdr:row>
      <xdr:rowOff>0</xdr:rowOff>
    </xdr:from>
    <xdr:ext cx="315058" cy="319524"/>
    <xdr:pic>
      <xdr:nvPicPr>
        <xdr:cNvPr id="5" name="Gráfico 4" descr="Hogar con relleno sólido">
          <a:hlinkClick xmlns:r="http://schemas.openxmlformats.org/officeDocument/2006/relationships" r:id="rId2" tooltip="Indicadores"/>
          <a:extLst>
            <a:ext uri="{FF2B5EF4-FFF2-40B4-BE49-F238E27FC236}">
              <a16:creationId xmlns:a16="http://schemas.microsoft.com/office/drawing/2014/main" id="{51578B19-6385-4D4B-ABD7-4B0BEC19A0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283" y="0"/>
          <a:ext cx="315058" cy="319524"/>
        </a:xfrm>
        <a:prstGeom prst="rect">
          <a:avLst/>
        </a:prstGeom>
      </xdr:spPr>
    </xdr:pic>
    <xdr:clientData/>
  </xdr:oneCellAnchor>
  <xdr:twoCellAnchor>
    <xdr:from>
      <xdr:col>4</xdr:col>
      <xdr:colOff>76200</xdr:colOff>
      <xdr:row>24</xdr:row>
      <xdr:rowOff>47625</xdr:rowOff>
    </xdr:from>
    <xdr:to>
      <xdr:col>14</xdr:col>
      <xdr:colOff>579901</xdr:colOff>
      <xdr:row>37</xdr:row>
      <xdr:rowOff>85726</xdr:rowOff>
    </xdr:to>
    <xdr:graphicFrame macro="">
      <xdr:nvGraphicFramePr>
        <xdr:cNvPr id="3" name="Gráfico 3" descr="Gráfica que muestra el porcentaje de avance o cumplimiento del indicador">
          <a:extLst>
            <a:ext uri="{FF2B5EF4-FFF2-40B4-BE49-F238E27FC236}">
              <a16:creationId xmlns:a16="http://schemas.microsoft.com/office/drawing/2014/main" id="{5EF2D401-6D28-4A07-A650-3744BF5E8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5812329-5402-4473-B302-44C8A79704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8B79E5A-6290-46C2-8B4C-0441A59DCE9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8283</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C0CFD88-8B30-42DB-947B-8709EA7660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283" y="0"/>
          <a:ext cx="315058" cy="319524"/>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4B5D2AC-ADC5-4522-9013-4188FF9DA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E12BD38A-D640-4BA8-BBF2-C224DFC05E9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0888E8C1-5DCA-40BC-A6C1-43540DE5B6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E76BDF4-1B40-46AC-B3CC-856947AF4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44E242F-9D5D-41FB-A1B0-45F1F9E150C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5C1DA5F-AE87-4822-B254-EB384DD1F0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CF83421-ACE2-485D-80D5-6F85F4F25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72A55C2A-6FFF-40A4-886E-FBB237A04D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19BEEF0-E21E-44FC-833A-060DCD771A5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304800</xdr:colOff>
      <xdr:row>6</xdr:row>
      <xdr:rowOff>57150</xdr:rowOff>
    </xdr:from>
    <xdr:to>
      <xdr:col>1</xdr:col>
      <xdr:colOff>806450</xdr:colOff>
      <xdr:row>8</xdr:row>
      <xdr:rowOff>120650</xdr:rowOff>
    </xdr:to>
    <xdr:pic>
      <xdr:nvPicPr>
        <xdr:cNvPr id="6" name="Gráfico 5" descr="Casa con relleno sólido">
          <a:hlinkClick xmlns:r="http://schemas.openxmlformats.org/officeDocument/2006/relationships" r:id="rId1" tooltip="Dependencias"/>
          <a:extLst>
            <a:ext uri="{FF2B5EF4-FFF2-40B4-BE49-F238E27FC236}">
              <a16:creationId xmlns:a16="http://schemas.microsoft.com/office/drawing/2014/main" id="{3E12F883-E0A9-4908-BC96-FD600E3C02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43000" y="1152525"/>
          <a:ext cx="504825" cy="504825"/>
        </a:xfrm>
        <a:prstGeom prst="rect">
          <a:avLst/>
        </a:prstGeom>
      </xdr:spPr>
    </xdr:pic>
    <xdr:clientData/>
  </xdr:twoCellAnchor>
  <xdr:twoCellAnchor editAs="oneCell">
    <xdr:from>
      <xdr:col>1</xdr:col>
      <xdr:colOff>209550</xdr:colOff>
      <xdr:row>0</xdr:row>
      <xdr:rowOff>104775</xdr:rowOff>
    </xdr:from>
    <xdr:to>
      <xdr:col>2</xdr:col>
      <xdr:colOff>610906</xdr:colOff>
      <xdr:row>4</xdr:row>
      <xdr:rowOff>60159</xdr:rowOff>
    </xdr:to>
    <xdr:pic>
      <xdr:nvPicPr>
        <xdr:cNvPr id="2" name="Imagen 1">
          <a:extLst>
            <a:ext uri="{FF2B5EF4-FFF2-40B4-BE49-F238E27FC236}">
              <a16:creationId xmlns:a16="http://schemas.microsoft.com/office/drawing/2014/main" id="{3158476C-85AC-4CCC-BC65-9ED8B151D65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0" y="1047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72C3861-31C5-4C07-A180-F145B64B4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BB8D7B5-EB7C-42B0-8C5C-75E81020C62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52B850B2-FFF2-4398-882D-5CA5EE6101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77790DB-7A4A-4737-B797-8CB400552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AE3CC61-FA57-49AC-A952-DC7476B401B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C466C88-EF5D-4C6B-B2EE-9AEFB2F213A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F6FBE7A-E9E1-46C4-B2E5-3575BE418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D975CAF-19EC-4205-8D00-A071A3FDB64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71BDF5F-DA19-41FE-B2A0-B6E84B55B3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CB90F35-41C3-4829-B6BB-C8103FBEC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DD70502C-D765-49E6-909F-6F042B42F71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D26D2DC-257C-40ED-9FBA-34141D5856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4A912E8-1381-4632-9994-FC7047938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A459547-A885-42D0-ABF3-E2E749ED747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6255E5D-91C8-4AB3-ADB2-75A2AF6D7F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F3A014A-9B02-42D4-96A1-BABDD7632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C2D106A-C653-4C4C-98B4-592D99E3847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5D4B964-C05B-4F34-85E5-5CCDC8FCB1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012A275-F4CE-4474-93F5-5524EA20B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607FF9C-619A-4710-8E78-5D1C197EE2C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11D17B2-31B1-4869-ADF0-1C543926C7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B76E8CC-A7CC-4B1B-9304-B9A841027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9EA91A3-D062-44C9-8901-050D9349FB2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EC628F5-C099-43FE-B182-58BCEB809A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5262AC9-9229-42AA-AF66-7FB6A8D82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8629CF9-6C7E-4E3C-AD10-85B54926741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38C0A70-9414-4D99-9095-1745637D95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95B26C1-CC62-4C8B-8479-4BA9962D0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D95D389-6C33-44F4-8721-48E17358CC9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7" name="Gráfico 6" descr="Hogar con relleno sólido">
          <a:hlinkClick xmlns:r="http://schemas.openxmlformats.org/officeDocument/2006/relationships" r:id="rId3" tooltip="Indicadores"/>
          <a:extLst>
            <a:ext uri="{FF2B5EF4-FFF2-40B4-BE49-F238E27FC236}">
              <a16:creationId xmlns:a16="http://schemas.microsoft.com/office/drawing/2014/main" id="{E762AE13-2C10-4FE0-8C80-8AA3E28FCB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E9EAD11A-1E97-4EDE-A6EB-4752D3DA21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133350</xdr:colOff>
      <xdr:row>1</xdr:row>
      <xdr:rowOff>0</xdr:rowOff>
    </xdr:from>
    <xdr:to>
      <xdr:col>2</xdr:col>
      <xdr:colOff>534706</xdr:colOff>
      <xdr:row>4</xdr:row>
      <xdr:rowOff>136359</xdr:rowOff>
    </xdr:to>
    <xdr:pic>
      <xdr:nvPicPr>
        <xdr:cNvPr id="4" name="Imagen 3">
          <a:extLst>
            <a:ext uri="{FF2B5EF4-FFF2-40B4-BE49-F238E27FC236}">
              <a16:creationId xmlns:a16="http://schemas.microsoft.com/office/drawing/2014/main" id="{C2203983-4F36-41DA-948A-1CFB7DFE166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1550" y="18097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43ABEA6-3AA2-4EC7-8C50-B4F602405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93F8EA4-F23B-4286-987C-02D44BA2176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816D3A8-2DC9-44EB-B1E3-B211AA9F4A1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6AB2255-5D28-42CD-82A3-DE4E690C5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271B343-68A8-4ABF-99D6-C6967C17205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2D68A95-E470-4D1B-B478-AC94DE1EE1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C88C8AC-DFAB-4BF0-81AE-241B389AE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0FC5B57-EC9E-4EE9-AFD0-4BBF116CC63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3280451-B34D-4A9C-AC0C-253B2DB6E5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0170724-DC08-434C-B5C3-2E1B3DE9B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E788746-4AFC-4636-AB79-B2C83DC5623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34BA0247-30CF-4F06-8AD2-C600E9B426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FCCAD6F-9627-41F0-B21E-437DDAB2B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6025F77-B84C-46F3-A082-7C75F8D6A92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179B876-5A31-47A7-97D2-88BB67B1CC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CCCE4A0-0CB7-48F0-BF44-11FED3732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E0495B6-A4AA-4938-A358-0AB94B86393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4504064-658E-4C93-B959-7D8DDC5922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8240DBD-4D63-4900-8990-D32C8F101E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AC76404-9EEF-4CA5-91A1-F951ED8D82E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9C7A0E16-A4C7-479B-8D7F-6CE4263FAE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C53E9EE-1A3C-4E9D-82D0-8E3D0BF5C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957BD28-2B2A-4485-8244-6E41FE5FCE19}"/>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2124DFF-302B-46E8-8491-3668585F816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1E6DB8C-0994-4FEE-B41F-48C38D4E5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BD6C515-F6D5-4071-8A05-101990E1CA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DC06AA5-EB65-4988-9E43-52CE9B7E558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DD2C4F5-ACB9-4EB4-A397-8763D7167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3" name="Imagen 2">
          <a:extLst>
            <a:ext uri="{FF2B5EF4-FFF2-40B4-BE49-F238E27FC236}">
              <a16:creationId xmlns:a16="http://schemas.microsoft.com/office/drawing/2014/main" id="{1FEC5C49-F1EC-40ED-870F-379A08894987}"/>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4" name="Gráfico 3" descr="Hogar con relleno sólido">
          <a:hlinkClick xmlns:r="http://schemas.openxmlformats.org/officeDocument/2006/relationships" r:id="rId3" tooltip="Indicadores"/>
          <a:extLst>
            <a:ext uri="{FF2B5EF4-FFF2-40B4-BE49-F238E27FC236}">
              <a16:creationId xmlns:a16="http://schemas.microsoft.com/office/drawing/2014/main" id="{78EBDC44-7448-45AE-BCD6-A6F8289A0A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4068DE28-C5E9-42F4-B5D0-3EC75E40C9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200025</xdr:colOff>
      <xdr:row>0</xdr:row>
      <xdr:rowOff>152400</xdr:rowOff>
    </xdr:from>
    <xdr:to>
      <xdr:col>2</xdr:col>
      <xdr:colOff>598206</xdr:colOff>
      <xdr:row>4</xdr:row>
      <xdr:rowOff>104609</xdr:rowOff>
    </xdr:to>
    <xdr:pic>
      <xdr:nvPicPr>
        <xdr:cNvPr id="4" name="Imagen 3">
          <a:extLst>
            <a:ext uri="{FF2B5EF4-FFF2-40B4-BE49-F238E27FC236}">
              <a16:creationId xmlns:a16="http://schemas.microsoft.com/office/drawing/2014/main" id="{4F27A96A-3614-4B94-81E1-D8C0AE55F30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8225" y="15240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601B481-AF2D-4AC4-9108-337C69226F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0AFD3B5-A9D5-4C98-A2C6-8D848DFBA4F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12150ED-946E-4621-B240-982879F4F4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5F758C6-1406-4F0A-851B-A84B87D48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763DB6E-D02D-437D-925D-37E4E325C0A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633E518-6D46-4A97-B233-7BCC0ED72C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99AED9B-D397-4DF0-B470-68EB0CA24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4E78379-81FD-4F12-89C7-26237A4A0711}"/>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64B2563-4B95-44D4-82F9-0BBBD2AD3F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C9CE3D6-4709-468C-8809-C4A34A432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408A9A1-0321-452B-9D95-F3D662F5B83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6" name="Gráfico 5" descr="Hogar con relleno sólido">
          <a:hlinkClick xmlns:r="http://schemas.openxmlformats.org/officeDocument/2006/relationships" r:id="rId3" tooltip="Indicadores"/>
          <a:extLst>
            <a:ext uri="{FF2B5EF4-FFF2-40B4-BE49-F238E27FC236}">
              <a16:creationId xmlns:a16="http://schemas.microsoft.com/office/drawing/2014/main" id="{2AFB49E5-0C86-4937-BDCE-691A6EDBC8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217A9B9-7424-49A9-9E36-00AD5813FA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63F220B-BA48-4FB3-8F76-1D02B00B8ED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37FD040-479C-46C3-A0CA-28D9094129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23DC4C2-686F-4F48-86CD-B05B5E1B1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2DAA47F-33C6-4229-9D7E-FCCE32F650F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745F5C3-2E01-4633-AC89-BC2148DC7C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1C4F03B-0C4C-456B-962C-50477136A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59E3C5D-7EC0-4EEE-83CA-FA9F28293F4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00E12D5-89E6-457E-BAFA-2A3046B3E3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6293E16-902D-4360-8E37-BCF403446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E3930F3-16AE-4894-ABA4-E217910D1F4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2ABCEE5-944E-460B-A644-D85E3486FA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84B4663-BCB0-4C39-9C4B-582EE84A5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8E11C10-18CC-4792-8727-653463E2201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EDEB7E0-0FB4-4F7D-9738-4973ED9389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3A9FEBF-C997-4FD3-9B6F-53F7383E8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36CE3E5-00DC-4277-B2CF-CFC6A0E3726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AE57FF07-55E2-478E-9956-8BA52FD1D6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5921DD14-7EAB-4D62-8A63-D50F2C3AC9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190500</xdr:colOff>
      <xdr:row>0</xdr:row>
      <xdr:rowOff>171450</xdr:rowOff>
    </xdr:from>
    <xdr:to>
      <xdr:col>2</xdr:col>
      <xdr:colOff>591856</xdr:colOff>
      <xdr:row>4</xdr:row>
      <xdr:rowOff>123659</xdr:rowOff>
    </xdr:to>
    <xdr:pic>
      <xdr:nvPicPr>
        <xdr:cNvPr id="4" name="Imagen 3">
          <a:extLst>
            <a:ext uri="{FF2B5EF4-FFF2-40B4-BE49-F238E27FC236}">
              <a16:creationId xmlns:a16="http://schemas.microsoft.com/office/drawing/2014/main" id="{24F73B1E-BF1C-4C9A-AC55-A7DC097391C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28700" y="1714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22E66F0-98F0-45FA-8438-677D83D88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6FEDC2E-E163-4B2D-BA8F-279DDBF904A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B85B203-F488-455A-B384-5C074115CA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33D638F-2BF6-4D7A-BEF3-E2BC78664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FD3CD7F-4846-4D14-BBC0-26226DD2DAC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CEE1787-4F40-4960-9DC7-F88D634475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4</xdr:col>
      <xdr:colOff>101266</xdr:colOff>
      <xdr:row>24</xdr:row>
      <xdr:rowOff>1873</xdr:rowOff>
    </xdr:from>
    <xdr:to>
      <xdr:col>14</xdr:col>
      <xdr:colOff>604967</xdr:colOff>
      <xdr:row>37</xdr:row>
      <xdr:rowOff>39974</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EF9B082-D37B-49C0-9F64-2E5CF180C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3E64B33-23AB-471A-BFB9-65FD39BC12A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BE7E2894-01BE-42EB-9CBE-267B2A93A4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0AD9224-464E-4ABF-AD7B-2768A7CC1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A433349-5755-4508-B1E9-7D611161B61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5A809E6-702F-4A0C-88C9-B8B575D78D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4841047-0997-463E-8DB4-9189C5926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28F08F35-8DC5-41A8-BC73-7579CEFB775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D7040B7-F42B-4172-B5D2-53AF1DC40B7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0924953A-28A5-4869-BBB9-AD1AEE6BF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26BBF83-2473-4201-9A48-96BF3A1F847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B047B14-CCAF-4BD3-ACA1-909091D36E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4B6EEAC-E2DC-4F3C-8775-C9391DB05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2C3DE7A-AE2E-429F-92F0-F9CE2E7022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E0E8388-71B3-4A1F-9D7D-04F5B1B1B5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4549007-4DDB-4AD2-9497-771AC03BF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2BC9736-0A67-43CA-A610-C9E003F9AF7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CCB91F6-EAC8-41B5-B3DE-260782380E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CA12792-20E5-47D5-8058-145AFF5FF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BE7339E-C2E8-46D9-B458-9663306C56A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87EFF1F-A178-450E-994D-0526729447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D11A9FE-871A-48BE-AC8B-60D562AEE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00F136C-CAA2-4572-AED7-5D84024FCB8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18635</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74DD92CC-0E27-413E-979D-4C8657476A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18635" y="0"/>
          <a:ext cx="315058" cy="31952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158750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8F8B9851-097C-4D3C-B4C7-77D30A2E38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180975</xdr:colOff>
      <xdr:row>0</xdr:row>
      <xdr:rowOff>133350</xdr:rowOff>
    </xdr:from>
    <xdr:to>
      <xdr:col>2</xdr:col>
      <xdr:colOff>582331</xdr:colOff>
      <xdr:row>4</xdr:row>
      <xdr:rowOff>88734</xdr:rowOff>
    </xdr:to>
    <xdr:pic>
      <xdr:nvPicPr>
        <xdr:cNvPr id="4" name="Imagen 3">
          <a:extLst>
            <a:ext uri="{FF2B5EF4-FFF2-40B4-BE49-F238E27FC236}">
              <a16:creationId xmlns:a16="http://schemas.microsoft.com/office/drawing/2014/main" id="{75427924-0824-4239-9364-98859477C47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9175" y="1333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6436CDE-D5E4-4589-A26D-B65BA23B83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50CBDFBF-00BD-4C2E-8D07-FCCD71EA9A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1C29AE48-D0F2-47AC-9244-66070BA0200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FE942F51-B276-49F4-9F02-03CF7D013C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F506575-4DD1-47F7-B6EC-421063B5646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9C549A8-627C-43C1-A1F6-ABCC8F7762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2EC0804-5988-4DFE-AB2B-D863EC4F3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3513FC43-173E-451B-9211-52F960B9D5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26E9722-D049-49D5-8702-14A73548FDB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32424B0-7BE5-4AF4-A77E-F6FC1B437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619C7B25-4638-4025-AC51-45092CA688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DCA9A66-47DB-408F-A387-7D9CF774174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D839353-4130-4CC8-818D-2A38A48F2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8C98DE8E-EC3B-4DE8-90C1-82341904BA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A266CE9D-3D66-4B50-9623-CF30248CD05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D7054AC-8C69-4BD4-B9A8-73E053525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11578748-0FBB-4681-AE39-34B38B7EBC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108ACB2-1EEE-4197-93FC-EB72F82D42F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D9B6AC13-7EC9-44E7-B8FE-89F4E0C40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6EED949D-A608-4B56-9B6D-111AB5493C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0FB3E34-E0E3-4B43-B6E6-67F89BEDBD8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513DF60-7362-48E2-A111-0BF93D7BB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23BA0031-A886-4876-9331-D74D1BD2BB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644E6B3-8578-4861-A2F1-A32F339FB53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E147BFD-9369-42A1-BE08-C50CC72A5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36B16ACC-B638-4199-9B60-C0B8393DD8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756E23E-5C90-4C3A-9708-1B8DA44A29B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662ED6E8-E299-4EA2-8BA4-30B0E377E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E526D726-0FF4-48EE-931F-3BB2942CB3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44A2726-F6BF-47EA-BF63-2CE95F69672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257175</xdr:colOff>
      <xdr:row>6</xdr:row>
      <xdr:rowOff>9525</xdr:rowOff>
    </xdr:from>
    <xdr:to>
      <xdr:col>1</xdr:col>
      <xdr:colOff>762000</xdr:colOff>
      <xdr:row>8</xdr:row>
      <xdr:rowOff>76200</xdr:rowOff>
    </xdr:to>
    <xdr:pic>
      <xdr:nvPicPr>
        <xdr:cNvPr id="4" name="Gráfico 3" descr="Casa con relleno sólido">
          <a:hlinkClick xmlns:r="http://schemas.openxmlformats.org/officeDocument/2006/relationships" r:id="rId1" tooltip="Dependencias"/>
          <a:extLst>
            <a:ext uri="{FF2B5EF4-FFF2-40B4-BE49-F238E27FC236}">
              <a16:creationId xmlns:a16="http://schemas.microsoft.com/office/drawing/2014/main" id="{EA39ED91-DA04-4F3E-90C1-C220170B20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95375" y="1104900"/>
          <a:ext cx="504825" cy="504825"/>
        </a:xfrm>
        <a:prstGeom prst="rect">
          <a:avLst/>
        </a:prstGeom>
      </xdr:spPr>
    </xdr:pic>
    <xdr:clientData/>
  </xdr:twoCellAnchor>
  <xdr:twoCellAnchor editAs="oneCell">
    <xdr:from>
      <xdr:col>1</xdr:col>
      <xdr:colOff>142875</xdr:colOff>
      <xdr:row>0</xdr:row>
      <xdr:rowOff>123825</xdr:rowOff>
    </xdr:from>
    <xdr:to>
      <xdr:col>2</xdr:col>
      <xdr:colOff>544231</xdr:colOff>
      <xdr:row>4</xdr:row>
      <xdr:rowOff>79209</xdr:rowOff>
    </xdr:to>
    <xdr:pic>
      <xdr:nvPicPr>
        <xdr:cNvPr id="2" name="Imagen 1">
          <a:extLst>
            <a:ext uri="{FF2B5EF4-FFF2-40B4-BE49-F238E27FC236}">
              <a16:creationId xmlns:a16="http://schemas.microsoft.com/office/drawing/2014/main" id="{9AE7B97B-030C-4C7A-AC6F-6825AA626C1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81075" y="123825"/>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F98B2EA-A8D4-46EA-A1AC-0804F5BEA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D69649FC-FA7E-4419-928C-DB9840C7C2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998F0FF-DF87-4AC1-A7A8-C983F1B7A632}"/>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C79DC1D-96AB-48E3-9F94-1FA7D810B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6AA5A3FE-53E7-4590-A107-1E7E0398CBF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9175144-2CA7-4117-A582-28EC4A00CE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A814BAD-FA3F-4641-8BA1-DB4CB3BF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9E6BD84F-9D4F-4E7B-A716-EC4820C2141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8282</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C72BC5C-4F53-47A5-93AE-96E8D1CAC8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282" y="0"/>
          <a:ext cx="315058" cy="319524"/>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7DE37A2A-78E3-4BBE-BA31-9A89510BD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33979954-415D-4CEE-B88D-3ACE137D704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3D3AF43-7C9B-4058-86E9-481FE5B1A23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CCC689BE-C160-47D9-B172-AB03186D5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E38543CE-D47E-4399-975A-E9DF276D8A3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08156AF-B799-4F53-97AB-946320312AE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B449AE1-D607-4AD8-BF6B-C6235CBB5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CA818C98-B775-4F00-8F35-F70DF01959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5352D4D4-062C-4F53-9264-A49B5087449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9C1C0572-9698-4ACD-955A-D091FDCBCC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2AAEF008-D6D7-40D9-A22F-89659FEA5D2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F85BE2E0-A0F1-44A6-891E-969171A471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B5CD058E-52C2-4380-BCE3-76B4DF53E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5C0BFC1-141A-4EA8-8728-935C58165A1C}"/>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8E617E2E-E379-47D1-B0C5-31FA95F24C3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4262F3C0-6644-401D-B3B5-6821B3898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EB3F23AC-C41F-4028-8850-2E99503A434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7579FF2-81ED-48EC-B9DE-C7C5ED4AF2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08A7D4C-C414-4766-8D1F-CD22B1315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476E64C5-7650-4BBC-B0CB-0257F8798CE8}"/>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26B2B37-4EC6-4070-8196-9D97003B8A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266700</xdr:colOff>
      <xdr:row>6</xdr:row>
      <xdr:rowOff>19050</xdr:rowOff>
    </xdr:from>
    <xdr:to>
      <xdr:col>1</xdr:col>
      <xdr:colOff>768350</xdr:colOff>
      <xdr:row>8</xdr:row>
      <xdr:rowOff>82550</xdr:rowOff>
    </xdr:to>
    <xdr:pic>
      <xdr:nvPicPr>
        <xdr:cNvPr id="2" name="Gráfico 1" descr="Casa con relleno sólido">
          <a:hlinkClick xmlns:r="http://schemas.openxmlformats.org/officeDocument/2006/relationships" r:id="rId1" tooltip="Dependencias"/>
          <a:extLst>
            <a:ext uri="{FF2B5EF4-FFF2-40B4-BE49-F238E27FC236}">
              <a16:creationId xmlns:a16="http://schemas.microsoft.com/office/drawing/2014/main" id="{321AA703-DDA1-4832-AE22-AAF5912D24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04900" y="1114425"/>
          <a:ext cx="504825" cy="504825"/>
        </a:xfrm>
        <a:prstGeom prst="rect">
          <a:avLst/>
        </a:prstGeom>
      </xdr:spPr>
    </xdr:pic>
    <xdr:clientData/>
  </xdr:twoCellAnchor>
  <xdr:twoCellAnchor editAs="oneCell">
    <xdr:from>
      <xdr:col>1</xdr:col>
      <xdr:colOff>133350</xdr:colOff>
      <xdr:row>0</xdr:row>
      <xdr:rowOff>133350</xdr:rowOff>
    </xdr:from>
    <xdr:to>
      <xdr:col>2</xdr:col>
      <xdr:colOff>534706</xdr:colOff>
      <xdr:row>4</xdr:row>
      <xdr:rowOff>85559</xdr:rowOff>
    </xdr:to>
    <xdr:pic>
      <xdr:nvPicPr>
        <xdr:cNvPr id="4" name="Imagen 3">
          <a:extLst>
            <a:ext uri="{FF2B5EF4-FFF2-40B4-BE49-F238E27FC236}">
              <a16:creationId xmlns:a16="http://schemas.microsoft.com/office/drawing/2014/main" id="{7976374D-53C2-4F33-9CF8-2AD728BB6CD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1550" y="133350"/>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1BE9EBFF-7DF7-4487-9F9A-72414F2B4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3D646269-F4B4-4C41-A6B0-D9ABFBB9E1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C5FF65B0-3CCD-457E-81BF-973AE43969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6968A88-D6C1-40CE-B734-FF9C6975A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C7090A54-CAB7-4FE7-9388-F8C4831658E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E31577B2-BE75-4C6A-B626-A3E73C07F14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2ED08985-1E86-40F4-B49F-A7EB08C45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15058" cy="319524"/>
    <xdr:pic>
      <xdr:nvPicPr>
        <xdr:cNvPr id="3" name="Gráfico 2" descr="Hogar con relleno sólido">
          <a:hlinkClick xmlns:r="http://schemas.openxmlformats.org/officeDocument/2006/relationships" r:id="rId2" tooltip="Indicadores"/>
          <a:extLst>
            <a:ext uri="{FF2B5EF4-FFF2-40B4-BE49-F238E27FC236}">
              <a16:creationId xmlns:a16="http://schemas.microsoft.com/office/drawing/2014/main" id="{71C27639-DEF8-408E-A206-DB3C6BD9AA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0" y="0"/>
          <a:ext cx="315058" cy="319524"/>
        </a:xfrm>
        <a:prstGeom prst="rect">
          <a:avLst/>
        </a:prstGeom>
      </xdr:spPr>
    </xdr:pic>
    <xdr:clientData/>
  </xdr:one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BC6F3A38-7843-49E0-A368-35C9466492F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3.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56683E8-43B1-4069-97AD-17F650263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02BE47B3-CC50-430A-8D65-016C1B6465B5}"/>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8283</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41283BCF-5D35-43C8-A770-310FFE2E17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8283" y="0"/>
          <a:ext cx="315058" cy="319524"/>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E48DB49D-F829-4619-B926-AC1E58BDC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77667248-2047-4087-914C-363438BB233E}"/>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563C981E-7975-48D9-A8E1-B726A58FB5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2931BDB-A2C4-46FD-AEFC-9261CE4F5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453DED5-A937-4842-961E-A7ABD3E4167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172A5295-822C-457C-8847-A5C19000F5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3FB3BEA8-2041-4A1D-9C46-62956F6CC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F4C39A34-A652-43C1-93E6-4A2BCCF16CE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2C90A760-B4DB-443B-899A-07D4F215602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52B96316-D419-4A94-AA48-C2F1383B5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9EEA6A2-C088-4EED-8155-41876DE7053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434C284-1F4D-46ED-8AED-0855B28550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853D6530-91C5-4CDE-AE19-15D0008C6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52C3C1A-4EBC-4E45-91B6-71DA0298132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D32307C6-20FA-4021-9D4D-2728DFE0F6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twoCellAnchor>
    <xdr:from>
      <xdr:col>4</xdr:col>
      <xdr:colOff>91741</xdr:colOff>
      <xdr:row>24</xdr:row>
      <xdr:rowOff>30448</xdr:rowOff>
    </xdr:from>
    <xdr:to>
      <xdr:col>14</xdr:col>
      <xdr:colOff>595442</xdr:colOff>
      <xdr:row>37</xdr:row>
      <xdr:rowOff>68549</xdr:rowOff>
    </xdr:to>
    <xdr:graphicFrame macro="">
      <xdr:nvGraphicFramePr>
        <xdr:cNvPr id="2" name="Gráfico 3" descr="Gráfica que muestra el porcentaje de avance o cumplimiento del indicador">
          <a:extLst>
            <a:ext uri="{FF2B5EF4-FFF2-40B4-BE49-F238E27FC236}">
              <a16:creationId xmlns:a16="http://schemas.microsoft.com/office/drawing/2014/main" id="{ADE20B5E-BC26-4B83-BE93-6CF5D4472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456678</xdr:colOff>
      <xdr:row>0</xdr:row>
      <xdr:rowOff>55796</xdr:rowOff>
    </xdr:from>
    <xdr:ext cx="1239556" cy="679284"/>
    <xdr:pic>
      <xdr:nvPicPr>
        <xdr:cNvPr id="4" name="Imagen 3">
          <a:extLst>
            <a:ext uri="{FF2B5EF4-FFF2-40B4-BE49-F238E27FC236}">
              <a16:creationId xmlns:a16="http://schemas.microsoft.com/office/drawing/2014/main" id="{8C7ECF47-059A-4EBA-8BC7-3978BC5C829D}"/>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6678" y="55796"/>
          <a:ext cx="1239556" cy="6792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15058" cy="319524"/>
    <xdr:pic>
      <xdr:nvPicPr>
        <xdr:cNvPr id="5" name="Gráfico 4" descr="Hogar con relleno sólido">
          <a:hlinkClick xmlns:r="http://schemas.openxmlformats.org/officeDocument/2006/relationships" r:id="rId3" tooltip="Indicadores"/>
          <a:extLst>
            <a:ext uri="{FF2B5EF4-FFF2-40B4-BE49-F238E27FC236}">
              <a16:creationId xmlns:a16="http://schemas.microsoft.com/office/drawing/2014/main" id="{6C524E73-A73D-4730-AE66-52E7AE6B85E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0" y="0"/>
          <a:ext cx="315058" cy="31952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ocs.supersalud.gov.co/Users/henry.lozano/AppData/Local/Microsoft/Windows/Temporary%20Internet%20Files/Content.Outlook/WBVJ2HCU/REV%20ULT%20%20ARMONIZACION%20DE%20INDICADORES%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SCAR~1.RO~/AppData/Local/Temp/notes5F2EEF/Users/MAYERL~1.BAL/AppData/Local/Temp/notes5F2EEF/Users/jorge.bustos/Downloads/institucio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scar.rodriguez/Documents/Datos%20Oscar%20R/PAG%202015/Deleg.Superv.Instit/PAG%202015%20CONSOLIDADO%20SDSI%20-%20Dic%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2016"/>
      <sheetName val="Piloto 105"/>
      <sheetName val="SUBFINANCIERA"/>
      <sheetName val="TALENTO HUMANO"/>
      <sheetName val="SUBADMINISTRATIVA"/>
      <sheetName val="OAJ"/>
      <sheetName val="METODOLOGIAS A. Y RIESGOS"/>
      <sheetName val="DEL. INSTITUCIONAL"/>
      <sheetName val="DEL. SUPV. RIESGOS"/>
      <sheetName val="MEDIDAS ESPECIALES "/>
      <sheetName val="JURISDICCIONAL"/>
      <sheetName val="DEL. PROTECCION "/>
      <sheetName val="COMUNICACIONES"/>
      <sheetName val="C.I. DISCIPLINARIO"/>
      <sheetName val="OTI"/>
      <sheetName val="OAP"/>
      <sheetName val="CONTROL INTERNO"/>
      <sheetName val="PROCESOS ADMITIVOS."/>
      <sheetName val="INDICADORES GENERALES"/>
      <sheetName val="RESULTADO ARMONIZACION"/>
      <sheetName val="TOTAL INDICADORES"/>
      <sheetName val="Hoja1"/>
    </sheetNames>
    <sheetDataSet>
      <sheetData sheetId="0"/>
      <sheetData sheetId="1">
        <row r="3">
          <cell r="I3" t="str">
            <v>Indicador "BD HAL Abril (2)"</v>
          </cell>
          <cell r="J3" t="str">
            <v>Nombre del Indicador</v>
          </cell>
          <cell r="K3" t="str">
            <v>Variable 1</v>
          </cell>
          <cell r="L3" t="str">
            <v>Variable 2</v>
          </cell>
          <cell r="M3" t="str">
            <v>Tipo indicador</v>
          </cell>
          <cell r="N3" t="str">
            <v>Valor(es) asociado</v>
          </cell>
        </row>
        <row r="4">
          <cell r="I4" t="str">
            <v>Porcentaje de actuaciones realizadas en la etapa de apertura en el período actual.</v>
          </cell>
          <cell r="J4" t="str">
            <v>Porcentaje de actuaciones realizadas en la etapa de apertura en el período actual.</v>
          </cell>
          <cell r="K4" t="str">
            <v xml:space="preserve">Número de actuaciones realizadas en la etapa de apertura en el periodo actual </v>
          </cell>
          <cell r="L4" t="str">
            <v xml:space="preserve">Número de Solicitudes recibidas en el periodo anterior y prioritarias  
</v>
          </cell>
          <cell r="M4" t="str">
            <v xml:space="preserve">Eficacia 
</v>
          </cell>
          <cell r="N4" t="str">
            <v xml:space="preserve"> Oportunidad
 Universalidad</v>
          </cell>
        </row>
        <row r="5">
          <cell r="I5" t="str">
            <v xml:space="preserve">Porcentaje de procesos administrativos con Resoluciones de Pruebas y Alegatos expedidas en el periodo actual._x000D_
_x000D_
</v>
          </cell>
          <cell r="J5" t="str">
            <v xml:space="preserve">Porcentaje de procesos administrativos con Resoluciones de Pruebas y Alegatos expedidas en el periodo actual._x000D_
_x000D_
</v>
          </cell>
          <cell r="K5" t="str">
            <v>Número de procesos administrativos con resoluciones de pruebas y alegatos de conclusiones expedidas en el período actual.</v>
          </cell>
          <cell r="L5" t="str">
            <v>Número de Procesos Administrativos que se encuentren en etapa probatoria o en alegatos asignados en el período anterior y prioritarios.</v>
          </cell>
          <cell r="M5" t="str">
            <v xml:space="preserve">Eficacia 
</v>
          </cell>
          <cell r="N5" t="str">
            <v xml:space="preserve"> Oportunidad                                            
Universalidad                     
Responsabilidad</v>
          </cell>
        </row>
        <row r="6">
          <cell r="I6" t="str">
            <v>Porcentaje de resoluciones decisorias proferidas en el periodo actual.</v>
          </cell>
          <cell r="J6" t="str">
            <v>Porcentaje de resoluciones decisorias proferidas en el periodo actual.</v>
          </cell>
          <cell r="K6" t="str">
            <v xml:space="preserve">Número de resoluciones decisorias proferidas en el periodo actual.
</v>
          </cell>
          <cell r="L6" t="str">
            <v xml:space="preserve">Número de Procesos Administrativos en etapa decisoria asignados en el período anterior y prioritarios.
</v>
          </cell>
          <cell r="M6" t="str">
            <v xml:space="preserve">Eficacia 
</v>
          </cell>
          <cell r="N6" t="str">
            <v xml:space="preserve"> Oportunidad 
Universalidad  
Responsabilidad</v>
          </cell>
        </row>
        <row r="7">
          <cell r="I7" t="str">
            <v xml:space="preserve">Porcentaje de Resoluciones en la etapa de Recursos y Revocatorias Directas en el periodo actual.
</v>
          </cell>
          <cell r="J7" t="str">
            <v xml:space="preserve">Porcentaje de Resoluciones en la etapa de Recursos y Revocatorias Directas en el periodo actual.
</v>
          </cell>
          <cell r="K7" t="str">
            <v>Número de resoluciones proferidas en la etapa de Recursos y Revocatorias Directas en el periodo actual.</v>
          </cell>
          <cell r="L7" t="str">
            <v>Número de Procesos Administrativos en etapa de Recursos y Revocatorias Directas en el periodo anterior y prioritarias.</v>
          </cell>
          <cell r="M7" t="str">
            <v xml:space="preserve">Eficacia 
</v>
          </cell>
          <cell r="N7" t="str">
            <v xml:space="preserve"> Oportunidad 
Universalidad</v>
          </cell>
        </row>
        <row r="8">
          <cell r="I8" t="str">
            <v xml:space="preserve">
Porcentaje de actos administrativos proyectados para la descongestión en el marco de la gestión del proceso administrativo.</v>
          </cell>
          <cell r="J8" t="str">
            <v xml:space="preserve">
Porcentaje de actos administrativos proyectados para la descongestión en el marco de la gestión del proceso administrativo.</v>
          </cell>
          <cell r="K8" t="str">
            <v>Número de actos administrativos proyectados para la descongestión de vigencias anteriores en el marco de la gestión del proceso en el período actual.</v>
          </cell>
          <cell r="L8" t="str">
            <v>Número de expedientes asignados y prioritarios.</v>
          </cell>
          <cell r="M8" t="str">
            <v xml:space="preserve">Eficacia 
</v>
          </cell>
          <cell r="N8" t="str">
            <v>Oportunidad 
Universalidad 
Responsabilidad</v>
          </cell>
        </row>
        <row r="9">
          <cell r="I9" t="str">
            <v>Porcentaje  de entidades con adopción, modificación o levantamiento de medida especial</v>
          </cell>
          <cell r="J9" t="str">
            <v>Porcentaje  de entidades con adopción, modificación o levantamiento de medida especial</v>
          </cell>
          <cell r="K9" t="str">
            <v xml:space="preserve">Número de entidades con adopción, modificación o levantamiento de medida especial realizadas
</v>
          </cell>
          <cell r="L9" t="str">
            <v>Número  de Entidades con toma de posesión, prorroga, modificación y/o levantamiento de  medidas especiales adoptadas.</v>
          </cell>
          <cell r="M9" t="str">
            <v xml:space="preserve">Eficacia 
</v>
          </cell>
          <cell r="N9" t="str">
            <v>Equidad                            
Responsabilidad</v>
          </cell>
        </row>
        <row r="10">
          <cell r="I10" t="str">
            <v>Porcentaje  de solicitudes de inscripción en el Registro de Interventores, Liquidadores y Contralores evaluadas</v>
          </cell>
          <cell r="J10" t="str">
            <v>Porcentaje  de solicitudes de inscripción en el Registro de Interventores, Liquidadores y Contralores evaluadas</v>
          </cell>
          <cell r="K10" t="str">
            <v>Número de solicitudes de inscripción evaluadas y registradas.</v>
          </cell>
          <cell r="L10" t="str">
            <v>Número de solicitudes de inscripción presentadas.</v>
          </cell>
          <cell r="M10" t="str">
            <v>Eficiencia</v>
          </cell>
          <cell r="N10" t="str">
            <v>Eficacia
Equidad</v>
          </cell>
        </row>
        <row r="11">
          <cell r="I11" t="str">
            <v xml:space="preserve">Porcentaje de auditorías de seguimiento realizadas a las entidades en medida especial </v>
          </cell>
          <cell r="J11" t="str">
            <v xml:space="preserve">Porcentaje de auditorías de seguimiento realizadas a las entidades en medida especial </v>
          </cell>
          <cell r="K11" t="str">
            <v>Número de auditorías de seguimiento realizadas a las a las entidades en medida especial.</v>
          </cell>
          <cell r="L11" t="str">
            <v>Número de auditorías de seguimiento programadas.</v>
          </cell>
          <cell r="M11" t="str">
            <v xml:space="preserve">Eficacia 
</v>
          </cell>
          <cell r="N11" t="str">
            <v>Legalidad                                 
Oportunidad</v>
          </cell>
        </row>
        <row r="12">
          <cell r="I12" t="str">
            <v xml:space="preserve">Porcentaje de conceptos técnicos de seguimiento generados </v>
          </cell>
          <cell r="J12" t="str">
            <v xml:space="preserve">Porcentaje de conceptos técnicos de seguimiento generados </v>
          </cell>
          <cell r="K12" t="str">
            <v>Número de conceptos técnicos de seguimiento realizados a las medidas especiales adoptadas.</v>
          </cell>
          <cell r="L12" t="str">
            <v>Número de entidades en medida especial.</v>
          </cell>
          <cell r="M12" t="str">
            <v>Eficiencia</v>
          </cell>
          <cell r="N12" t="str">
            <v>Equidad                                     
Legalidad                           
Resposabilidad</v>
          </cell>
        </row>
        <row r="13">
          <cell r="I13" t="str">
            <v>Porcentaje de conceptos técnicos de seguimiento generados de las entidades identificadas en Liquidación Voluntaria.</v>
          </cell>
          <cell r="J13" t="str">
            <v>Porcentaje de conceptos técnicos de seguimiento generados de las entidades identificadas en Liquidación Voluntaria.</v>
          </cell>
          <cell r="K13" t="str">
            <v>Número de conceptos técnicos elaborados a los procesos de liquidación voluntaria.</v>
          </cell>
          <cell r="L13" t="str">
            <v>Número de entidades identificadas en liquidación voluntaria.</v>
          </cell>
          <cell r="M13" t="str">
            <v xml:space="preserve">Eficacia 
</v>
          </cell>
          <cell r="N13" t="str">
            <v>Equidad                                     
Legalidad                           
Resposabilidad</v>
          </cell>
        </row>
        <row r="14">
          <cell r="I14" t="str">
            <v xml:space="preserve">Porcentaje de entidades bajo medida con seguimiento al plan de acción adoptado </v>
          </cell>
          <cell r="J14" t="str">
            <v xml:space="preserve">Porcentaje de entidades bajo medida con seguimiento al plan de acción adoptado </v>
          </cell>
          <cell r="K14" t="str">
            <v>Número de entidades bajo medida con seguimiento al plan de acción adoptado.</v>
          </cell>
          <cell r="L14" t="str">
            <v>Número de entidades en medida especial.</v>
          </cell>
          <cell r="M14" t="str">
            <v>Efectividad</v>
          </cell>
          <cell r="N14" t="str">
            <v>Pertinencia                       
Responsabilidad</v>
          </cell>
        </row>
        <row r="15">
          <cell r="I15" t="str">
            <v>Porcentaje de auditorías realizadas en el periodo.</v>
          </cell>
          <cell r="J15" t="str">
            <v>Porcentaje de auditorías realizadas en el periodo.</v>
          </cell>
          <cell r="K15" t="str">
            <v>Número de auditorías realizadas.</v>
          </cell>
          <cell r="L15" t="str">
            <v>Número de auditorías programadas.</v>
          </cell>
          <cell r="M15" t="str">
            <v>Eficiencia</v>
          </cell>
          <cell r="N15" t="str">
            <v xml:space="preserve">Oportunidad                                       
Legalidad
</v>
          </cell>
        </row>
        <row r="16">
          <cell r="I16" t="e">
            <v>#N/A</v>
          </cell>
          <cell r="J16" t="str">
            <v>Porcentaje de informes de auditorías elaborados en el periodo</v>
          </cell>
          <cell r="K16" t="str">
            <v>Número de informes de auditorías elaborados en un periodo</v>
          </cell>
          <cell r="L16" t="str">
            <v>Número de auditorías programadas.</v>
          </cell>
          <cell r="M16" t="str">
            <v xml:space="preserve">Eficacia 
</v>
          </cell>
          <cell r="N16" t="str">
            <v xml:space="preserve"> Probidad                                          
Equidad
</v>
          </cell>
        </row>
        <row r="17">
          <cell r="I17" t="str">
            <v>Porcentaje de Planes de Gestión Integral del Riesgo con concepto de viabilidad en el periodo.</v>
          </cell>
          <cell r="J17" t="str">
            <v>Porcentaje de Planes de Gestión Integral del Riesgo con concepto de viabilidad en el periodo.</v>
          </cell>
          <cell r="K17" t="str">
            <v>Número de Planes de Gestión Integral del Riesgo con concepto de viabilidad realizado en el periodo.</v>
          </cell>
          <cell r="L17" t="str">
            <v>Número de Planes de Gestión Integral del Riesgo evaluados en el periodo.</v>
          </cell>
          <cell r="M17" t="str">
            <v>Eficiencia</v>
          </cell>
          <cell r="N17" t="str">
            <v>Probidad
Pertinencia</v>
          </cell>
        </row>
        <row r="18">
          <cell r="I18" t="str">
            <v>Porcentaje de auditorías realizadas en el periodo.</v>
          </cell>
          <cell r="J18" t="str">
            <v>Porcentaje de auditorías realizadas en el periodo.</v>
          </cell>
          <cell r="K18" t="str">
            <v>Número de auditorías realizadas.</v>
          </cell>
          <cell r="L18" t="str">
            <v>Número de auditorías programadas.</v>
          </cell>
          <cell r="M18" t="str">
            <v>Eficiencia</v>
          </cell>
          <cell r="N18" t="str">
            <v xml:space="preserve">Legalidad                                
Oportunidad  </v>
          </cell>
        </row>
        <row r="19">
          <cell r="I19" t="str">
            <v>Porcentaje de informes de auditorías elaborados en el periodo</v>
          </cell>
          <cell r="J19" t="str">
            <v>Porcentaje de informes de auditorías elaborados en el periodo</v>
          </cell>
          <cell r="K19" t="str">
            <v>Número de informes de auditorías elaborados en un periodo</v>
          </cell>
          <cell r="L19" t="str">
            <v>Número de auditorías realizadas</v>
          </cell>
          <cell r="M19" t="str">
            <v xml:space="preserve">Eficacia 
</v>
          </cell>
          <cell r="N19" t="str">
            <v xml:space="preserve"> Probidad                                          
Equidad
</v>
          </cell>
        </row>
        <row r="20">
          <cell r="I20" t="str">
            <v>Porcentaje de Informes de verificación de estándares de permanencia gestionado en el periodo</v>
          </cell>
          <cell r="J20" t="str">
            <v>Porcentaje de Informes de verificación de estándares de permanencia gestionado en el periodo</v>
          </cell>
          <cell r="K20" t="str">
            <v>Número de informes de verificación de estándares de permanencia elaborado y publicado en un periodo.</v>
          </cell>
          <cell r="L20" t="str">
            <v>Número de informes de verificación elaborados</v>
          </cell>
          <cell r="M20" t="str">
            <v>Eficiencia</v>
          </cell>
          <cell r="N20" t="str">
            <v xml:space="preserve">Pertinencia
Probidad                                          
Equidad
</v>
          </cell>
        </row>
        <row r="21">
          <cell r="I21" t="str">
            <v>Porcentaje de Informes de verificación de cumplimiento de Reservas Técnicas y del Régimen de Inversiones de las Reservas Técnicas</v>
          </cell>
          <cell r="J21" t="str">
            <v>Porcentaje de Informes de verificación de cumplimiento de Reservas Técnicas y del Régimen de Inversiones de las Reservas Técnicas</v>
          </cell>
          <cell r="K21" t="str">
            <v>Número de Informes de verificación de cumplimiento de Reservas Técnicas y del Régimen de Inversiones de las Reservas Técnicas elaborados en un periodo</v>
          </cell>
          <cell r="L21" t="str">
            <v>Número de informes de verificación elaborados</v>
          </cell>
          <cell r="M21" t="str">
            <v>Eficiencia</v>
          </cell>
          <cell r="N21" t="str">
            <v xml:space="preserve">Pertinencia
Probidad                                          
Equidad
</v>
          </cell>
        </row>
        <row r="22">
          <cell r="I22" t="str">
            <v>Porcentaje de Informes de seguimiento a la implementación de los marcos técnicos normativos reglamentarios de la Ley 1314 de 2009, en sujetos vigilados.</v>
          </cell>
          <cell r="J22" t="str">
            <v>Porcentaje de Informes de seguimiento a la implementación de los marcos técnicos normativos reglamentarios de la Ley 1314 de 2009, en sujetos vigilados.</v>
          </cell>
          <cell r="K22" t="str">
            <v>Número de informes de seguimiento a la implementación de los marcos técnicos normativos reglamentarios de la Ley 1314 de 2009, en sujetos vigilados, elaborados en un periodo.</v>
          </cell>
          <cell r="L22" t="str">
            <v>Número de informes de seguimiento elaborados</v>
          </cell>
          <cell r="M22" t="str">
            <v xml:space="preserve">Eficacia 
</v>
          </cell>
          <cell r="N22" t="str">
            <v xml:space="preserve">Probidad                                          
Equidad
</v>
          </cell>
        </row>
        <row r="23">
          <cell r="I23" t="str">
            <v>Porcentaje de auditorías realizadas en el periodo.</v>
          </cell>
          <cell r="J23" t="str">
            <v>Porcentaje de auditorías realizadas en el periodo.</v>
          </cell>
          <cell r="K23" t="str">
            <v>Número de auditorías realizadas.</v>
          </cell>
          <cell r="L23" t="str">
            <v>Número de auditorías programadas.</v>
          </cell>
          <cell r="M23" t="str">
            <v>Eficiencia</v>
          </cell>
          <cell r="N23" t="str">
            <v>Legalidad                                       
Oportunidad</v>
          </cell>
        </row>
        <row r="24">
          <cell r="I24" t="str">
            <v>Porcentaje de informes de auditorías elaborados en el periodo</v>
          </cell>
          <cell r="J24" t="str">
            <v>Porcentaje de informes de auditorías elaborados en el periodo</v>
          </cell>
          <cell r="K24" t="str">
            <v>Número de informes de auditorías elaborados en un periodo</v>
          </cell>
          <cell r="L24" t="str">
            <v>Número de auditorías realizadas</v>
          </cell>
          <cell r="M24" t="str">
            <v xml:space="preserve">Eficacia 
</v>
          </cell>
          <cell r="N24" t="str">
            <v xml:space="preserve">Probidad                                          
Equidad
</v>
          </cell>
        </row>
        <row r="25">
          <cell r="I25" t="str">
            <v>Porcentaje de auditorías realizadas en el periodo.</v>
          </cell>
          <cell r="J25" t="str">
            <v>Porcentaje de auditorías realizadas en el periodo.</v>
          </cell>
          <cell r="K25" t="str">
            <v>Número de auditorías realizadas.</v>
          </cell>
          <cell r="L25" t="str">
            <v>Número de auditorías programadas.</v>
          </cell>
          <cell r="M25" t="str">
            <v>Eficiencia</v>
          </cell>
          <cell r="N25" t="str">
            <v>Legalidad                                      
Oportunidad</v>
          </cell>
        </row>
        <row r="26">
          <cell r="I26" t="str">
            <v>Porcentaje de informes de auditorías elaborados en el periodo</v>
          </cell>
          <cell r="J26" t="str">
            <v>Porcentaje de informes de auditorías elaborados en el periodo</v>
          </cell>
          <cell r="K26" t="str">
            <v>Número de informes de auditorías elaborados en un periodo</v>
          </cell>
          <cell r="L26" t="str">
            <v>Número de auditorías realizadas</v>
          </cell>
          <cell r="M26" t="str">
            <v xml:space="preserve">Eficacia 
</v>
          </cell>
          <cell r="N26" t="str">
            <v xml:space="preserve">Probidad                                          
Equidad
</v>
          </cell>
        </row>
        <row r="27">
          <cell r="I27" t="str">
            <v>Porcentaje de Cumplimiento de hitos y/o productos definidos en el Cronograma.</v>
          </cell>
          <cell r="J27" t="str">
            <v>Porcentaje de Cumplimiento de hitos y/o productos definidos en el Cronograma.</v>
          </cell>
          <cell r="K27" t="str">
            <v>Numero de hitos y/o productos entregados en los plazos definidos en el Cronograma</v>
          </cell>
          <cell r="L27" t="str">
            <v>Numero Total de hitos y/o productos programados para el periodo.</v>
          </cell>
          <cell r="M27" t="str">
            <v xml:space="preserve">Eficacia 
</v>
          </cell>
          <cell r="N27" t="str">
            <v>Eficiencia
Oportunidad</v>
          </cell>
        </row>
        <row r="28">
          <cell r="I28" t="e">
            <v>#N/A</v>
          </cell>
          <cell r="J28" t="str">
            <v>Porcentaje de Cumplimiento de hitos y/o productos definidos en el Cronograma.</v>
          </cell>
          <cell r="K28" t="str">
            <v>Numero de hitos y/o productos entregados en los plazos definidos en el Cronograma</v>
          </cell>
          <cell r="L28" t="str">
            <v>Numero Total de hitos y/o productos programados para el periodo.</v>
          </cell>
          <cell r="M28" t="str">
            <v xml:space="preserve">Eficacia 
</v>
          </cell>
          <cell r="N28" t="str">
            <v>Eficiencia
Oportunidad</v>
          </cell>
        </row>
        <row r="29">
          <cell r="I29" t="str">
            <v>Porcentaje de Cumplimiento de hitos y/o productos definidos en el Cronograma.</v>
          </cell>
          <cell r="J29" t="str">
            <v>Porcentaje de Cumplimiento de hitos y/o productos definidos en el Cronograma.</v>
          </cell>
          <cell r="K29" t="str">
            <v>Numero de hitos y/o productos entregados en los plazos definidos en el Cronograma</v>
          </cell>
          <cell r="L29" t="str">
            <v>Numero Total de hitos y/o productos programados para el periodo.</v>
          </cell>
          <cell r="M29" t="str">
            <v xml:space="preserve">Eficacia 
</v>
          </cell>
          <cell r="N29" t="str">
            <v>Eficacia
Oportunidad</v>
          </cell>
        </row>
        <row r="30">
          <cell r="I30" t="e">
            <v>#N/A</v>
          </cell>
          <cell r="J30" t="str">
            <v>Porcentaje de solicitudes de trámites y peticiones, respondidas y gestionadas dentro de los plazos de ley en el periodo
AU01</v>
          </cell>
          <cell r="K30" t="str">
            <v xml:space="preserve">Número de peticiones y solicitudes respondidas y gestionadas dentro de los plazos de ley, en el período 
</v>
          </cell>
          <cell r="L30" t="str">
            <v>Número de peticiones y solicitudes, recibidas en el período * 100%</v>
          </cell>
          <cell r="M30" t="str">
            <v xml:space="preserve">Eficacia 
</v>
          </cell>
          <cell r="N30" t="str">
            <v>Pertinencia                                  
Vocacion de servicio</v>
          </cell>
        </row>
        <row r="31">
          <cell r="I31" t="str">
            <v>Porcentaje de solicitudes de trámites y peticiones, respondidas y gestionadas dentro de los plazos de ley en el periodo
AU01</v>
          </cell>
          <cell r="J31" t="str">
            <v>Porcentaje de solicitudes de trámites y peticiones, respondidas y gestionadas dentro de los plazos de ley en el periodo
AU01</v>
          </cell>
          <cell r="K31" t="str">
            <v xml:space="preserve">Número de peticiones y solicitudes respondidas y gestionadas dentro de los plazos de ley, en el período 
</v>
          </cell>
          <cell r="L31" t="str">
            <v>Número de peticiones y solicitudes, recibidas en el período * 100%</v>
          </cell>
          <cell r="M31" t="str">
            <v xml:space="preserve">Eficacia 
</v>
          </cell>
          <cell r="N31" t="str">
            <v>Pertinencia                                  
Vocacion de servicio</v>
          </cell>
        </row>
        <row r="32">
          <cell r="I32" t="e">
            <v>#N/A</v>
          </cell>
          <cell r="J32" t="str">
            <v>Porcentaje de solicitudes de trámite con concepto técnico y acto administrativo.
NUEVO</v>
          </cell>
          <cell r="K32" t="str">
            <v>Número de trámites con acto administrativo proyectado en el periodo.</v>
          </cell>
          <cell r="L32" t="str">
            <v xml:space="preserve"> Número de solicitudes con concepto técnico tramitadas* 100</v>
          </cell>
          <cell r="M32" t="str">
            <v>Eficiencia</v>
          </cell>
          <cell r="N32" t="str">
            <v xml:space="preserve">
Pertinencia
Legalidad</v>
          </cell>
        </row>
        <row r="33">
          <cell r="I33" t="str">
            <v>Acto administrativo que ordena la publicación de los estados financieros de los sujetos vigilados previo su análisis.
NUEVO</v>
          </cell>
          <cell r="J33" t="str">
            <v>Acto administrativo que ordena la publicación de los estados financieros de los sujetos vigilados previo su análisis.
NUEVO</v>
          </cell>
          <cell r="K33" t="str">
            <v>Acto administrativo que ordena la publicación de los estados financieros.</v>
          </cell>
          <cell r="M33" t="str">
            <v>Eficiencia</v>
          </cell>
          <cell r="N33" t="str">
            <v xml:space="preserve">
Pertinencia
Legalidad</v>
          </cell>
        </row>
        <row r="34">
          <cell r="I34" t="str">
            <v>Informe de seguimiento a la publicación de los estados financieros de los sujetos vigilados.
NUEVO</v>
          </cell>
          <cell r="J34" t="str">
            <v>Informe de seguimiento a la publicación de los estados financieros de los sujetos vigilados.
NUEVO</v>
          </cell>
          <cell r="K34" t="str">
            <v>Informe de seguimiento a la  publicación de los estados financieros de los sujetos vigilados</v>
          </cell>
          <cell r="M34" t="str">
            <v>Eficiencia</v>
          </cell>
          <cell r="N34" t="str">
            <v xml:space="preserve">
Pertinencia
Legalidad</v>
          </cell>
        </row>
        <row r="35">
          <cell r="I35" t="e">
            <v>#N/A</v>
          </cell>
          <cell r="J35" t="str">
            <v>Certificación de los indicadores y estándares por áreas de gestión de  las Empresas Sociales del Estado
NUEVO</v>
          </cell>
          <cell r="K35" t="str">
            <v>Acto administrativo publicado según cronograma que certifica los indicadores y estándares por áreas de gestión de  las Empresas Sociales del Estado</v>
          </cell>
          <cell r="M35" t="str">
            <v>Eficiencia</v>
          </cell>
          <cell r="N35" t="str">
            <v xml:space="preserve">Legalidad
Pertinencia
</v>
          </cell>
        </row>
        <row r="36">
          <cell r="I36" t="e">
            <v>#N/A</v>
          </cell>
          <cell r="J36" t="str">
            <v>% Ejecución mesas técnicas o talleres de capacitación sobre competencias y responsabilidades en IVC a cargo de las Entidades Territoriales
NUEVO</v>
          </cell>
          <cell r="K36" t="str">
            <v># mesas técnicas o talleres desarrollados</v>
          </cell>
          <cell r="L36" t="str">
            <v xml:space="preserve"> # mesas técnicas o talleres programados * 100%</v>
          </cell>
          <cell r="M36" t="str">
            <v xml:space="preserve">Eficacia 
</v>
          </cell>
          <cell r="N36" t="str">
            <v xml:space="preserve">Vocación de servicio
Trabajo en equipo
</v>
          </cell>
        </row>
        <row r="37">
          <cell r="I37" t="e">
            <v>#N/A</v>
          </cell>
          <cell r="J37" t="str">
            <v>% de seguimiento a los acuerdos suscritos en las mesas técnicas desarrolladas</v>
          </cell>
          <cell r="K37" t="str">
            <v># de acuerdos suscritos en las mesas técnicas con seguimiento.</v>
          </cell>
          <cell r="L37" t="str">
            <v xml:space="preserve"> # de acuerdos suscritos en las mesas técnicas programadas * 100%</v>
          </cell>
          <cell r="M37" t="str">
            <v>Eficiencia</v>
          </cell>
          <cell r="N37" t="str">
            <v xml:space="preserve">Mejormiento continuo                  
Eficiencia
</v>
          </cell>
        </row>
        <row r="38">
          <cell r="I38" t="str">
            <v>% de seguimiento a los acuerdos suscritos en las mesas técnicas desarrolladas</v>
          </cell>
          <cell r="J38" t="str">
            <v>Porcentaje de solicitudes con concepto técnico que resuelve apelación de gerentes de ESE</v>
          </cell>
          <cell r="K38" t="str">
            <v>#solicitudes de concepto técnico para emitir acto administrativo.</v>
          </cell>
          <cell r="L38" t="str">
            <v xml:space="preserve"> # solicitudes de concepto técnico para expedir acto administrativo recibidas * 100%</v>
          </cell>
          <cell r="M38" t="str">
            <v>Eficiencia</v>
          </cell>
          <cell r="N38" t="str">
            <v xml:space="preserve">
Pertinencia
Legalidad
</v>
          </cell>
        </row>
        <row r="39">
          <cell r="I39" t="str">
            <v>Porcentaje de solicitudes con concepto técnico que resuelve apelación de gerentes de ESE</v>
          </cell>
          <cell r="J39" t="str">
            <v xml:space="preserve">% Ejecución de mesas de trabajo para análisis de la problemática evidenciada y priorizada de flujo de recursos 
NUEVO
</v>
          </cell>
          <cell r="K39" t="str">
            <v># mesas de trabajo desarrolladas con informe del análisis</v>
          </cell>
          <cell r="L39" t="str">
            <v xml:space="preserve"> # mesas de trabajo programadas * 100%</v>
          </cell>
          <cell r="M39" t="str">
            <v>Eficiencia</v>
          </cell>
          <cell r="N39" t="str">
            <v>Pertinencia                            
Universalidad</v>
          </cell>
        </row>
        <row r="40">
          <cell r="I40" t="str">
            <v>% solicitudes de restitución de recursos al FOSYGA con informe de análisis resolviéndolas</v>
          </cell>
          <cell r="J40" t="str">
            <v>% solicitudes de restitución de recursos al FOSYGA con informe de análisis resolviéndolas</v>
          </cell>
          <cell r="K40" t="str">
            <v># solicitudes resueltas de restitución de recursos al FOSYGA con informes de análisis técnico presentados</v>
          </cell>
          <cell r="L40" t="str">
            <v xml:space="preserve"> # solicitudes de restitución de recursos al FOSYGA programados para analizar en el periodo.</v>
          </cell>
          <cell r="N40" t="str">
            <v xml:space="preserve">Eficiencia
Pertinencia
</v>
          </cell>
        </row>
        <row r="41">
          <cell r="I41" t="str">
            <v>Reporte de información financiera de sujetos vigilados para calculo de tasa.</v>
          </cell>
          <cell r="J41" t="str">
            <v>Reporte de información financiera de sujetos vigilados para calculo de tasa.</v>
          </cell>
          <cell r="K41" t="str">
            <v>Reporte consolidado de información financiera y de contacto de  los vigilados sujeto de liquidación y cobro de tasa</v>
          </cell>
          <cell r="N41" t="str">
            <v xml:space="preserve">Eficacia
Compromiso
</v>
          </cell>
        </row>
        <row r="42">
          <cell r="I42" t="str">
            <v>Porcentaje de informes de análisis de información realizados resultado de la información reportada por los vigilados</v>
          </cell>
          <cell r="J42" t="str">
            <v>Porcentaje de informes de análisis de información realizados resultado de la información reportada por los vigilados</v>
          </cell>
          <cell r="K42" t="str">
            <v>Total de informes de análisis realizados de la información reportada.</v>
          </cell>
          <cell r="L42" t="str">
            <v xml:space="preserve"> Total de informes de análisis de información reportada programados X 100%</v>
          </cell>
          <cell r="M42" t="str">
            <v>Eficiencia</v>
          </cell>
          <cell r="N42" t="str">
            <v xml:space="preserve">
Pertinencia
Responsabilidad
</v>
          </cell>
        </row>
        <row r="43">
          <cell r="I43" t="str">
            <v>Porcentaje de informes de análisis de información realizados resultado de la información reportada por los vigilados</v>
          </cell>
          <cell r="J43" t="str">
            <v>Porcentaje de informes de análisis de información realizados resultado de la información reportada por los vigilados</v>
          </cell>
          <cell r="K43" t="str">
            <v>Total de informes de análisis realizados de la información reportada.</v>
          </cell>
          <cell r="L43" t="str">
            <v>Total de informes de análisis de información reportada programados X 100%</v>
          </cell>
          <cell r="M43" t="str">
            <v>Eficiencia</v>
          </cell>
          <cell r="N43" t="str">
            <v xml:space="preserve">
Pertinencia
Responsabilidad
</v>
          </cell>
        </row>
        <row r="44">
          <cell r="I44" t="str">
            <v>% Recursos del SGSSS con seguimiento  en la generación, flujo, administración, y pago oportuno</v>
          </cell>
          <cell r="J44" t="str">
            <v>% Recursos del SGSSS con seguimiento  en la generación, flujo, administración, y pago oportuno</v>
          </cell>
          <cell r="K44" t="str">
            <v xml:space="preserve">Total de recursos - identificados en Mesas de saneamiento - con seguimiento en la generación, flujo, administración, y pago oportuno  </v>
          </cell>
          <cell r="L44" t="str">
            <v xml:space="preserve"> Total de recursos -identificados en Mesas de saneamiento- programados para seguimiento</v>
          </cell>
          <cell r="M44" t="str">
            <v>Eficiencia</v>
          </cell>
          <cell r="N44" t="str">
            <v xml:space="preserve">
Eficiencia
Probidad</v>
          </cell>
        </row>
        <row r="45">
          <cell r="I45" t="str">
            <v>% Gestión de aclaración de Cartera, Depuración Obligatoria de cuentas, pago de facturación por prestación de servicios de Salud y Recobros los sujetos vigilados.</v>
          </cell>
          <cell r="J45" t="str">
            <v>% Gestión de aclaración de Cartera, Depuración Obligatoria de cuentas, pago de facturación por prestación de servicios de Salud y Recobros los sujetos vigilados.</v>
          </cell>
          <cell r="K45" t="str">
            <v xml:space="preserve"># Requerimientos enviados de Aclaración de Cartera, Depuración Obligatoria de cuentas, pago de facturación por prestación de servicios de Salud y Recobros /  </v>
          </cell>
          <cell r="L45" t="str">
            <v># Requerimientos requeridos de Aclaración de Cartera, Depuración Obligatoria de cuentas, pago de facturación por prestación de servicios de Salud y Recobros) x 100</v>
          </cell>
          <cell r="M45" t="str">
            <v xml:space="preserve">Eficacia 
</v>
          </cell>
          <cell r="N45" t="str">
            <v>Eficacia
Oportunidad</v>
          </cell>
        </row>
        <row r="46">
          <cell r="I46" t="str">
            <v>Porcentaje de auditorías realizadas en el periodo.</v>
          </cell>
          <cell r="J46" t="str">
            <v>Porcentaje de auditorías realizadas en el periodo.</v>
          </cell>
          <cell r="K46" t="str">
            <v>Número de auditorías realizadas</v>
          </cell>
          <cell r="L46" t="str">
            <v xml:space="preserve"> Número de auditorías programadas*100</v>
          </cell>
          <cell r="N46" t="str">
            <v>Legalidad                                      
Equidad</v>
          </cell>
        </row>
        <row r="47">
          <cell r="I47" t="e">
            <v>#N/A</v>
          </cell>
          <cell r="J47" t="str">
            <v>Porcentaje de informes realizados a partir de las auditorías llevadas a cabo.</v>
          </cell>
          <cell r="K47" t="str">
            <v>Número de informes finales de auditoría realizados en el periodo.</v>
          </cell>
          <cell r="L47" t="str">
            <v xml:space="preserve"> Número de informes programados en el periodo *100</v>
          </cell>
          <cell r="N47" t="str">
            <v>Probidad
Pertinencia</v>
          </cell>
        </row>
        <row r="48">
          <cell r="I48" t="str">
            <v>Porcentaje de auditorías realizadas en el periodo.</v>
          </cell>
          <cell r="J48" t="str">
            <v>Porcentaje de auditorías realizadas en el periodo.</v>
          </cell>
          <cell r="K48" t="str">
            <v>Número de auditorías realizadas</v>
          </cell>
          <cell r="L48" t="str">
            <v xml:space="preserve"> Número de auditorías programadas*100</v>
          </cell>
          <cell r="N48" t="str">
            <v>Legalidad                                       
Equidad</v>
          </cell>
        </row>
        <row r="49">
          <cell r="I49" t="e">
            <v>#N/A</v>
          </cell>
          <cell r="J49" t="str">
            <v>Porcentaje de informes realizados a partir de las auditorías llevadas a cabo.</v>
          </cell>
          <cell r="K49" t="str">
            <v>Número de informes finales de auditoría realizados en el periodo</v>
          </cell>
          <cell r="L49" t="str">
            <v xml:space="preserve"> Número de informes programados en el periodo*100</v>
          </cell>
          <cell r="N49" t="str">
            <v>Probidad
Pertinencia</v>
          </cell>
        </row>
        <row r="50">
          <cell r="I50" t="str">
            <v>Porcentaje de auditorías realizadas en el periodo.</v>
          </cell>
          <cell r="J50" t="str">
            <v>Porcentaje de auditorías realizadas en el periodo.</v>
          </cell>
          <cell r="K50" t="str">
            <v>Número de auditorías realizadas</v>
          </cell>
          <cell r="L50" t="str">
            <v xml:space="preserve"> Número de auditorías programadas *100</v>
          </cell>
          <cell r="N50" t="str">
            <v>Equidad
Legalidad</v>
          </cell>
        </row>
        <row r="51">
          <cell r="I51" t="e">
            <v>#N/A</v>
          </cell>
          <cell r="J51" t="str">
            <v>Porcentaje de informes realizados a partir de las auditorías llevadas a cabo.</v>
          </cell>
          <cell r="K51" t="str">
            <v>Número de informes finales de auditoría realizados en el periodo</v>
          </cell>
          <cell r="L51" t="str">
            <v xml:space="preserve"> Número de informes programados en el periodo*100</v>
          </cell>
          <cell r="N51" t="str">
            <v>Probidad
Pertinencia</v>
          </cell>
        </row>
        <row r="52">
          <cell r="I52" t="str">
            <v>Porcentaje de auditorías realizadas en el periodo.</v>
          </cell>
          <cell r="J52" t="str">
            <v>Porcentaje de auditorías realizadas en el periodo.</v>
          </cell>
          <cell r="K52" t="str">
            <v>Número de auditorías realizadas</v>
          </cell>
          <cell r="L52" t="str">
            <v>Número de auditorías programadas*100</v>
          </cell>
          <cell r="N52" t="str">
            <v>Equidad
Legalidad</v>
          </cell>
        </row>
        <row r="53">
          <cell r="I53" t="e">
            <v>#N/A</v>
          </cell>
          <cell r="J53" t="str">
            <v>Porcentaje de informes realizados a partir de las auditorías llevadas a cabo.</v>
          </cell>
          <cell r="K53" t="str">
            <v>Número de informes finales de auditoría realizados en el periodo.</v>
          </cell>
          <cell r="L53" t="str">
            <v>Número de informes programados en el periodo *100</v>
          </cell>
          <cell r="N53" t="str">
            <v>Probidad
Pertinencia</v>
          </cell>
        </row>
        <row r="54">
          <cell r="I54" t="str">
            <v>Porcentaje de auditorías realizadas en el periodo.</v>
          </cell>
          <cell r="J54" t="str">
            <v>Porcentaje de auditorías realizadas en el periodo.</v>
          </cell>
          <cell r="K54" t="str">
            <v xml:space="preserve">Número de auditorías realizadas </v>
          </cell>
          <cell r="L54" t="str">
            <v xml:space="preserve"> Número de auditorías programadas*100</v>
          </cell>
          <cell r="N54" t="str">
            <v>Equidad
Legalidad</v>
          </cell>
        </row>
        <row r="55">
          <cell r="I55" t="e">
            <v>#N/A</v>
          </cell>
          <cell r="J55" t="str">
            <v>Porcentaje de informes realizados a partir de las auditorías llevadas a cabo.</v>
          </cell>
          <cell r="K55" t="str">
            <v>Número de informes finales de auditoría realizados en el periodo</v>
          </cell>
          <cell r="L55" t="str">
            <v xml:space="preserve"> Número de informes programados en el periodo*100</v>
          </cell>
          <cell r="N55" t="str">
            <v>Probidad
Pertinencia</v>
          </cell>
        </row>
        <row r="56">
          <cell r="I56" t="str">
            <v>Porcentaje de auditorías realizadas en el periodo.</v>
          </cell>
          <cell r="J56" t="str">
            <v>Porcentaje de auditorías realizadas en el periodo.</v>
          </cell>
          <cell r="K56" t="str">
            <v>Número de auditorías realizadas</v>
          </cell>
          <cell r="L56" t="str">
            <v xml:space="preserve"> Número de auditorías programadas *100</v>
          </cell>
          <cell r="N56" t="str">
            <v>Equidad
Legalidad</v>
          </cell>
        </row>
        <row r="57">
          <cell r="I57" t="str">
            <v>Porcentaje de informes realizados a partir de las auditorías llevadas a cabo.</v>
          </cell>
          <cell r="J57" t="str">
            <v>Porcentaje de informes realizados a partir de las auditorías llevadas a cabo.</v>
          </cell>
          <cell r="K57" t="str">
            <v>Número de informes finales de auditoría realizados en el periodo</v>
          </cell>
          <cell r="L57" t="str">
            <v>Número de informes programados en el periodo*100</v>
          </cell>
          <cell r="N57" t="str">
            <v>Probidad
Pertinencia</v>
          </cell>
        </row>
        <row r="58">
          <cell r="I58" t="str">
            <v>Porcentaje de auditorías realizadas en el periodo.</v>
          </cell>
          <cell r="J58" t="str">
            <v>Porcentaje de auditorías realizadas en el periodo.</v>
          </cell>
          <cell r="K58" t="str">
            <v xml:space="preserve">Número de auditorías realizadas </v>
          </cell>
          <cell r="L58" t="str">
            <v xml:space="preserve"> Número de auditorías programadas*100</v>
          </cell>
          <cell r="N58" t="str">
            <v>Equidad
Legalidad</v>
          </cell>
        </row>
        <row r="59">
          <cell r="I59" t="e">
            <v>#N/A</v>
          </cell>
          <cell r="J59" t="str">
            <v>Porcentaje de informes realizados a partir de las auditorías llevadas a cabo.</v>
          </cell>
          <cell r="K59" t="str">
            <v>Número de informes finales de auditoría realizados en el periodo</v>
          </cell>
          <cell r="L59" t="str">
            <v xml:space="preserve"> Número de informes programados en el periodo*100</v>
          </cell>
          <cell r="N59" t="str">
            <v>Probidad
Pertinencia</v>
          </cell>
        </row>
        <row r="60">
          <cell r="I60" t="str">
            <v>Porcentaje de auditorías realizadas en el periodo.</v>
          </cell>
          <cell r="J60" t="str">
            <v>Porcentaje de auditorías realizadas en el periodo.</v>
          </cell>
          <cell r="K60" t="str">
            <v>Número de auditorías realizadas</v>
          </cell>
          <cell r="L60" t="str">
            <v xml:space="preserve"> Número de auditorías ordenadas - no programadas *100</v>
          </cell>
          <cell r="N60" t="str">
            <v xml:space="preserve">
Oportunidad
Legalidad</v>
          </cell>
        </row>
        <row r="61">
          <cell r="I61" t="e">
            <v>#N/A</v>
          </cell>
          <cell r="J61" t="str">
            <v>Porcentaje de informes realizados a partir de las auditorías llevadas a cabo.</v>
          </cell>
          <cell r="K61" t="str">
            <v>Número de informes finales de auditoría realizados en el periodo</v>
          </cell>
          <cell r="L61" t="str">
            <v xml:space="preserve"> Número de informes programados en el periodo)*100</v>
          </cell>
          <cell r="N61" t="str">
            <v>Probidad
Pertinencia</v>
          </cell>
        </row>
        <row r="62">
          <cell r="I62" t="str">
            <v>Despacho del Superintendente Delegado para la Supervisión Institucional/Realizar la evaluación de los planes de mejoramiento suscritos por los Sujetos Vigilados</v>
          </cell>
          <cell r="J62" t="str">
            <v>Porcentaje de planes de mejoramiento evaluados en el periodo.</v>
          </cell>
          <cell r="K62" t="str">
            <v>Total de planes de mejoramiento evaluados</v>
          </cell>
          <cell r="L62" t="str">
            <v>Total de planes de mejoramiento programados * 100</v>
          </cell>
          <cell r="M62" t="str">
            <v>Efectividad</v>
          </cell>
          <cell r="N62" t="str">
            <v>Responsabilidad                       
Oportunidad</v>
          </cell>
        </row>
        <row r="63">
          <cell r="I63" t="str">
            <v>Porcentaje de auditorías realizadas en el periodo.</v>
          </cell>
          <cell r="J63" t="str">
            <v>Porcentaje  acumulado de actividades de diseño de estrategias de participación ciudadana .</v>
          </cell>
          <cell r="K63" t="str">
            <v>Porcentaje  acumulado de actividades de diseño de estrategias de participación ciudadana realizadas en el periodo</v>
          </cell>
          <cell r="L63" t="str">
            <v>Porcentaje total de actividades de diseño de estrategia de participación ciudadana programadas en el periodo.</v>
          </cell>
          <cell r="M63" t="str">
            <v>Eficiencia</v>
          </cell>
          <cell r="N63" t="str">
            <v xml:space="preserve">
Compromiso
Solidaridad</v>
          </cell>
        </row>
        <row r="64">
          <cell r="I64" t="str">
            <v>Porcentaje de informes realizados a partir de las auditorías llevadas a cabo.</v>
          </cell>
          <cell r="J64" t="str">
            <v>Porcentaje acumulado de capacitaciones  realizadas para la implementación de cursos en derechos y deberes en salud</v>
          </cell>
          <cell r="K64" t="str">
            <v>Porcentaje acumulado de capacitaciones en derechos y deberes en salud realizados en el periodo</v>
          </cell>
          <cell r="L64" t="str">
            <v>Porcentaje acumulado de capacitaciones en derechos y deberes en salud programados en el periodo</v>
          </cell>
          <cell r="M64" t="str">
            <v xml:space="preserve">Eficacia 
</v>
          </cell>
          <cell r="N64" t="str">
            <v>Trabajo en equipo
Respeto</v>
          </cell>
        </row>
        <row r="65">
          <cell r="I65" t="str">
            <v>Porcentaje de auditorías realizadas en el periodo.</v>
          </cell>
          <cell r="J65" t="str">
            <v>Porcentaje acumulado de eventos con la aplicación de técnicas de expresión oral realizados en el periodo</v>
          </cell>
          <cell r="K65" t="str">
            <v>Porcentaje acumulado de eventos con la aplicación de técnicas de expresión oral realizados en el periodo/</v>
          </cell>
          <cell r="L65" t="str">
            <v xml:space="preserve">Porcentaje acumulado de eventos con la aplicación de técnicas de expresión oral programados en el periodo  </v>
          </cell>
          <cell r="M65" t="str">
            <v xml:space="preserve">Eficacia 
</v>
          </cell>
          <cell r="N65" t="str">
            <v xml:space="preserve">Lealtad                                        
Vocacion de servicio </v>
          </cell>
        </row>
        <row r="66">
          <cell r="I66" t="str">
            <v>Porcentaje de informes realizados a partir de las auditorías llevadas a cabo.</v>
          </cell>
          <cell r="J66" t="str">
            <v xml:space="preserve">Porcentaje de espacios de capacitación y desarrollo de control social, atendidos en el período </v>
          </cell>
          <cell r="K66" t="str">
            <v>Numero de espacios de capacitación y desarrollo de control social atendidos en el período</v>
          </cell>
          <cell r="L66" t="str">
            <v>Numero de espacios de capacitación y desarrollo de control social programados para el periodo</v>
          </cell>
          <cell r="M66" t="str">
            <v>Eficiencia</v>
          </cell>
          <cell r="N66" t="str">
            <v>Compromiso                               
Eficiencia</v>
          </cell>
        </row>
        <row r="67">
          <cell r="I67" t="str">
            <v>Porcentaje de auditorías realizadas en el periodo.</v>
          </cell>
          <cell r="J67" t="str">
            <v>Porcentaje acumulado de actividades para la implementación de instrumentos de medición de la calidad de los servicios de los actores del SGSSS</v>
          </cell>
          <cell r="K67" t="str">
            <v xml:space="preserve">Porcentaje acumulado de actividades para la implementación de instrumentos de medición de la calidad de los servicios de los actores del SGSSS realizados en el periodo </v>
          </cell>
          <cell r="L67" t="str">
            <v>Porcentaje acumulado de actividades para la implementación de instrumentos de medición de la calidad de los servicios de los actores del SGSSS programados en el periodo</v>
          </cell>
          <cell r="M67" t="str">
            <v>Efectividad</v>
          </cell>
          <cell r="N67" t="str">
            <v>Mejoramiento continuo
Pertinencia</v>
          </cell>
        </row>
        <row r="68">
          <cell r="I68" t="str">
            <v>Porcentaje de informes realizados a partir de las auditorías llevadas a cabo.</v>
          </cell>
          <cell r="J68" t="str">
            <v xml:space="preserve">Porcentaje de cumplimiento de los hitos y/o productos en el periodo
</v>
          </cell>
          <cell r="K68" t="str">
            <v xml:space="preserve">Numero de hitos y/o producto entregado en los plazos definidos, en el periodo 
</v>
          </cell>
          <cell r="L68" t="str">
            <v xml:space="preserve"> Numero total de hitos y/o producto programados para el periodo
</v>
          </cell>
          <cell r="M68" t="str">
            <v xml:space="preserve">Eficacia 
</v>
          </cell>
          <cell r="N68" t="str">
            <v>Eficacia
Oportunidad</v>
          </cell>
        </row>
        <row r="69">
          <cell r="I69" t="e">
            <v>#N/A</v>
          </cell>
          <cell r="J69" t="str">
            <v xml:space="preserve">Porcentaje de cumplimiento de los hitos y/o productos en el periodo
</v>
          </cell>
          <cell r="K69" t="str">
            <v xml:space="preserve">Numero de hitos y/o producto entregado en los plazos definidos, en el periodo </v>
          </cell>
          <cell r="L69" t="str">
            <v xml:space="preserve"> Numero total de hitos y/o producto programados para el periodo
</v>
          </cell>
          <cell r="M69" t="str">
            <v xml:space="preserve">Eficacia 
</v>
          </cell>
          <cell r="N69" t="str">
            <v>Eficacia
Oportunidad</v>
          </cell>
        </row>
        <row r="70">
          <cell r="I70" t="str">
            <v>Porcentaje de peticiones, quejas, reclamos, denuncias, solicitudes de información respondidas y gestionadas dentro de los plazos de la Ley en el período</v>
          </cell>
          <cell r="J70" t="str">
            <v>Porcentaje de peticiones, quejas, reclamos, denuncias, solicitudes de información respondidas y gestionadas dentro de los plazos de la Ley en el período</v>
          </cell>
          <cell r="K70" t="str">
            <v>Numero de peticiones, quejas, reclamos, denuncias, solicitudes de información respondidas y gestionadas dentro de los plazos de la Ley en el periodo</v>
          </cell>
          <cell r="L70" t="str">
            <v>Numero  de peticiones, quejas, reclamos, denuncias, solicitudes de información recibidas en el periodo</v>
          </cell>
          <cell r="M70" t="str">
            <v xml:space="preserve">Eficacia 
</v>
          </cell>
          <cell r="N70" t="str">
            <v>Pertinencia                                 
Vocacion de servicio</v>
          </cell>
        </row>
        <row r="71">
          <cell r="I71" t="str">
            <v>Porcentaje de visitas realizadas en el periodo.</v>
          </cell>
          <cell r="J71" t="str">
            <v>Porcentaje de visitas realizadas en el periodo.</v>
          </cell>
          <cell r="K71" t="str">
            <v>Número de visitas realizadas en el período</v>
          </cell>
          <cell r="L71" t="str">
            <v xml:space="preserve"> Número  de visitas programadas en el período</v>
          </cell>
          <cell r="M71" t="str">
            <v>Eficiencia</v>
          </cell>
          <cell r="N71" t="str">
            <v>Eficiencia                                
Oportunidad</v>
          </cell>
        </row>
        <row r="72">
          <cell r="I72" t="str">
            <v>Porcentaje de medidas de control y/o planes de  mejoramiento y/o comunicación o requerimiento para la explicación por fallas en el desempeño en atención al usuario</v>
          </cell>
          <cell r="J72" t="str">
            <v>Porcentaje de medidas de control y/o planes de  mejoramiento y/o comunicación o requerimiento para la explicación por fallas en el desempeño en atención al usuario</v>
          </cell>
          <cell r="K72" t="str">
            <v>Número  de medidas de control y/o planes de mejoramiento y/o comunicación o requerimiento para la explicación por fallas en el desempeño en atención al usuario realizadas en el periodo</v>
          </cell>
          <cell r="L72" t="str">
            <v>Número de medidas de control  planes de mejoramiento y/o comunicación o requerimiento para la explicación por fallas en el desempeño en atención al usuario que se deben realizar en el periodo según la metodología de evaluación de desempeño de las EPS en la atención al usuario</v>
          </cell>
          <cell r="M72" t="str">
            <v xml:space="preserve">Eficacia 
</v>
          </cell>
          <cell r="N72" t="str">
            <v>Legalidad                                 
Pertinencia                         
Responsabilidad</v>
          </cell>
        </row>
        <row r="73">
          <cell r="I73" t="str">
            <v xml:space="preserve">Porcentaje de Pre jornadas de la función de conciliación </v>
          </cell>
          <cell r="J73" t="str">
            <v xml:space="preserve">Porcentaje de Pre jornadas de la función de conciliación </v>
          </cell>
          <cell r="K73" t="str">
            <v xml:space="preserve">Número de Pre Jornadas de Conciliación realizadas en la vigencia  con informe. 
</v>
          </cell>
          <cell r="L73" t="str">
            <v xml:space="preserve">Número de Pre Jornadas de Conciliación programadas en la vigencia 
</v>
          </cell>
          <cell r="M73" t="str">
            <v xml:space="preserve">Eficacia 
</v>
          </cell>
          <cell r="N73" t="str">
            <v>Equidad                                    
Pertinencia                                    
Respeto</v>
          </cell>
        </row>
        <row r="74">
          <cell r="I74" t="str">
            <v>Porcentaje de Jornadas de la función de conciliación realizadas</v>
          </cell>
          <cell r="J74" t="str">
            <v>Porcentaje de Jornadas de la función de conciliación realizadas</v>
          </cell>
          <cell r="K74" t="str">
            <v xml:space="preserve">Número de Jornadas de Conciliación realizadas en la vigencia con informe 
</v>
          </cell>
          <cell r="L74" t="str">
            <v xml:space="preserve">Número de Jornadas de Conciliación programadas en la vigencia </v>
          </cell>
          <cell r="M74" t="str">
            <v xml:space="preserve">Eficacia 
</v>
          </cell>
          <cell r="N74" t="str">
            <v>Equidad                                    
Pertinencia                                    
Respeto</v>
          </cell>
        </row>
        <row r="75">
          <cell r="I75" t="str">
            <v>Porcentaje Audiencias de Conciliación de la función de conciliación realizadas</v>
          </cell>
          <cell r="J75" t="str">
            <v>Porcentaje Audiencias de Conciliación de la función de conciliación realizadas</v>
          </cell>
          <cell r="K75" t="str">
            <v>Número de audiencia de conciliación convocadas en el período</v>
          </cell>
          <cell r="L75" t="str">
            <v xml:space="preserve">Número de solicitudes con lleno de requisitos presentadas en el período </v>
          </cell>
          <cell r="M75" t="str">
            <v>Eficiencia</v>
          </cell>
          <cell r="N75" t="str">
            <v>Equidad                                    
Pertinencia                                    
Respeto</v>
          </cell>
        </row>
        <row r="76">
          <cell r="I76" t="str">
            <v xml:space="preserve">Porcentaje de informes de seguimiento al cumplimiento de los acuerdos de conciliación realizados en el periodo. 
</v>
          </cell>
          <cell r="J76" t="str">
            <v xml:space="preserve">Porcentaje de informes de seguimiento al cumplimiento de los acuerdos de conciliación realizados en el periodo. 
</v>
          </cell>
          <cell r="K76" t="str">
            <v xml:space="preserve">Número de informes de seguimiento al cumplimiento de los acuerdos de conciliación realizados en el periodo.  
</v>
          </cell>
          <cell r="L76" t="str">
            <v xml:space="preserve">Número de informes de seguimiento al cumplimiento de los acuerdos de conciliación programados en el periodo.  
</v>
          </cell>
          <cell r="M76" t="str">
            <v>Eficiencia</v>
          </cell>
          <cell r="N76" t="str">
            <v>Equidad                                    
Pertinencia                                   
 Responsabilidad</v>
          </cell>
        </row>
        <row r="77">
          <cell r="I77" t="str">
            <v>Porcentaje  de solicitudes tramitadas</v>
          </cell>
          <cell r="J77" t="str">
            <v>Porcentaje  de solicitudes tramitadas</v>
          </cell>
          <cell r="K77" t="str">
            <v>Número de procesos con providencias judiciales.</v>
          </cell>
          <cell r="L77" t="str">
            <v>Número de solicitudes (demandas) recibidas en el año con corte al trimestre anterior al mes de reporte</v>
          </cell>
          <cell r="M77" t="str">
            <v>Eficiencia</v>
          </cell>
          <cell r="N77" t="str">
            <v xml:space="preserve">Eficacia
Pertinencia
</v>
          </cell>
        </row>
        <row r="78">
          <cell r="I78" t="e">
            <v>#N/A</v>
          </cell>
          <cell r="J78" t="str">
            <v>Porcentaje de solicitudes tramitadas en el mes.</v>
          </cell>
          <cell r="K78" t="str">
            <v xml:space="preserve">Número  de solicitudes tramitadas en el mes / </v>
          </cell>
          <cell r="L78" t="str">
            <v>Número de solicitudes recibidas en el mes</v>
          </cell>
          <cell r="M78" t="str">
            <v xml:space="preserve">Eficacia 
</v>
          </cell>
          <cell r="N78" t="str">
            <v xml:space="preserve">Eficacia
Pertinencia
</v>
          </cell>
        </row>
        <row r="79">
          <cell r="I79" t="str">
            <v>Porcentaje de cumplimiento de los hitos y/o productos en el periodo</v>
          </cell>
          <cell r="J79" t="str">
            <v>Porcentaje de cumplimiento de los hitos y/o productos en el periodo</v>
          </cell>
          <cell r="K79" t="str">
            <v xml:space="preserve">Numero de hitos y/o producto entregado en los plazos definidos, en el periodo 
</v>
          </cell>
          <cell r="L79" t="str">
            <v xml:space="preserve"> Numero total de hitos y/o producto programados para el periodo
</v>
          </cell>
          <cell r="M79" t="str">
            <v>Eficiencia</v>
          </cell>
          <cell r="N79" t="str">
            <v xml:space="preserve">Eficacia
Oportunidad
</v>
          </cell>
        </row>
        <row r="80">
          <cell r="I80" t="e">
            <v>#N/A</v>
          </cell>
          <cell r="J80" t="str">
            <v>Porcentaje de metodología, instrumentos y políticas diseñados o ajustados en el periodo.</v>
          </cell>
          <cell r="K80" t="str">
            <v>Número de metodologías, instrumentos y políticas diseñadas  o ajustadas en el periodo</v>
          </cell>
          <cell r="L80" t="str">
            <v xml:space="preserve"> Número total de metodologías, instrumentos y políticas diseñadas  o ajustada, programadas a tramitar en el periodo</v>
          </cell>
          <cell r="M80" t="str">
            <v xml:space="preserve">Eficacia 
</v>
          </cell>
          <cell r="N80" t="str">
            <v xml:space="preserve">Mejoramiento continuo
Oportunidad
</v>
          </cell>
        </row>
        <row r="81">
          <cell r="I81" t="str">
            <v>Porcentaje de cumplimiento de los hitos y/o productos definidos en el cronograma.</v>
          </cell>
          <cell r="J81" t="str">
            <v>Porcentaje de cumplimiento de los hitos y/o productos definidos en el cronograma.</v>
          </cell>
          <cell r="K81" t="str">
            <v xml:space="preserve">Número de hitos y/o productos entregados en los plazos definidos en el cronograma. </v>
          </cell>
          <cell r="L81" t="str">
            <v xml:space="preserve"> Número total de hitos y/o productos programados para el periodo.</v>
          </cell>
          <cell r="M81" t="str">
            <v>Eficiencia</v>
          </cell>
          <cell r="N81" t="str">
            <v xml:space="preserve">Eficacia
Oportunidad
</v>
          </cell>
        </row>
        <row r="82">
          <cell r="I82" t="str">
            <v xml:space="preserve">Porcentaje de consultas jurídicas, solicitud de información y Derechos de Petición respondidos en el periodo. </v>
          </cell>
          <cell r="J82" t="str">
            <v xml:space="preserve">Porcentaje de consultas jurídicas, solicitud de información y Derechos de Petición respondidos en el periodo. </v>
          </cell>
          <cell r="K82" t="str">
            <v>Número de consultas jurídicas, solicitud de información y Derechos de Petición respondidos oportunamente en el periodo.</v>
          </cell>
          <cell r="L82" t="str">
            <v>Número de consultas jurídicas, solicitud de información y Derechos de Petición recibidos y con vencimiento en el periodo.</v>
          </cell>
          <cell r="M82" t="str">
            <v xml:space="preserve">Eficacia 
</v>
          </cell>
          <cell r="N82" t="str">
            <v>Eficacia
Pertinencia</v>
          </cell>
        </row>
        <row r="83">
          <cell r="I83" t="str">
            <v xml:space="preserve">Porcentaje de actividades que permitan la interiorización del pensamiento jurídico de la Entidad en los Usuarios internos y externos </v>
          </cell>
          <cell r="J83" t="str">
            <v xml:space="preserve">Porcentaje de actividades que permitan la interiorización del pensamiento jurídico de la Entidad en los Usuarios internos y externos </v>
          </cell>
          <cell r="K83" t="str">
            <v>Número de actividades realizadas y evaluadas para lograr la unificación e interiorización del pensamiento jurídico de la Entidad.</v>
          </cell>
          <cell r="L83" t="str">
            <v>Número de actividades programadas para lograr la interiorización y unificación del pensamiento jurídico de la Entidad en el período.</v>
          </cell>
          <cell r="M83" t="str">
            <v>Efectividad</v>
          </cell>
          <cell r="N83" t="str">
            <v xml:space="preserve">
Legalidad
Mejoramiento Continuo</v>
          </cell>
        </row>
        <row r="84">
          <cell r="I84" t="str">
            <v xml:space="preserve">Porcentaje de actuaciones para adelantar cobro persuasivo o coactivo surtidas en el periodo </v>
          </cell>
          <cell r="J84" t="str">
            <v xml:space="preserve">Porcentaje de actuaciones para adelantar cobro persuasivo o coactivo surtidas en el periodo </v>
          </cell>
          <cell r="K84" t="str">
            <v>Número de actuaciones para adelantar cobro persuasivo o coactivo ejecutadas en el periodo.</v>
          </cell>
          <cell r="L84" t="str">
            <v>Número de actuaciones para adelantar cobro persuasivo o coactivo programadas para ejecutar en el periodo.</v>
          </cell>
          <cell r="M84" t="str">
            <v xml:space="preserve">Eficacia 
</v>
          </cell>
          <cell r="N84" t="str">
            <v xml:space="preserve">Eficacia
Legalidad
</v>
          </cell>
        </row>
        <row r="85">
          <cell r="I85" t="str">
            <v>Porcentaje de procesos a los cuales se les dio impulso  para cobro jurídico en el periodo.</v>
          </cell>
          <cell r="J85" t="str">
            <v>Porcentaje de procesos a los cuales se les dio impulso  para cobro jurídico en el periodo.</v>
          </cell>
          <cell r="K85" t="str">
            <v>Número de procesos para cobro jurídico con trámite iniciado en el periodo.</v>
          </cell>
          <cell r="L85" t="str">
            <v>Número de procesos para cobro jurídico recibidos en el periodo.</v>
          </cell>
          <cell r="M85" t="str">
            <v>Eficiencia</v>
          </cell>
          <cell r="N85" t="str">
            <v xml:space="preserve">
Legalidad
Pertinencia</v>
          </cell>
        </row>
        <row r="86">
          <cell r="I86" t="str">
            <v xml:space="preserve"> Porcentaje solicitudes de conciliaciones recibidas y tramitadas en el periodo, dentro de los términos de ley</v>
          </cell>
          <cell r="J86" t="str">
            <v xml:space="preserve"> Porcentaje solicitudes de conciliaciones recibidas y tramitadas en el periodo, dentro de los términos de ley</v>
          </cell>
          <cell r="K86" t="str">
            <v>Número de conciliaciones recibidas y tramitadas en el periodo, dentro de los términos de ley.</v>
          </cell>
          <cell r="L86" t="str">
            <v>Total de solicitudes de conciliaciones recibidas en el periodo.</v>
          </cell>
          <cell r="M86" t="str">
            <v xml:space="preserve">Eficacia 
</v>
          </cell>
          <cell r="N86" t="str">
            <v xml:space="preserve">
Legalidad
Pertinencia</v>
          </cell>
        </row>
        <row r="87">
          <cell r="I87" t="e">
            <v>#N/A</v>
          </cell>
          <cell r="J87" t="str">
            <v xml:space="preserve">
Porcentaje de documentos de acciones contencioso-administrativas y ordinarias recibidos en el periodo y tramitados dentro de los términos de ley.   </v>
          </cell>
          <cell r="K87" t="str">
            <v>Número de documentos de acciones contencioso-administrativas y ordinarias tramitados dentro de los términos de ley</v>
          </cell>
          <cell r="L87" t="str">
            <v>Total de documentos de acciones contencioso-administrativas y ordinarias recibidos en el periodo.</v>
          </cell>
          <cell r="M87" t="str">
            <v>Eficiencia</v>
          </cell>
          <cell r="N87" t="str">
            <v xml:space="preserve">
Legalidad
Pertinencia</v>
          </cell>
        </row>
        <row r="88">
          <cell r="I88" t="str">
            <v>Porcentaje de respuestas oportunas a acciones constitucionales de tutela en el periodo</v>
          </cell>
          <cell r="J88" t="str">
            <v>Porcentaje de respuestas oportunas a acciones constitucionales de tutela en el periodo</v>
          </cell>
          <cell r="K88" t="str">
            <v>Número de acciones constitucionales de tutela con respuesta oportuna en el periodo</v>
          </cell>
          <cell r="L88" t="str">
            <v>Número de acciones constitucionales de tutela recibidas en el periodo</v>
          </cell>
          <cell r="M88" t="str">
            <v xml:space="preserve">Eficacia 
</v>
          </cell>
          <cell r="N88" t="str">
            <v>Legalidad
Pertinencia 
Responsabilidad</v>
          </cell>
        </row>
        <row r="89">
          <cell r="I89" t="e">
            <v>#N/A</v>
          </cell>
          <cell r="J89" t="str">
            <v>Porcentaje de actos administrativos que resuelven los recursos de reposición y apelación interpuestos contra las resoluciones de única instancia y segunda instancia en el periodo</v>
          </cell>
          <cell r="K89" t="str">
            <v xml:space="preserve">Número de actos administrativos que resuelven los recursos de reposición y apelación contra las resoluciones de única y segunda instancia proyectadas en el periodo. </v>
          </cell>
          <cell r="L89" t="str">
            <v xml:space="preserve">Total de actos administrativos que interponen  recursos de reposición y apelación sobre las resoluciones  de única y segunda instancia expedidas, que fueron recibidos en el periodo. </v>
          </cell>
          <cell r="M89" t="str">
            <v>Eficiencia</v>
          </cell>
          <cell r="N89" t="str">
            <v>Legalidad
Pertinencia 
Responsabilidad</v>
          </cell>
        </row>
        <row r="90">
          <cell r="I90" t="str">
            <v>Porcentaje de actos administrativos que resuelven los recursos de reposición interpuestos contra las resoluciones de cobro de tasa de supervisión en el periodo.</v>
          </cell>
          <cell r="J90" t="str">
            <v>Porcentaje de actos administrativos que resuelven los recursos de reposición interpuestos contra las resoluciones de cobro de tasa de supervisión en el periodo.</v>
          </cell>
          <cell r="K90" t="str">
            <v>Número de resoluciones proyectadas en el periodo de los actos administrativos de Liquidación de la Tasa</v>
          </cell>
          <cell r="L90" t="str">
            <v>Total de recursos de reposición interpuesta sobre los actos administrativos de liquidación de la tasa de supervisión, que fueron recibidos en el periodo</v>
          </cell>
          <cell r="M90" t="str">
            <v>Eficiencia</v>
          </cell>
          <cell r="N90" t="str">
            <v>Legalidad
Pertinencia 
Responsabilidad</v>
          </cell>
        </row>
        <row r="91">
          <cell r="I91" t="str">
            <v>Porcentaje de Auditorías Internas efectuadas en el período</v>
          </cell>
          <cell r="J91" t="str">
            <v>Porcentaje de Auditorías Internas efectuadas en el período</v>
          </cell>
          <cell r="K91" t="str">
            <v>Informes de Auditorías Internas debidamente soportados, generados en los tiempos establecidos.</v>
          </cell>
          <cell r="L91" t="str">
            <v>Total de Informes de Auditorias Internas programados en el periodo.</v>
          </cell>
          <cell r="M91" t="str">
            <v>Eficiencia</v>
          </cell>
          <cell r="N91" t="str">
            <v xml:space="preserve">Mejoramiento continuo
Oportunidad
</v>
          </cell>
        </row>
        <row r="92">
          <cell r="I92" t="str">
            <v>Porcentaje de Seguimientos y Evaluaciones efectuadas en el periodo</v>
          </cell>
          <cell r="J92" t="str">
            <v>Porcentaje de Seguimientos y Evaluaciones efectuadas en el periodo</v>
          </cell>
          <cell r="K92" t="str">
            <v>Número de Seguimientos y Evaluaciones realizadas oportunamente dentro de las fechas programadas en el periodo.</v>
          </cell>
          <cell r="L92" t="str">
            <v>Total Seguimientos y Evaluaciones programados en el periodo.</v>
          </cell>
          <cell r="M92" t="str">
            <v>Eficiencia</v>
          </cell>
          <cell r="N92" t="str">
            <v xml:space="preserve">Mejoramiento continuo
Oportunidad
</v>
          </cell>
        </row>
        <row r="93">
          <cell r="I93" t="str">
            <v>Porcentaje acumulado de informes de ejecución y alertas tempranas enviados en la vigencia</v>
          </cell>
          <cell r="J93" t="str">
            <v>Porcentaje acumulado de informes de ejecución y alertas tempranas enviados en la vigencia</v>
          </cell>
          <cell r="K93" t="str">
            <v>Número acumulado de informes enviados a la alta dirección en la vigencia</v>
          </cell>
          <cell r="L93" t="str">
            <v>Número total de informes a enviar en la vigencia</v>
          </cell>
          <cell r="M93" t="str">
            <v xml:space="preserve">Eficacia 
</v>
          </cell>
          <cell r="N93" t="str">
            <v>Legalidad
Pertinencia 
Responsabilidad</v>
          </cell>
        </row>
        <row r="94">
          <cell r="I94" t="str">
            <v>Porcentaje de funcionarios con calificación satisfactoria producto de evaluación virtual por cada actividad de capacitación.</v>
          </cell>
          <cell r="J94" t="str">
            <v>Porcentaje de funcionarios con calificación satisfactoria producto de evaluación virtual por cada actividad de capacitación.</v>
          </cell>
          <cell r="K94" t="str">
            <v>Número de funcionarios con calificación satisfactoria producto de evaluación virtual por cada actividad de capacitación.</v>
          </cell>
          <cell r="L94" t="str">
            <v>Número de funcionarios que asistieron a actividades de socialización y capacitación evaluados virtualmente.</v>
          </cell>
          <cell r="M94" t="str">
            <v>Eficiencia</v>
          </cell>
          <cell r="N94" t="str">
            <v xml:space="preserve">Mejoramiento Continuo
Probidad
</v>
          </cell>
        </row>
        <row r="95">
          <cell r="I95" t="str">
            <v>Porcentaje de evaluación de solicitudes de modificación y/o actualización de Proyectos de inversión pública en el periodo</v>
          </cell>
          <cell r="J95" t="str">
            <v>Porcentaje de evaluación de solicitudes de modificación y/o actualización de Proyectos de inversión pública en el periodo</v>
          </cell>
          <cell r="K95" t="str">
            <v>Número de solicitudes de modificación y/o actualización de Proyectos de inversión pública evaluadas en el periodo.</v>
          </cell>
          <cell r="L95" t="str">
            <v>Número de solicitudes de modificación y/o actualización de Proyectos de inversión pública presentadas en el periodo.</v>
          </cell>
          <cell r="M95" t="str">
            <v>Eficiencia</v>
          </cell>
          <cell r="N95" t="str">
            <v>Mejoramiento continuo
Compromiso</v>
          </cell>
        </row>
        <row r="96">
          <cell r="I96" t="str">
            <v>Porcentaje de cumplimiento de los hitos y/o productos definidos en el cronograma</v>
          </cell>
          <cell r="J96" t="str">
            <v>Porcentaje de cumplimiento de los hitos y/o productos definidos en el cronograma</v>
          </cell>
          <cell r="K96" t="str">
            <v>Número de hitos y/o productos entregados en los plazos definidos en el cronograma.</v>
          </cell>
          <cell r="L96" t="str">
            <v>Número total de hitos y/o productos programados para el periodo.</v>
          </cell>
          <cell r="M96" t="str">
            <v>Eficiencia</v>
          </cell>
          <cell r="N96" t="str">
            <v>Mejoramiento continuo
Oportunidad</v>
          </cell>
        </row>
        <row r="97">
          <cell r="I97" t="str">
            <v>Porcentaje de cumplimiento en la ejecución  de actividades para los estudios definidos en el periodo</v>
          </cell>
          <cell r="J97" t="str">
            <v>Porcentaje de cumplimiento en la ejecución  de actividades para los estudios definidos en el periodo</v>
          </cell>
          <cell r="K97" t="str">
            <v>Total de actividades de los estudios, que cumplen la ejecución definida para el corte del periodo.</v>
          </cell>
          <cell r="L97" t="str">
            <v>Total de actividades Programadas para el periodo.</v>
          </cell>
          <cell r="M97" t="str">
            <v>Eficiencia</v>
          </cell>
          <cell r="N97" t="str">
            <v xml:space="preserve">Compromiso
Lealtad
Mejoramiento continuo
</v>
          </cell>
        </row>
        <row r="98">
          <cell r="I98" t="str">
            <v>Porcentaje de liquidaciones individuales de Tasa realizadas oportunamente</v>
          </cell>
          <cell r="J98" t="str">
            <v>Porcentaje de liquidaciones individuales de Tasa realizadas oportunamente</v>
          </cell>
          <cell r="K98" t="str">
            <v>Cantidad total de liquidaciones individuales de Tasa realizadas oportunamente.</v>
          </cell>
          <cell r="L98" t="str">
            <v>Cantidad total de liquidaciones individuales de Tasa solicitadas que cumplen con todos los parámetros de información requeridos para aplicar la fórmula.</v>
          </cell>
          <cell r="M98" t="str">
            <v xml:space="preserve">Eficacia 
</v>
          </cell>
          <cell r="N98" t="str">
            <v>Oportunidad
Mejoramiento continuo</v>
          </cell>
        </row>
        <row r="99">
          <cell r="I99" t="e">
            <v>#N/A</v>
          </cell>
          <cell r="J99" t="str">
            <v>Porcentaje Reportes e Informes Estadísticos Entregados Oportunamente</v>
          </cell>
          <cell r="K99" t="str">
            <v>Número de Reportes e Informes Estadísticos entregados Oportunamente.</v>
          </cell>
          <cell r="L99" t="str">
            <v>Número de Reportes o Informes Estadísticos solicitados o programados.</v>
          </cell>
          <cell r="M99" t="str">
            <v xml:space="preserve">Eficacia 
</v>
          </cell>
          <cell r="N99" t="str">
            <v>Oportunidad
Mejoramiento continuo</v>
          </cell>
        </row>
        <row r="100">
          <cell r="I100" t="str">
            <v>Porcentaje acumulado de Planes y Programas institucionales formulados en el periodo de acuerdo con los lineamientos establecidos en la norma</v>
          </cell>
          <cell r="J100" t="str">
            <v>Porcentaje acumulado de Planes y Programas institucionales formulados en el periodo de acuerdo con los lineamientos establecidos en la norma</v>
          </cell>
          <cell r="K100" t="str">
            <v>Número de Planes y Programas institucionales formulados en el periodo de acuerdo con los lineamientos establecidos en la norma.</v>
          </cell>
          <cell r="L100" t="str">
            <v>Número de Planes y Programas institucionales programados a formularse en el período</v>
          </cell>
          <cell r="M100" t="str">
            <v xml:space="preserve">Eficacia 
</v>
          </cell>
          <cell r="N100" t="str">
            <v>Oportunidad
Mejoramiento continuo</v>
          </cell>
        </row>
        <row r="101">
          <cell r="I101" t="e">
            <v>#N/A</v>
          </cell>
          <cell r="J101" t="str">
            <v>Porcentaje acumulado de Planes y Programas con informes de seguimiento a la ejecución elaborados dentro de los plazos establecidos.</v>
          </cell>
          <cell r="K101" t="str">
            <v>Número de Planes y Programas estratégicos con informe de seguimiento a la ejecución, elaborados dentro de los plazos legales establecidos.</v>
          </cell>
          <cell r="L101" t="str">
            <v>Número de Planes y Programas institucionales programados para seguimiento y evaluación dentro de los plazos legales establecidos.</v>
          </cell>
          <cell r="M101" t="str">
            <v>Eficiencia</v>
          </cell>
          <cell r="N101" t="str">
            <v>Oportunidad
Mejoramiento continuo</v>
          </cell>
        </row>
        <row r="102">
          <cell r="I102" t="e">
            <v>#N/A</v>
          </cell>
          <cell r="J102" t="str">
            <v>Porcentaje de solicitudes de modificación del PAG tramitadas en el período</v>
          </cell>
          <cell r="K102" t="str">
            <v>Número de solicitudes de modificación del PAG, aprobadas en el período</v>
          </cell>
          <cell r="L102" t="str">
            <v>Número de solicitudes de modificación del PAG recibidas y que reúnen requisitos en el período.</v>
          </cell>
          <cell r="M102" t="str">
            <v>Eficiencia</v>
          </cell>
          <cell r="N102" t="str">
            <v>Oportunidad
Mejoramiento continuo</v>
          </cell>
        </row>
        <row r="103">
          <cell r="I103" t="str">
            <v>Porcentaje acumulado de procesos priorizados para el mejoramiento continuo</v>
          </cell>
          <cell r="J103" t="str">
            <v>Porcentaje acumulado de procesos priorizados para el mejoramiento continuo</v>
          </cell>
          <cell r="K103" t="str">
            <v>Número de jornadas realizadas para el mejoramiento continuo de los procesos del SIG</v>
          </cell>
          <cell r="L103" t="str">
            <v xml:space="preserve">Numero total de procesos del SIG priorizados </v>
          </cell>
          <cell r="M103" t="str">
            <v xml:space="preserve">Eficacia 
</v>
          </cell>
          <cell r="N103" t="str">
            <v xml:space="preserve">
Oportunidad
Trabajo en equipo</v>
          </cell>
        </row>
        <row r="104">
          <cell r="I104" t="str">
            <v>Porcentaje de cumplimiento de los hitos y/o productos definidos en el cronograma.</v>
          </cell>
          <cell r="J104" t="str">
            <v>Porcentaje de cumplimiento de los hitos y/o productos definidos en el cronograma.</v>
          </cell>
          <cell r="K104" t="str">
            <v>Número de hitos y/o productos entregados en los plazos definidos en el cronograma.</v>
          </cell>
          <cell r="L104" t="str">
            <v>Número total de hitos y/o productos programados para el periodo.</v>
          </cell>
          <cell r="M104" t="str">
            <v>Eficiencia</v>
          </cell>
          <cell r="N104" t="str">
            <v xml:space="preserve">Mejoramiento continuo
Oportunidad
</v>
          </cell>
        </row>
        <row r="105">
          <cell r="I105" t="str">
            <v>Porcentaje de cumplimiento de los hitos y/o productos definidos en el cronograma.</v>
          </cell>
          <cell r="J105" t="str">
            <v>Porcentaje de cumplimiento de los hitos y/o productos definidos en el cronograma.</v>
          </cell>
          <cell r="K105" t="str">
            <v>Número de hitos y/o productos entregados en los plazos definidos en el cronograma.</v>
          </cell>
          <cell r="L105" t="str">
            <v>Número total de hitos y/o productos programados para el periodo.</v>
          </cell>
          <cell r="M105" t="str">
            <v>Eficiencia</v>
          </cell>
          <cell r="N105" t="str">
            <v xml:space="preserve">Mejoramiento continuo
Oportunidad
</v>
          </cell>
        </row>
        <row r="106">
          <cell r="I106" t="str">
            <v>Porcentaje de cumplimiento de los hitos y/o productos definidos en el cronograma.</v>
          </cell>
          <cell r="J106" t="str">
            <v>Porcentaje de cumplimiento de los hitos y/o productos definidos en el cronograma.</v>
          </cell>
          <cell r="K106" t="str">
            <v>Número de hitos y/o productos entregados en los plazos definidos en el cronograma.</v>
          </cell>
          <cell r="L106" t="str">
            <v>Número total de hitos y/o productos programados para el periodo.</v>
          </cell>
          <cell r="M106" t="str">
            <v>Eficiencia</v>
          </cell>
          <cell r="N106" t="str">
            <v xml:space="preserve">Mejoramiento continuo
Oportunidad
</v>
          </cell>
        </row>
        <row r="107">
          <cell r="I107" t="str">
            <v>Porcentaje de cumplimiento de los hitos y/o productos definidos en el cronograma.</v>
          </cell>
          <cell r="J107" t="str">
            <v>Porcentaje de cumplimiento de los hitos y/o productos definidos en el cronograma.</v>
          </cell>
          <cell r="K107" t="str">
            <v>Número de hitos y/o productos entregados en los plazos definidos en el cronograma.</v>
          </cell>
          <cell r="L107" t="str">
            <v>Número total de hitos y/o productos programados para el periodo.</v>
          </cell>
          <cell r="M107" t="str">
            <v>Eficiencia</v>
          </cell>
          <cell r="N107" t="str">
            <v xml:space="preserve">Mejoramiento continuo
Oportunidad
</v>
          </cell>
        </row>
        <row r="108">
          <cell r="I108" t="str">
            <v>Porcentaje de avance en la ejecución de las actividades para la administración del  Sistema Integrado de Gestión.</v>
          </cell>
          <cell r="J108" t="str">
            <v>Porcentaje de avance en la ejecución de las actividades para la administración del  Sistema Integrado de Gestión.</v>
          </cell>
          <cell r="K108" t="str">
            <v xml:space="preserve">Número de actividades realizadas del Plan de acción para la administración del Sistema Integrado de Gestión en el periodo </v>
          </cell>
          <cell r="L108" t="str">
            <v>Total de actividades programadas en el Plan de Acción para la administración del  Sistema Integrado de Gestión en el periodo.</v>
          </cell>
          <cell r="M108" t="str">
            <v xml:space="preserve">Eficacia 
</v>
          </cell>
          <cell r="N108" t="str">
            <v xml:space="preserve">Mejoramiento continuo
Trabajo en equipo
</v>
          </cell>
        </row>
        <row r="109">
          <cell r="I109" t="str">
            <v>Porcentaje de avance en la ejecución de las actividades para la administración del  Sistema Integrado de Gestión.</v>
          </cell>
          <cell r="J109" t="str">
            <v>Porcentaje de avance en la ejecución de las actividades para la administración del  Sistema Integrado de Gestión.</v>
          </cell>
          <cell r="K109" t="str">
            <v xml:space="preserve">Número de actividades realizadas del Plan de acción para la administración del Sistema Integrado de Gestión en el periodo </v>
          </cell>
          <cell r="L109" t="str">
            <v>Total de actividades programadas en el Plan de Acción para la administración del  Sistema Integrado de Gestión en el periodo.</v>
          </cell>
          <cell r="M109" t="str">
            <v xml:space="preserve">Eficacia 
</v>
          </cell>
          <cell r="N109" t="str">
            <v xml:space="preserve">Mejoramiento continuo
Trabajo en equipo
</v>
          </cell>
        </row>
        <row r="110">
          <cell r="I110" t="str">
            <v>Porcentaje de avance en la ejecución de las actividades para la administración del  Sistema Integrado de Gestión.</v>
          </cell>
          <cell r="J110" t="str">
            <v>Porcentaje de avance en la ejecución de las actividades para la administración del  Sistema Integrado de Gestión.</v>
          </cell>
          <cell r="K110" t="str">
            <v xml:space="preserve">Número de actividades realizadas del Plan de acción para la administración del Sistema Integrado de Gestión en el periodo </v>
          </cell>
          <cell r="L110" t="str">
            <v>Total de actividades programadas en el Plan de Acción para la administración del  Sistema Integrado de Gestión en el periodo.</v>
          </cell>
          <cell r="M110" t="str">
            <v xml:space="preserve">Eficacia 
</v>
          </cell>
          <cell r="N110" t="str">
            <v xml:space="preserve">Mejoramiento continuo
Trabajo en equipo
</v>
          </cell>
        </row>
        <row r="111">
          <cell r="I111" t="str">
            <v>Porcentaje de avance en la ejecución de las actividades para la administración del  Sistema Integrado de Gestión.</v>
          </cell>
          <cell r="J111" t="str">
            <v>Porcentaje de avance en la ejecución de las actividades para la administración del  Sistema Integrado de Gestión.</v>
          </cell>
          <cell r="K111" t="str">
            <v xml:space="preserve">Número de actividades realizadas del Plan de acción para la administración del Sistema Integrado de Gestión en el periodo </v>
          </cell>
          <cell r="L111" t="str">
            <v>Total de actividades programadas en el Plan de Acción para la administración del  Sistema Integrado de Gestión en el periodo.</v>
          </cell>
          <cell r="M111" t="str">
            <v xml:space="preserve">Eficacia 
</v>
          </cell>
          <cell r="N111" t="str">
            <v xml:space="preserve">Mejoramiento continuo
Trabajo en equipo
</v>
          </cell>
        </row>
        <row r="112">
          <cell r="I112" t="str">
            <v>Porcentaje de avance en la ejecución de las actividades para la administración del  Sistema Integrado de Gestión.</v>
          </cell>
          <cell r="J112" t="str">
            <v>Porcentaje de avance en la ejecución de las actividades para la administración del  Sistema Integrado de Gestión.</v>
          </cell>
          <cell r="K112" t="str">
            <v xml:space="preserve">Número de actividades realizadas del Plan de acción para la administración del Sistema Integrado de Gestión en el periodo </v>
          </cell>
          <cell r="L112" t="str">
            <v>Total de actividades programadas en el Plan de Acción para la administración del  Sistema Integrado de Gestión en el periodo.</v>
          </cell>
          <cell r="M112" t="str">
            <v xml:space="preserve">Eficacia 
</v>
          </cell>
          <cell r="N112" t="str">
            <v xml:space="preserve">Mejoramiento continuo
Trabajo en equipo
</v>
          </cell>
        </row>
        <row r="113">
          <cell r="I113" t="str">
            <v>Porcentaje de avance en la ejecución de las actividades para la administración del  Sistema Integrado de Gestión.</v>
          </cell>
          <cell r="J113" t="str">
            <v>Porcentaje de avance en la ejecución de las actividades para la administración del  Sistema Integrado de Gestión.</v>
          </cell>
          <cell r="K113" t="str">
            <v xml:space="preserve">Número de actividades realizadas del Plan de acción para la administración del Sistema Integrado de Gestión en el periodo </v>
          </cell>
          <cell r="L113" t="str">
            <v>Total de actividades programadas en el Plan de Acción para la administración del  Sistema Integrado de Gestión en el periodo.</v>
          </cell>
          <cell r="M113" t="str">
            <v xml:space="preserve">Eficacia 
</v>
          </cell>
          <cell r="N113" t="str">
            <v xml:space="preserve">Mejoramiento continuo
Trabajo en equipo
</v>
          </cell>
        </row>
        <row r="114">
          <cell r="I114" t="e">
            <v>#N/A</v>
          </cell>
          <cell r="J114" t="str">
            <v>Porcentaje de avance en la ejecución de las actividades para la administración del  Sistema Integrado de Gestión.</v>
          </cell>
          <cell r="K114" t="str">
            <v xml:space="preserve">Número de actividades realizadas del Plan de acción para la administración del Sistema Integrado de Gestión en el periodo </v>
          </cell>
          <cell r="L114" t="str">
            <v>Total de actividades programadas en el Plan de Acción para la administración del  Sistema Integrado de Gestión en el periodo.</v>
          </cell>
          <cell r="M114" t="str">
            <v xml:space="preserve">Eficacia 
</v>
          </cell>
          <cell r="N114" t="str">
            <v xml:space="preserve">Mejoramiento continuo
Trabajo en equipo
</v>
          </cell>
        </row>
        <row r="115">
          <cell r="I115" t="str">
            <v xml:space="preserve">Variación porcentual en la calificación de resultados FURAG e ITN </v>
          </cell>
          <cell r="J115" t="str">
            <v xml:space="preserve">Variación porcentual en la calificación de resultados FURAG e ITN </v>
          </cell>
          <cell r="K115" t="str">
            <v xml:space="preserve">(Calificación del año actual - Calificación del año anterior) </v>
          </cell>
          <cell r="L115" t="str">
            <v>Calificación año anterior</v>
          </cell>
          <cell r="M115" t="str">
            <v>Efectividad</v>
          </cell>
          <cell r="N115" t="str">
            <v xml:space="preserve">Mejoramiento continuo
Trabajo en equipo
</v>
          </cell>
        </row>
        <row r="116">
          <cell r="I116" t="str">
            <v xml:space="preserve">Porcentaje de Expedientes  Disciplinarios Resueltos 
</v>
          </cell>
          <cell r="J116" t="str">
            <v xml:space="preserve">Porcentaje de Expedientes  Disciplinarios Resueltos 
</v>
          </cell>
          <cell r="K116" t="str">
            <v>Número de expedientes con decisión definitiva en el período</v>
          </cell>
          <cell r="L116" t="str">
            <v>Número de expedientes disciplinarios activos vigentes en el período</v>
          </cell>
          <cell r="M116" t="str">
            <v xml:space="preserve">Eficacia 
</v>
          </cell>
          <cell r="N116" t="str">
            <v xml:space="preserve">Legalidad
Pertinencia </v>
          </cell>
        </row>
        <row r="117">
          <cell r="I117" t="e">
            <v>#N/A</v>
          </cell>
          <cell r="J117" t="str">
            <v>Porcentaje de expedientes disciplinarios impulsados en el período</v>
          </cell>
          <cell r="K117" t="str">
            <v>Número de expedientes disciplinarios  con actuaciones de impulso durante el período</v>
          </cell>
          <cell r="L117" t="str">
            <v>Número de expedientes disciplinarios activos vigentes en el período</v>
          </cell>
          <cell r="M117" t="str">
            <v>Eficiencia</v>
          </cell>
          <cell r="N117" t="str">
            <v xml:space="preserve">Legalidad 
Pertinencia </v>
          </cell>
        </row>
        <row r="118">
          <cell r="I118" t="str">
            <v xml:space="preserve">Porcentaje de actividades de comunicación Organizacional  realizadas de acuerdo con el plan de acción establecido en el período 
</v>
          </cell>
          <cell r="J118" t="str">
            <v xml:space="preserve">Porcentaje de actividades de comunicación Organizacional  realizadas de acuerdo con el plan de acción establecido en el período 
</v>
          </cell>
          <cell r="K118" t="str">
            <v xml:space="preserve">Actividades de comunicación organizacional realizadas de acuerdo con el plan de acción establecido en el período 
</v>
          </cell>
          <cell r="L118" t="str">
            <v xml:space="preserve">Total de actividades de comunicación organizacional  a realizar  en el periodo 
</v>
          </cell>
          <cell r="M118" t="str">
            <v xml:space="preserve">Eficacia 
</v>
          </cell>
          <cell r="N118" t="str">
            <v>Mejoramiento continuo 
Universalidad</v>
          </cell>
        </row>
        <row r="119">
          <cell r="I119" t="e">
            <v>#N/A</v>
          </cell>
          <cell r="J119" t="str">
            <v>Porcentaje de campañas organizacionales que generaron impacto (positivo o negativo) en los Funcionarios de la SNS</v>
          </cell>
          <cell r="K119" t="str">
            <v xml:space="preserve">Número de campañas organizacionales que generaron impacto (positivo o negativo) en los Funcionarios </v>
          </cell>
          <cell r="L119" t="str">
            <v>Número  de campañas organizacionales realizadas en el período</v>
          </cell>
          <cell r="M119" t="str">
            <v>Efectividad</v>
          </cell>
          <cell r="N119" t="str">
            <v>Mejoramiento continuo 
Universalidad</v>
          </cell>
        </row>
        <row r="120">
          <cell r="I120" t="str">
            <v xml:space="preserve">Porcentaje de  actividades de comunicación externa y difusión  realizada en el periodo de acuerdo a la programación establecida </v>
          </cell>
          <cell r="J120" t="str">
            <v xml:space="preserve">Porcentaje de  actividades de comunicación externa y difusión  realizada en el periodo de acuerdo a la programación establecida </v>
          </cell>
          <cell r="K120" t="str">
            <v xml:space="preserve">Actividades de comunicación externa y difusión realizada en el periodo de acuerdo a la programación establecida </v>
          </cell>
          <cell r="L120" t="str">
            <v>Total actividades de comunicación externa y difusión a realizar en el periodo</v>
          </cell>
          <cell r="M120" t="str">
            <v>Eficiencia</v>
          </cell>
          <cell r="N120" t="str">
            <v>Mejoramiento continuo                                                   Universalidad</v>
          </cell>
        </row>
        <row r="121">
          <cell r="I121" t="str">
            <v xml:space="preserve">Porcentaje de Audiencias Públicas de Rendición de Cuentas en el periodo  
</v>
          </cell>
          <cell r="J121" t="str">
            <v xml:space="preserve">Porcentaje de Audiencias Públicas de Rendición de Cuentas en el periodo  
</v>
          </cell>
          <cell r="K121" t="str">
            <v xml:space="preserve">Número de Audiencias de Rendiciones de Cuentas realizadas en el periodo   
</v>
          </cell>
          <cell r="L121" t="str">
            <v xml:space="preserve">Total audiencias de Rendición de Cuentas programadas en el periodo  
</v>
          </cell>
          <cell r="M121" t="str">
            <v>Efectividad</v>
          </cell>
          <cell r="N121" t="str">
            <v>Compromiso
Vocación de servicio</v>
          </cell>
        </row>
        <row r="122">
          <cell r="I122" t="str">
            <v>Porcentaje acumulado de actividades realizadas para la adquisición e implementación infraestructura TIC</v>
          </cell>
          <cell r="J122" t="str">
            <v>Porcentaje acumulado de actividades realizadas para la adquisición e implementación infraestructura TIC</v>
          </cell>
          <cell r="K122" t="str">
            <v>Número acumulado de actividades realizadas para la adquisición e implementación infraestructura TIC conforme al cronograma establecido</v>
          </cell>
          <cell r="L122" t="str">
            <v>Número de actividades definidas en el Cronograma</v>
          </cell>
          <cell r="M122" t="str">
            <v xml:space="preserve">Eficacia 
</v>
          </cell>
          <cell r="N122" t="str">
            <v xml:space="preserve">
Eficiencia</v>
          </cell>
        </row>
        <row r="123">
          <cell r="I123" t="str">
            <v>Porcentaje acumulado de actividades realizadas para la adquisición y renovación de licenciamiento</v>
          </cell>
          <cell r="J123" t="str">
            <v>Porcentaje acumulado de actividades realizadas para la adquisición y renovación de licenciamiento</v>
          </cell>
          <cell r="K123" t="str">
            <v>Numero acumulado de actividades realizadas para la adquisición y renovación de licenciamiento</v>
          </cell>
          <cell r="L123" t="str">
            <v>Número de actividades definidas en el Cronograma</v>
          </cell>
          <cell r="M123" t="str">
            <v xml:space="preserve">Eficacia 
</v>
          </cell>
          <cell r="N123" t="str">
            <v>Eficacia
Eficiencia</v>
          </cell>
        </row>
        <row r="124">
          <cell r="I124" t="str">
            <v>Porcentaje de solicitudes de servicios de TI solucionados dentro los ANS establecidos en el período</v>
          </cell>
          <cell r="J124" t="str">
            <v>Porcentaje de solicitudes de servicios de TI solucionados dentro los ANS establecidos en el período</v>
          </cell>
          <cell r="K124" t="str">
            <v>Número de solicitudes de servicios de TI solucionados dentro los ANS establecidos en el período</v>
          </cell>
          <cell r="L124" t="str">
            <v>Número de solicitudes registradas en el periodo.</v>
          </cell>
          <cell r="M124" t="str">
            <v>Eficiencia</v>
          </cell>
          <cell r="N124" t="str">
            <v xml:space="preserve">Eficacia
Eficiencia
</v>
          </cell>
        </row>
        <row r="125">
          <cell r="I125" t="str">
            <v>Porcentaje de soluciones tecnológicas implementadas en el período</v>
          </cell>
          <cell r="J125" t="str">
            <v>Porcentaje de soluciones tecnológicas implementadas en el período</v>
          </cell>
          <cell r="K125" t="str">
            <v>Número de soluciones tecnológicas implementadas en el período</v>
          </cell>
          <cell r="L125" t="str">
            <v>Número de soluciones tecnológicas a implementar en el período</v>
          </cell>
          <cell r="M125" t="str">
            <v xml:space="preserve">Eficacia 
</v>
          </cell>
          <cell r="N125" t="str">
            <v xml:space="preserve">
Eficiencia
Oportunidad</v>
          </cell>
        </row>
        <row r="126">
          <cell r="I126" t="str">
            <v>Porcentaje acumulado de actividades para actualizaciones y mejoras a los sistemas de la entidad</v>
          </cell>
          <cell r="J126" t="str">
            <v>Porcentaje acumulado de actividades para actualizaciones y mejoras a los sistemas de la entidad</v>
          </cell>
          <cell r="K126" t="str">
            <v>Número acumulado de actividades realizadas para actualizaciones y mejoras a los sistemas de la entidad</v>
          </cell>
          <cell r="L126" t="str">
            <v>Número de actividades definidas en el Cronograma</v>
          </cell>
          <cell r="M126" t="str">
            <v xml:space="preserve">Eficacia 
</v>
          </cell>
          <cell r="N126" t="str">
            <v xml:space="preserve">Eficacia
Eficiencia
</v>
          </cell>
        </row>
        <row r="127">
          <cell r="I127" t="str">
            <v>Porcentaje acumulado de actividades ejecutadas del Plan de Optimización del Modelo de Operación TIC</v>
          </cell>
          <cell r="J127" t="str">
            <v>Porcentaje acumulado de actividades ejecutadas del Plan de Optimización del Modelo de Operación TIC</v>
          </cell>
          <cell r="K127" t="str">
            <v>Número acumulado de actividades realizadas del del Plan de Optimización del Modelo de Operación TIC</v>
          </cell>
          <cell r="L127" t="str">
            <v>Número de actividades definidas en el del Plan de Optimización del Modelo de Operación TIC</v>
          </cell>
          <cell r="M127" t="str">
            <v xml:space="preserve">Eficacia 
</v>
          </cell>
          <cell r="N127" t="str">
            <v xml:space="preserve">
Eficiencia
Oportunidad</v>
          </cell>
        </row>
        <row r="128">
          <cell r="I128" t="str">
            <v>Porcentaje acumulado de actividades ejecutadas para la elaboración de los Anexos Técnicos</v>
          </cell>
          <cell r="J128" t="str">
            <v>Porcentaje acumulado de actividades ejecutadas para la elaboración de los Anexos Técnicos</v>
          </cell>
          <cell r="K128" t="str">
            <v>Número acumulado de actividades realizadas para la elaboración de los Anexos Técnicos</v>
          </cell>
          <cell r="L128" t="str">
            <v>Número de actividades definidas en el Cronograma</v>
          </cell>
          <cell r="M128" t="str">
            <v xml:space="preserve">Eficacia 
</v>
          </cell>
          <cell r="N128" t="str">
            <v>Eficacia
Oportunidad</v>
          </cell>
        </row>
        <row r="129">
          <cell r="I129" t="str">
            <v>Porcentaje acumulado de actividades ejecutadas para el Diseño e implementación de la Estrategia de Informática Forense como apoyo a la Gestión de Auditoría de la SNS</v>
          </cell>
          <cell r="J129" t="str">
            <v>Porcentaje acumulado de actividades ejecutadas para el Diseño e implementación de la Estrategia de Informática Forense como apoyo a la Gestión de Auditoría de la SNS</v>
          </cell>
          <cell r="K129" t="str">
            <v>Número acumulado de actividades realizadas para el Diseño e implementación de la Estrategia de Informática Forense como apoyo a la Gestión de Auditoría de la SNS</v>
          </cell>
          <cell r="L129" t="str">
            <v>Número de actividades definidas en el Cronograma</v>
          </cell>
          <cell r="M129" t="str">
            <v xml:space="preserve">Eficacia 
</v>
          </cell>
          <cell r="N129" t="str">
            <v xml:space="preserve">
Eficiencia
Oportunidad</v>
          </cell>
        </row>
        <row r="130">
          <cell r="I130" t="str">
            <v>Porcentaje acumulado de actividades ejecutadas del Plan de Trabajo como Oficial de Seguridad de la Información</v>
          </cell>
          <cell r="J130" t="str">
            <v>Porcentaje acumulado de actividades ejecutadas del Plan de Trabajo como Oficial de Seguridad de la Información</v>
          </cell>
          <cell r="K130" t="str">
            <v>Número acumulado de actividades realizadas del Plan de Trabajo como Oficial de Seguridad de la Información</v>
          </cell>
          <cell r="L130" t="str">
            <v>Número de actividades definidas en el del Plan de Trabajo como Oficial de Seguridad de la Información</v>
          </cell>
          <cell r="M130" t="str">
            <v xml:space="preserve">Eficacia 
</v>
          </cell>
          <cell r="N130" t="str">
            <v xml:space="preserve">
Eficiencia
Mejoramiento continuo</v>
          </cell>
        </row>
        <row r="131">
          <cell r="I131" t="e">
            <v>#N/A</v>
          </cell>
          <cell r="J131" t="str">
            <v>Porcentaje de respuestas oportunas a requerimientos de información solicitados por los vigilados</v>
          </cell>
          <cell r="K131" t="str">
            <v>Numero de respuestas (internas y externas) resueltas oportunamente  durante el periodo.</v>
          </cell>
          <cell r="L131" t="str">
            <v>Número de solicitudes de requerimientos de información internas y externas recibidas por diferentes fuentes en el período.</v>
          </cell>
          <cell r="M131" t="str">
            <v>Eficiencia</v>
          </cell>
          <cell r="N131" t="str">
            <v>Eficacia
Eficiencia
Pertinencia</v>
          </cell>
        </row>
        <row r="132">
          <cell r="I132" t="e">
            <v>#N/A</v>
          </cell>
          <cell r="J132" t="str">
            <v>Porcentaje  de cumplimiento en los procesos de conciliación programados</v>
          </cell>
          <cell r="K132" t="str">
            <v>Procesos de conciliación desarrollados</v>
          </cell>
          <cell r="L132" t="str">
            <v>Procesos de conciliación programados</v>
          </cell>
          <cell r="M132" t="str">
            <v xml:space="preserve">Eficacia 
</v>
          </cell>
          <cell r="N132" t="str">
            <v>Respeto  
Pertinencia</v>
          </cell>
        </row>
        <row r="133">
          <cell r="I133" t="e">
            <v>#N/A</v>
          </cell>
          <cell r="J133" t="str">
            <v xml:space="preserve">Porcentaje de Seguimiento y registro de las variables de información que afectan las cuentas por cobrar reportadas en el periodo   </v>
          </cell>
          <cell r="K133" t="str">
            <v>Monto Total reportado por variables que afectan las Cuentas por Cobrar en el periodo.</v>
          </cell>
          <cell r="L133" t="str">
            <v xml:space="preserve">Monto Total Registrado de Variables que Afectan las Cuentas por Cobrar en el periodo.  
</v>
          </cell>
          <cell r="M133" t="str">
            <v>Efectividad</v>
          </cell>
          <cell r="N133" t="str">
            <v>Probidad                           
Responsabilidad</v>
          </cell>
        </row>
        <row r="134">
          <cell r="I134" t="e">
            <v>#N/A</v>
          </cell>
          <cell r="J134" t="str">
            <v>Porcentaje de Pagos realizados a través de CUN</v>
          </cell>
          <cell r="K134" t="str">
            <v>Pagos realizados a través de CUN en el período.</v>
          </cell>
          <cell r="L134" t="str">
            <v>Obligaciones recibidas para pago en el período.</v>
          </cell>
          <cell r="M134" t="str">
            <v>Efectividad</v>
          </cell>
          <cell r="N134" t="str">
            <v>Eficacia 
Probidad 
Responsabilidad</v>
          </cell>
        </row>
        <row r="135">
          <cell r="I135" t="str">
            <v xml:space="preserve">Porcentaje de PAC Ejecutado </v>
          </cell>
          <cell r="J135" t="str">
            <v xml:space="preserve">Porcentaje de PAC Ejecutado </v>
          </cell>
          <cell r="K135" t="str">
            <v>Valor total del PAC Ejecutado en el período</v>
          </cell>
          <cell r="L135" t="str">
            <v>Valor total del PAC Programado en el período.</v>
          </cell>
          <cell r="M135" t="str">
            <v xml:space="preserve">Eficacia 
</v>
          </cell>
          <cell r="N135" t="str">
            <v>Compromiso 
Lealtad</v>
          </cell>
        </row>
        <row r="136">
          <cell r="I136" t="str">
            <v xml:space="preserve">Porcentaje de recursos transferidos a la Cuenta Única Nacional - CUN </v>
          </cell>
          <cell r="J136" t="str">
            <v xml:space="preserve">Porcentaje de recursos transferidos a la Cuenta Única Nacional - CUN </v>
          </cell>
          <cell r="K136" t="str">
            <v>Transferencia de recursos de la Superintendencia Nacional de Salud en el período a la Cuenta Única Nacional - CUN en los plazos establecidos por el Ministerio de Hacienda y Crédito Público.</v>
          </cell>
          <cell r="L136" t="str">
            <v xml:space="preserve">Recaudo recibidos en el período  en Bancos en las cuentas recaudadoras en la Superintendencia Nacional de Salud. </v>
          </cell>
          <cell r="M136" t="str">
            <v>Eficiencia</v>
          </cell>
          <cell r="N136" t="str">
            <v>Compromiso                                  
Lealtad</v>
          </cell>
        </row>
        <row r="137">
          <cell r="I137" t="e">
            <v>#N/A</v>
          </cell>
          <cell r="J137" t="str">
            <v>Porcentaje de Informes de seguimiento y análisis presupuestal presentados a las dependencias de la Supersalud</v>
          </cell>
          <cell r="K137" t="str">
            <v>No. Informe de seguimientos y análisis elaborados y presentados en el período.</v>
          </cell>
          <cell r="L137" t="str">
            <v>No. De Informes de seguimiento y análisis a realizar en el año.</v>
          </cell>
          <cell r="M137" t="str">
            <v>Efectividad</v>
          </cell>
          <cell r="N137" t="str">
            <v xml:space="preserve">Oportunidad                              
Pertinencia
</v>
          </cell>
        </row>
        <row r="138">
          <cell r="I138" t="e">
            <v>#N/A</v>
          </cell>
          <cell r="J138" t="str">
            <v>Porcentaje de Ejecución Presupuestal</v>
          </cell>
          <cell r="K138" t="str">
            <v>Presupuesto ejecutado periodo</v>
          </cell>
          <cell r="L138" t="str">
            <v>Total presupuesto vigencia.</v>
          </cell>
          <cell r="M138" t="str">
            <v xml:space="preserve">Eficacia 
</v>
          </cell>
          <cell r="N138" t="str">
            <v xml:space="preserve">
Oportunidad
Compromiso
</v>
          </cell>
        </row>
        <row r="139">
          <cell r="I139" t="str">
            <v xml:space="preserve">Porcentaje de cumplimiento  de reporte de estados financieros en el período a la CGN a través del CHIP dentro de los plazos de ley </v>
          </cell>
          <cell r="J139" t="str">
            <v xml:space="preserve">Porcentaje de cumplimiento  de reporte de estados financieros en el período a la CGN a través del CHIP dentro de los plazos de ley </v>
          </cell>
          <cell r="K139" t="str">
            <v>Número de Estados financieros acumulados reportados en el período a la CGN a través del CHIP dentro de los plazos de ley.</v>
          </cell>
          <cell r="L139" t="str">
            <v>Número de Estados financieros acumulados por reportar en el período a la CGN a través del CHIP dentro de los plazos de ley.</v>
          </cell>
          <cell r="M139" t="str">
            <v>Eficiencia</v>
          </cell>
          <cell r="N139" t="str">
            <v xml:space="preserve">
Oportunidad
Compromiso
</v>
          </cell>
        </row>
        <row r="140">
          <cell r="I140" t="e">
            <v>#N/A</v>
          </cell>
          <cell r="J140" t="str">
            <v>Porcentaje acumulado de partidas conciliatorias bancarias identificadas del período anterior e incorporadas en la contabilidad</v>
          </cell>
          <cell r="K140" t="str">
            <v xml:space="preserve">Número  acumulado de partidas conciliatorias bancarias identificadas del período anterior e incorporadas en la contabilidad
</v>
          </cell>
          <cell r="L140" t="str">
            <v xml:space="preserve">Número  acumulado de partidas conciliatorias bancarias identificadas del período anterior e incorporadas en la contabilidad </v>
          </cell>
          <cell r="M140" t="str">
            <v xml:space="preserve">Eficacia 
</v>
          </cell>
          <cell r="N140" t="str">
            <v xml:space="preserve">Probidad
Legalidad
</v>
          </cell>
        </row>
        <row r="141">
          <cell r="I141" t="str">
            <v xml:space="preserve">Porcentaje de reportes presentados del boletín de deudores morosos del estado -BDME- de acuerdo a los plazos establecidos por la Contaduría General de la Nación - CGN </v>
          </cell>
          <cell r="J141" t="str">
            <v xml:space="preserve">Porcentaje de reportes presentados del boletín de deudores morosos del estado -BDME- de acuerdo a los plazos establecidos por la Contaduría General de la Nación - CGN </v>
          </cell>
          <cell r="K141" t="str">
            <v xml:space="preserve">Número  de reportes acumulados presentados en el período del boletín de deudores morosos del estado -BDME- de acuerdo a los plazos establecidos por la Contaduría General de la Nación -CGN-
 </v>
          </cell>
          <cell r="L141" t="str">
            <v xml:space="preserve">Número  de reportes acumulados presentados en el período del boletín de deudores morosos del estado -BDME- de acuerdo a los plazos establecidos por la Contaduría General de la Nación -CGN- </v>
          </cell>
          <cell r="M141" t="str">
            <v>Efectividad</v>
          </cell>
          <cell r="N141" t="str">
            <v>Equidad                                  
Oportunidad</v>
          </cell>
        </row>
        <row r="142">
          <cell r="I142" t="e">
            <v>#N/A</v>
          </cell>
          <cell r="J142" t="str">
            <v xml:space="preserve">Porcentaje de Liquidaciones individuales Realizadas. 
</v>
          </cell>
          <cell r="K142" t="str">
            <v xml:space="preserve">Cantidad total de liquidaciones individuales de Tasa realizadas.
</v>
          </cell>
          <cell r="L142" t="str">
            <v xml:space="preserve">Cantidad total de liquidaciones individuales a realizar dentro del proceso sistémico de Tasa, y solicitudes de liquidaciones extemporáneas o reliquidaciones. 
</v>
          </cell>
          <cell r="M142" t="str">
            <v>Eficiencia</v>
          </cell>
          <cell r="N142" t="str">
            <v>Eficacia                                   
Oportunidad</v>
          </cell>
        </row>
        <row r="143">
          <cell r="I143" t="str">
            <v>Porcentaje de cumplimiento de los hitos y/o productos definidos en el cronograma</v>
          </cell>
          <cell r="J143" t="str">
            <v>Porcentaje de cumplimiento de los hitos y/o productos definidos en el cronograma</v>
          </cell>
          <cell r="K143" t="str">
            <v xml:space="preserve">Número de hitos y/o productos entregados en los plazos definidos en el cronograma </v>
          </cell>
          <cell r="L143" t="str">
            <v xml:space="preserve"> Número total de hitos y/o productos programados para el periodo</v>
          </cell>
          <cell r="N143" t="str">
            <v xml:space="preserve">Eficacia
Oportunidad
</v>
          </cell>
        </row>
        <row r="144">
          <cell r="I144" t="str">
            <v>Porcentaje acumulado de colaboradores capacitados  en seguridad y salud en el período.</v>
          </cell>
          <cell r="J144" t="str">
            <v>Porcentaje acumulado de colaboradores capacitados  en seguridad y salud en el período.</v>
          </cell>
          <cell r="K144" t="str">
            <v xml:space="preserve">Número acumulado  de colaboradores capacitados  en seguridad y salud en el período/
</v>
          </cell>
          <cell r="L144" t="str">
            <v xml:space="preserve">Número acumulado de colaboradores programados a capacitar en el período </v>
          </cell>
          <cell r="M144" t="str">
            <v xml:space="preserve">Eficacia 
</v>
          </cell>
          <cell r="N144" t="str">
            <v>Lealtad                                     
Solidaridad</v>
          </cell>
        </row>
        <row r="145">
          <cell r="I145" t="e">
            <v>#N/A</v>
          </cell>
          <cell r="J145" t="str">
            <v>Porcentaje de inspecciones planeadas desarrolladas oportunamente.</v>
          </cell>
          <cell r="K145" t="str">
            <v xml:space="preserve">Número de Inspecciones locativas desarrolladas oportunamente durante el período
</v>
          </cell>
          <cell r="L145" t="str">
            <v>Número de Inspecciones locativas programadas  en el periodo.</v>
          </cell>
          <cell r="M145" t="str">
            <v>nuevo</v>
          </cell>
          <cell r="N145" t="str">
            <v xml:space="preserve">Eficacia
Eficiencia
</v>
          </cell>
        </row>
        <row r="146">
          <cell r="I146" t="e">
            <v>#N/A</v>
          </cell>
          <cell r="J146" t="str">
            <v>Porcentaje de implementación y seguimiento a las acciones correctivas para el control de las condiciones inseguras identificadas</v>
          </cell>
          <cell r="K146" t="str">
            <v xml:space="preserve">Número total de condiciones inseguras corregidas
</v>
          </cell>
          <cell r="L146" t="str">
            <v xml:space="preserve">Número total de condiciones inseguras identificadas en el periodo </v>
          </cell>
          <cell r="M146" t="str">
            <v xml:space="preserve">Eficacia 
</v>
          </cell>
          <cell r="N146" t="str">
            <v xml:space="preserve">Mejoramiento continuo
Pertinencia
</v>
          </cell>
        </row>
        <row r="147">
          <cell r="I147" t="str">
            <v xml:space="preserve">Porcentaje de cumplimiento de los hitos y/o productos definidos en el cronograma </v>
          </cell>
          <cell r="J147" t="str">
            <v xml:space="preserve">Porcentaje de cumplimiento de los hitos y/o productos definidos en el cronograma </v>
          </cell>
          <cell r="K147" t="str">
            <v xml:space="preserve">Número de hitos y/o productos entregados en los plazos definidos en el cronograma </v>
          </cell>
          <cell r="L147" t="str">
            <v>Número total de hitos y/o productos programados para el periodo</v>
          </cell>
          <cell r="M147" t="str">
            <v>Eficiencia</v>
          </cell>
          <cell r="N147" t="str">
            <v xml:space="preserve">
Eficacia
Oportunidad
</v>
          </cell>
        </row>
        <row r="148">
          <cell r="I148" t="str">
            <v xml:space="preserve">Porcentaje acumulado de eventos de capacitación ejecutados en el período. </v>
          </cell>
          <cell r="J148" t="str">
            <v xml:space="preserve">Porcentaje acumulado de eventos de capacitación ejecutados en el período. </v>
          </cell>
          <cell r="K148" t="str">
            <v xml:space="preserve">Número acumulado de eventos de capacitación ejecutados en el período.
</v>
          </cell>
          <cell r="L148" t="str">
            <v xml:space="preserve">Número acumulado total de eventos programados en el plan de capacitación </v>
          </cell>
          <cell r="M148" t="str">
            <v xml:space="preserve">Eficacia 
</v>
          </cell>
          <cell r="N148" t="str">
            <v xml:space="preserve">Mejoramiento continuo
Eficiencia
</v>
          </cell>
        </row>
        <row r="149">
          <cell r="I149" t="e">
            <v>#N/A</v>
          </cell>
          <cell r="J149" t="str">
            <v xml:space="preserve">Porcentaje de funcionarios que asistieron a eventos  de capacitación  igual o superior a 40 horas  que evidencian transferencia en el puesto de trabajo en el período. </v>
          </cell>
          <cell r="K149" t="str">
            <v>Número  de  funcionarios que asistieron a eventos de capacitación  igual o superior a 40 horas que evidencian transferencia en el puesto de trabajo en el período.</v>
          </cell>
          <cell r="L149" t="str">
            <v xml:space="preserve">Número de funcionarios  que asistieron a eventos  de capacitación de más de 40 horas realizados en el período. </v>
          </cell>
          <cell r="M149" t="str">
            <v>Efectividad</v>
          </cell>
          <cell r="N149" t="str">
            <v xml:space="preserve">Mejoramiento continuo
Lealtad
Solidaridad
</v>
          </cell>
        </row>
        <row r="150">
          <cell r="I150" t="e">
            <v>#N/A</v>
          </cell>
          <cell r="J150" t="str">
            <v>Porcentaje de funcionarios   capacitados por eventos  gestionados sin afectar el proyecto de inversión</v>
          </cell>
          <cell r="K150" t="str">
            <v>Numero de funcionarios que asistieron a capacitaciones gestionadas sin afectar el proyecto de inversión.</v>
          </cell>
          <cell r="L150" t="str">
            <v>Total acumulado de funcionarios convocados a capacitaciones gestionadas sin afectar proyecto de inversión</v>
          </cell>
          <cell r="M150" t="str">
            <v>Eficiencia</v>
          </cell>
          <cell r="N150" t="str">
            <v xml:space="preserve">Mejoramiento continuo
Lealtad   
Solidaridad
</v>
          </cell>
        </row>
        <row r="151">
          <cell r="I151" t="str">
            <v>Porcentaje de eventos de bienestar social calificados satisfactoriamente en el período</v>
          </cell>
          <cell r="J151" t="str">
            <v>Porcentaje de eventos de bienestar social calificados satisfactoriamente en el período</v>
          </cell>
          <cell r="K151" t="str">
            <v>Número de eventos de bienestar social calificados satisfactoriamente en el período</v>
          </cell>
          <cell r="L151" t="str">
            <v>Número de eventos  de bienestar social realizados en el período</v>
          </cell>
          <cell r="M151" t="str">
            <v>Efectividad</v>
          </cell>
          <cell r="N151" t="str">
            <v xml:space="preserve">Mejoramiento continuo
Lealtad   
Solidaridad
</v>
          </cell>
        </row>
        <row r="152">
          <cell r="I152" t="e">
            <v>#N/A</v>
          </cell>
          <cell r="J152" t="str">
            <v>Porcentaje de los resultados de mejoramiento de calidad de vida laboral</v>
          </cell>
          <cell r="K152" t="str">
            <v>Número de funcionarios que calificaron entre excelente y buena el evento de bienestar</v>
          </cell>
          <cell r="L152" t="str">
            <v>Número de funcionarios que  respondieron la encuesta</v>
          </cell>
          <cell r="M152" t="str">
            <v>Efectividad</v>
          </cell>
          <cell r="N152" t="str">
            <v xml:space="preserve">Mejoramiento continuo
Oportunidad
</v>
          </cell>
        </row>
        <row r="153">
          <cell r="I153" t="str">
            <v xml:space="preserve">Porcentaje acumulado  informes de evaluación y análisis de desempeño presentados al Superintendente Nacional de Salud en el período. 
</v>
          </cell>
          <cell r="J153" t="str">
            <v xml:space="preserve">Porcentaje acumulado  informes de evaluación y análisis de desempeño presentados al Superintendente Nacional de Salud en el período. 
</v>
          </cell>
          <cell r="K153" t="str">
            <v>Número  de informes  de evaluación y análisis de desempeño presentados al Superintendente Nacional de Salud en el período</v>
          </cell>
          <cell r="L153" t="str">
            <v xml:space="preserve"> Número de Informes y análisis  de evaluación de desempeño a presentar en el período</v>
          </cell>
          <cell r="M153" t="str">
            <v xml:space="preserve">Eficacia 
</v>
          </cell>
          <cell r="N153" t="str">
            <v>Pertinencia                       
Responsabilidad</v>
          </cell>
        </row>
        <row r="154">
          <cell r="I154" t="str">
            <v>Porcentaje acumulado  de actividades realizadas para fortalecer el proceso de  evaluación de desempeño en el período</v>
          </cell>
          <cell r="J154" t="str">
            <v>Porcentaje acumulado  de actividades realizadas para fortalecer el proceso de  evaluación de desempeño en el período</v>
          </cell>
          <cell r="K154" t="str">
            <v>Número  acumulado de actividades realizadas para fortalecer el proceso de evaluación de desempeño   en el período</v>
          </cell>
          <cell r="L154" t="str">
            <v xml:space="preserve">Número de actividades programadas para fortalecer el proceso de evaluación de desempeño en el período </v>
          </cell>
          <cell r="M154" t="str">
            <v>Efectividad</v>
          </cell>
          <cell r="N154" t="str">
            <v>Compromiso                          
Mejoramiento Continuo</v>
          </cell>
        </row>
        <row r="155">
          <cell r="I155" t="str">
            <v xml:space="preserve">Porcentaje de novedades de personal incorporadas en la nómina mensual dentro de los plazos establecidos
</v>
          </cell>
          <cell r="J155" t="str">
            <v xml:space="preserve">Porcentaje de novedades de personal incorporadas en la nómina mensual dentro de los plazos establecidos
</v>
          </cell>
          <cell r="K155" t="str">
            <v xml:space="preserve">Número de novedades de personal incorporadas en la nómina mensual dentro de los plazos establecidos </v>
          </cell>
          <cell r="L155" t="str">
            <v>Número total de novedades recibidas en el periodo.</v>
          </cell>
          <cell r="M155" t="str">
            <v xml:space="preserve">Eficacia 
</v>
          </cell>
          <cell r="N155" t="str">
            <v>Compromiso                      
Responsabilidad</v>
          </cell>
        </row>
        <row r="156">
          <cell r="I156" t="e">
            <v>#N/A</v>
          </cell>
          <cell r="J156" t="str">
            <v>Porcentaje de inconsistencias detectadas o reclamos ciertos por nómina producida</v>
          </cell>
          <cell r="K156" t="str">
            <v>Número de inconsistencias detectadas o reclamos ciertos por nómina producida</v>
          </cell>
          <cell r="L156" t="str">
            <v>Número de novedades por nómina producida</v>
          </cell>
          <cell r="M156" t="str">
            <v>Efectividad</v>
          </cell>
          <cell r="N156" t="str">
            <v>Compromiso                      
Responsabilidad</v>
          </cell>
        </row>
        <row r="157">
          <cell r="I157" t="str">
            <v>Porcentaje de cumplimiento del Plan de Contratación de la Superintendencia Nacional de Salud</v>
          </cell>
          <cell r="J157" t="str">
            <v>Porcentaje de cumplimiento acumulado del Plan de Contratación de la Superintendencia Nacional de Salud</v>
          </cell>
          <cell r="K157" t="str">
            <v>Número de Contratos suscritos por la Superintendencia en la vigencia</v>
          </cell>
          <cell r="L157" t="str">
            <v>Número de Contratos programados en el Plan de Contratación para la vigencia</v>
          </cell>
          <cell r="N157" t="str">
            <v>Compromiso
Probidad</v>
          </cell>
        </row>
        <row r="158">
          <cell r="I158" t="e">
            <v>#N/A</v>
          </cell>
          <cell r="J158" t="str">
            <v>Porcentaje de seguimiento al Plan de Contratación de la Entidad</v>
          </cell>
          <cell r="K158" t="str">
            <v>Número de seguimientos realizados por el Grupo de Contratación de Bienes y Servicios al Plan de Contratación de la Entidad en el período</v>
          </cell>
          <cell r="L158" t="str">
            <v>Número de seguimientos del Plan de Contratación programados por el Grupo de Contratación de Bienes y Servicios en la vigencia</v>
          </cell>
          <cell r="N158" t="str">
            <v>Compromiso
Probidad</v>
          </cell>
        </row>
        <row r="159">
          <cell r="I159" t="str">
            <v>Porcentaje de Procesos de Selección adjudicados de forma satisfactoria/</v>
          </cell>
          <cell r="J159" t="str">
            <v>Porcentaje de Procesos de Selección finalizados de forma satisfactoria</v>
          </cell>
          <cell r="K159" t="str">
            <v>Número de Procesos de Selección Adjudicados en el período</v>
          </cell>
          <cell r="L159" t="str">
            <v>Número de Procesos de Selección convocados en el período anterior y no adjudicado en el mismo período más número de procesos de selección convocados en el período</v>
          </cell>
          <cell r="N159" t="str">
            <v>Equidad
Probidad</v>
          </cell>
        </row>
        <row r="160">
          <cell r="I160" t="str">
            <v>Porcentaje de contratos concluidos satisfactoriamente</v>
          </cell>
          <cell r="J160" t="str">
            <v>Porcentaje de contratos concluidos satisfactoriamente</v>
          </cell>
          <cell r="K160" t="str">
            <v>Número de contratos concluidos con el cumplimiento del objeto y sus obligaciones  de manera satisfactoria en el período</v>
          </cell>
          <cell r="L160" t="str">
            <v>Número de contratos celebrados en el período</v>
          </cell>
          <cell r="N160" t="str">
            <v>Compromiso
Oportunidad</v>
          </cell>
        </row>
        <row r="161">
          <cell r="I161" t="str">
            <v>Porcentaje acumulado de implementación Sistema de Gestión Documental en el período</v>
          </cell>
          <cell r="J161" t="str">
            <v>Porcentaje acumulado de implementación Sistema de Gestión Documental en el período</v>
          </cell>
          <cell r="K161" t="str">
            <v>Número acumulado de actividades del Programa de Sistema de Gestión Documental ejecutadas en el periodo.</v>
          </cell>
          <cell r="L161" t="str">
            <v xml:space="preserve">Número acumulado de actividades del Programa de Sistema de Gestión Documental programadas para el periodo </v>
          </cell>
          <cell r="M161" t="str">
            <v xml:space="preserve">Eficacia 
</v>
          </cell>
          <cell r="N161" t="str">
            <v>Mejoramiento Continuo 
Oportunidad</v>
          </cell>
        </row>
        <row r="162">
          <cell r="I162" t="str">
            <v xml:space="preserve">Porcentaje acumulado de metros lineales organizados del archivo en el período. </v>
          </cell>
          <cell r="J162" t="str">
            <v xml:space="preserve">Porcentaje acumulado de metros lineales organizados del archivo en el período. </v>
          </cell>
          <cell r="K162" t="str">
            <v xml:space="preserve">Total  acumulado de Metros Lineales de archivo central organizado en la vigencia 
</v>
          </cell>
          <cell r="L162" t="str">
            <v xml:space="preserve">Total acumulado del Metros Lineales de archivo central programados para organizar en la vigencia 
</v>
          </cell>
          <cell r="M162" t="str">
            <v>Eficiencia</v>
          </cell>
          <cell r="N162" t="str">
            <v>Eficacia
Eficiencia</v>
          </cell>
        </row>
        <row r="163">
          <cell r="I163" t="str">
            <v xml:space="preserve">Porcentaje acumulado de metros lineales organizados del archivo en el período. </v>
          </cell>
          <cell r="J163" t="str">
            <v xml:space="preserve">Porcentaje acumulado de metros lineales organizados del archivo en el período. </v>
          </cell>
          <cell r="K163" t="str">
            <v xml:space="preserve">Total  acumulado de Metros Lineales de archivo central organizado en la vigencia 
</v>
          </cell>
          <cell r="L163" t="str">
            <v xml:space="preserve">Total acumulado del Metros Lineales de archivo central programados para organizar en la vigencia 
</v>
          </cell>
          <cell r="M163" t="str">
            <v>Eficiencia</v>
          </cell>
          <cell r="N163" t="str">
            <v>Eficacia
Eficiencia</v>
          </cell>
        </row>
        <row r="164">
          <cell r="I164" t="e">
            <v>#N/A</v>
          </cell>
          <cell r="J164" t="str">
            <v xml:space="preserve">Porcentaje acumulado de metros lineales de archivo de gestión organizado. 
</v>
          </cell>
          <cell r="K164" t="str">
            <v xml:space="preserve">Total  acumulado de Metros Lineales de archivo  de gestión  organizado. 
</v>
          </cell>
          <cell r="L164" t="str">
            <v xml:space="preserve">Total acumulado del Metros Lineales de archivo de gestión programados para organizaren la vigencia 
</v>
          </cell>
          <cell r="M164" t="str">
            <v>Efectividad</v>
          </cell>
          <cell r="N164" t="str">
            <v>Eficacia
Eficiencia</v>
          </cell>
        </row>
        <row r="165">
          <cell r="I165" t="e">
            <v>#N/A</v>
          </cell>
          <cell r="J165" t="str">
            <v xml:space="preserve">Porcentaje acumulado de metros lineales de archivo de gestión organizado. 
</v>
          </cell>
          <cell r="K165" t="str">
            <v xml:space="preserve">Total  acumulado de Metros Lineales de archivo  de gestión  organizado. 
</v>
          </cell>
          <cell r="L165" t="str">
            <v xml:space="preserve">Total acumulado del Metros Lineales de archivo de gestión programados para organizaren la vigencia 
</v>
          </cell>
          <cell r="M165" t="str">
            <v>Efectividad</v>
          </cell>
          <cell r="N165" t="str">
            <v>Eficacia
Eficiencia</v>
          </cell>
        </row>
        <row r="166">
          <cell r="I166" t="e">
            <v>#N/A</v>
          </cell>
          <cell r="J166" t="str">
            <v xml:space="preserve">Porcentaje acumulado de metros lineales de archivo de gestión organizado. 
</v>
          </cell>
          <cell r="K166" t="str">
            <v xml:space="preserve">Total  acumulado de Metros Lineales de archivo  de gestión  organizado. 
</v>
          </cell>
          <cell r="L166" t="str">
            <v xml:space="preserve">Total acumulado del Metros Lineales de archivo de gestión programados para organizaren la vigencia 
</v>
          </cell>
          <cell r="M166" t="str">
            <v>Efectividad</v>
          </cell>
          <cell r="N166" t="str">
            <v>Eficacia
Eficiencia</v>
          </cell>
        </row>
        <row r="167">
          <cell r="I167" t="str">
            <v xml:space="preserve">Porcentaje de Solicitudes  de préstamo documental atendidas en el período en los plazos establecidos 
</v>
          </cell>
          <cell r="J167" t="str">
            <v xml:space="preserve">Porcentaje de Solicitudes  de préstamo documental atendidas en el período en los plazos establecidos 
</v>
          </cell>
          <cell r="K167" t="str">
            <v xml:space="preserve">Número de  Solicitudes de préstamo documental atendidas en el período en los plazos establecidos. 
</v>
          </cell>
          <cell r="L167" t="str">
            <v xml:space="preserve">Número  de Solicitudes de préstamo documental recibidas en el período. 
</v>
          </cell>
          <cell r="M167" t="str">
            <v xml:space="preserve">Eficacia 
</v>
          </cell>
          <cell r="N167" t="str">
            <v>Oportunidad
Vocación de servicio</v>
          </cell>
        </row>
        <row r="168">
          <cell r="I168" t="str">
            <v xml:space="preserve">Porcentaje de documentos digitalizados y adjuntados en Software de Gestión Documental. </v>
          </cell>
          <cell r="J168" t="str">
            <v xml:space="preserve">Porcentaje de documentos digitalizados y adjuntados en Software de Gestión Documental. </v>
          </cell>
          <cell r="K168" t="str">
            <v>Número de documentos digitalizados y adjuntados en Software de Gestión Documental</v>
          </cell>
          <cell r="L168" t="str">
            <v>Número de documentos  radicados en el periodo</v>
          </cell>
          <cell r="M168" t="str">
            <v xml:space="preserve">Eficacia 
</v>
          </cell>
          <cell r="N168" t="str">
            <v>Oportunidad
Eficiencia</v>
          </cell>
        </row>
        <row r="169">
          <cell r="I169" t="str">
            <v>Porcentaje de documentos radicados y no entregados por las dependencias al Grupo de Correspondencia</v>
          </cell>
          <cell r="J169" t="str">
            <v>Porcentaje de documentos radicados y no entregados por las dependencias al Grupo de Correspondencia</v>
          </cell>
          <cell r="K169" t="str">
            <v xml:space="preserve">1- (Número de documentos entregados a correspondencia para su envío en el período </v>
          </cell>
          <cell r="L169" t="str">
            <v xml:space="preserve"> Total de documentos radicados por las dependencias en el sistema de correspondencia para envío en el período) </v>
          </cell>
          <cell r="M169" t="str">
            <v xml:space="preserve">Eficacia 
</v>
          </cell>
          <cell r="N169" t="str">
            <v xml:space="preserve">Oportunidad
Eficiencia
</v>
          </cell>
        </row>
        <row r="170">
          <cell r="I170" t="e">
            <v>#N/A</v>
          </cell>
          <cell r="J170" t="str">
            <v xml:space="preserve">Porcentaje de Devoluciones de correspondencia en el período 
</v>
          </cell>
          <cell r="K170" t="str">
            <v xml:space="preserve">Número de envíos de correspondencia devueltos en el período. 
</v>
          </cell>
          <cell r="L170" t="str">
            <v xml:space="preserve">Total envíos de correspondencia realizados en el período. 
</v>
          </cell>
          <cell r="M170" t="str">
            <v>Efectividad</v>
          </cell>
          <cell r="N170" t="str">
            <v>Oportunidad
Eficiencia</v>
          </cell>
        </row>
        <row r="171">
          <cell r="I171" t="str">
            <v xml:space="preserve">Porcentaje de solicitudes al almacén atendidas y registradas en el periodo. 
</v>
          </cell>
          <cell r="J171" t="str">
            <v xml:space="preserve">Porcentaje de solicitudes al almacén atendidas y registradas en el periodo. 
</v>
          </cell>
          <cell r="K171" t="str">
            <v xml:space="preserve">No. de solicitudes atendidas por el almacén y registradas en el inventario en el periodo. 
</v>
          </cell>
          <cell r="L171" t="str">
            <v xml:space="preserve">Número de solicitudes recibidas por el almacén en el período 
</v>
          </cell>
          <cell r="M171" t="str">
            <v>Efectividad</v>
          </cell>
          <cell r="N171" t="str">
            <v xml:space="preserve">
Vocación de servicio
Oportunidad</v>
          </cell>
        </row>
        <row r="172">
          <cell r="I172" t="str">
            <v>Número de resmas de papel consumidas por la entidad en cada periodo</v>
          </cell>
          <cell r="J172" t="str">
            <v>Número de resmas de papel consumidas por la entidad en cada periodo</v>
          </cell>
          <cell r="K172" t="str">
            <v>No. de resmas de papel entregadas en el periodo</v>
          </cell>
          <cell r="L172" t="str">
            <v>Promedio mensual del último año de resmas entregadas</v>
          </cell>
          <cell r="M172" t="str">
            <v>Eficiencia</v>
          </cell>
          <cell r="N172" t="str">
            <v>Pertinencia                                
 Eficiencia</v>
          </cell>
        </row>
        <row r="173">
          <cell r="I173" t="str">
            <v xml:space="preserve">Porcentaje de solicitudes de servicios generales atendidas. 
</v>
          </cell>
          <cell r="J173" t="str">
            <v xml:space="preserve">Porcentaje de solicitudes de servicios generales atendidas. 
</v>
          </cell>
          <cell r="K173" t="str">
            <v xml:space="preserve">No. de solicitudes atendidas en el periodo 
</v>
          </cell>
          <cell r="L173" t="str">
            <v xml:space="preserve">No. de solicitudes recibidas en el periodo. 
</v>
          </cell>
          <cell r="M173" t="str">
            <v>Efectividad</v>
          </cell>
          <cell r="N173" t="str">
            <v xml:space="preserve">
Vocación de servicio
Oportunidad</v>
          </cell>
        </row>
        <row r="174">
          <cell r="I174" t="str">
            <v xml:space="preserve">Kilometraje recorrido por el parque automotor en el periodo </v>
          </cell>
          <cell r="J174" t="str">
            <v xml:space="preserve">Kilometraje recorrido por el parque automotor en el periodo </v>
          </cell>
          <cell r="K174" t="str">
            <v>Kilometraje recorrido por el parque automotor en el periodo</v>
          </cell>
          <cell r="L174" t="str">
            <v>Promedio mensual del kilometraje recorrido por el parque automotor</v>
          </cell>
          <cell r="M174" t="str">
            <v>Eficiencia</v>
          </cell>
          <cell r="N174" t="str">
            <v>Eficiencia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 2014"/>
      <sheetName val="Hoja3"/>
      <sheetName val="Hoja1"/>
      <sheetName val="Hoja2"/>
      <sheetName val="Listas"/>
      <sheetName val="PAG_2014"/>
      <sheetName val="BASE 2019"/>
      <sheetName val="NOT GRAF"/>
    </sheetNames>
    <sheetDataSet>
      <sheetData sheetId="0"/>
      <sheetData sheetId="1"/>
      <sheetData sheetId="2">
        <row r="3">
          <cell r="D3" t="str">
            <v>C 450-300-1 SOGC</v>
          </cell>
        </row>
        <row r="4">
          <cell r="D4" t="str">
            <v>C 450-300-2 IVC</v>
          </cell>
        </row>
        <row r="5">
          <cell r="D5" t="str">
            <v>C 450-300-4 Estabilidad Financiera</v>
          </cell>
        </row>
        <row r="6">
          <cell r="D6" t="str">
            <v>C 450-300-8 Nota Técnica</v>
          </cell>
        </row>
      </sheetData>
      <sheetData sheetId="3"/>
      <sheetData sheetId="4" refreshError="1"/>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 OAP"/>
      <sheetName val="PAG CONSOLIDADO"/>
      <sheetName val="PAG 2014 Proyecto riesgos"/>
      <sheetName val="PAG 2014"/>
      <sheetName val="Hoja2"/>
      <sheetName val="PROTECCION AL USUARI0-2014"/>
      <sheetName val="OFICINA ASESORA DE PLANEACIÓN"/>
      <sheetName val="OFICINA ASESORA JURÍDICA"/>
      <sheetName val="OFICINA DE CONTROL INTERNO"/>
      <sheetName val="OFICINA TECNOLOGIAS DE LA INFOR"/>
      <sheetName val="COMUNICACIONES"/>
      <sheetName val="CONTROL DISCIPLINARIO"/>
      <sheetName val="SECRETARIA GENERAL"/>
      <sheetName val="JURISDICCIONAL  Y  CONCILIACION"/>
      <sheetName val="MEDIDAS ESPECIALES"/>
      <sheetName val="OFICINA RIESGOS"/>
      <sheetName val="DELEGADA INSTITUCIONAL"/>
      <sheetName val="DELEGADA RIESGOS"/>
      <sheetName val="DELEGADA PROCESOS ADMINISTRATIV"/>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F2" t="str">
            <v>1.     Consolidar la Superintendencia Nacional de Salud como un organismo técnico, rector del sistema de vigilancia, inspección y control.</v>
          </cell>
        </row>
        <row r="3">
          <cell r="F3" t="str">
            <v>2.     Promover el mejoramiento de la calidad en la atención en salud.</v>
          </cell>
        </row>
        <row r="4">
          <cell r="F4" t="str">
            <v>3.     Fortalecer la inspección, vigilancia y control del aseguramiento en salud.</v>
          </cell>
        </row>
        <row r="5">
          <cell r="F5" t="str">
            <v>4.     Fortalecer a través de mecanismos de IVC la oportunidad en la generación y flujo de los recursos del Sistema General de Seguridad Social en Salud y los regímenes especiales y exceptuados.</v>
          </cell>
        </row>
        <row r="6">
          <cell r="F6" t="str">
            <v>5.     Promover y fortalecer la participación ciudadana para la defensa de los derechos de los usuarios del sector salud.</v>
          </cell>
        </row>
        <row r="7">
          <cell r="F7" t="str">
            <v>6.     Adelantar los procesos de intervención forzosa administrativa aplicando mecanismos de seguimiento a los agentes interventores, liquidadores y contralores y realizar inspección, vigilancia y control a las liquidaciones voluntarias con el fin de proteger los derechos de los afiliados y recursos del sector salud.</v>
          </cell>
        </row>
        <row r="8">
          <cell r="F8" t="str">
            <v>7.     Proteger los derechos y reconocer las obligaciones y deberes de los distintos actores participantes en el sector salud, a través de las funciones jurisdiccionales y de conciliación.</v>
          </cell>
        </row>
        <row r="9">
          <cell r="F9" t="str">
            <v>8.     Fortalecer la capacidad institucional de la Superintendencia Nacional de Salud.</v>
          </cell>
        </row>
        <row r="10">
          <cell r="F10" t="str">
            <v>2.     Promover el mejoramiento de la calidad en la atención en salud.
3.     Fortalecer la inspección, vigilancia y control del aseguramiento en salud.</v>
          </cell>
        </row>
        <row r="11">
          <cell r="F11" t="str">
            <v>1.     Consolidar la Superintendencia Nacional de Salud como un organismo técnico, rector del sistema de vigilancia, inspección y control.
2.     Promover el mejoramiento de la calidad en la atención en salud.
3.     Fortalecer la inspección, vigilancia y control del aseguramiento en salud.</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oria Esperanza Diaz Salamanca" refreshedDate="46069.390007291666" createdVersion="8" refreshedVersion="8" minRefreshableVersion="3" recordCount="129" xr:uid="{57F2835C-0BBE-4685-9EC8-DEF9326B233A}">
  <cacheSource type="worksheet">
    <worksheetSource ref="CK4:CR133" sheet="Reporte"/>
  </cacheSource>
  <cacheFields count="8">
    <cacheField name="Respon." numFmtId="0">
      <sharedItems count="14">
        <s v="Delegatura para Entidades Territoriales y Generadores y Recaudadores y Administradores de Recursos del SGSSS "/>
        <s v="Delegatura Entidades Aseguramiento en Salud"/>
        <s v="Delegatura Prestadores de Servicios en Salud"/>
        <s v="Delegatura para la Protección al Usuario "/>
        <s v="Delegatura para Operadores Logísticos de Tecnologías en Salud y Gestores Farmacéuticos"/>
        <s v="Delegatura de Investigaciones Administrativas"/>
        <s v="Delegatura Función Jurisdiccional y de Conciliación"/>
        <s v="Oficina de Liquidaciones"/>
        <s v="Oficina Asesora de Planeación"/>
        <s v="Oficina Asesora de Comunicaciones"/>
        <s v="Oficina de Control Interno"/>
        <s v="Dirección de Innovación y Desarrollo"/>
        <s v="Dirección Jurídica"/>
        <s v="Secretaria General "/>
      </sharedItems>
    </cacheField>
    <cacheField name="Nombre" numFmtId="0">
      <sharedItems longText="1"/>
    </cacheField>
    <cacheField name="Fórmula" numFmtId="0">
      <sharedItems longText="1"/>
    </cacheField>
    <cacheField name="Num." numFmtId="0">
      <sharedItems containsSemiMixedTypes="0" containsString="0" containsNumber="1" minValue="0" maxValue="315358112464"/>
    </cacheField>
    <cacheField name="Denom." numFmtId="0">
      <sharedItems containsSemiMixedTypes="0" containsString="0" containsNumber="1" containsInteger="1" minValue="0" maxValue="316593914285"/>
    </cacheField>
    <cacheField name="Resultado %" numFmtId="0">
      <sharedItems containsMixedTypes="1" containsNumber="1" minValue="0.54545454545454541" maxValue="3.5635910224438905"/>
    </cacheField>
    <cacheField name="Meta" numFmtId="0">
      <sharedItems containsSemiMixedTypes="0" containsString="0" containsNumber="1" minValue="0" maxValue="1600"/>
    </cacheField>
    <cacheField name="Semáforo" numFmtId="9">
      <sharedItems containsMixedTypes="1" containsNumber="1" containsInteger="1" minValue="0" maxValue="0" count="5">
        <s v="CUMPLIO"/>
        <s v="SOBRECUMPLIO"/>
        <s v="INCUMPLIO"/>
        <s v="-"/>
        <n v="0"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loria Esperanza Diaz Salamanca" refreshedDate="46069.390011226853" createdVersion="8" refreshedVersion="8" minRefreshableVersion="3" recordCount="443" xr:uid="{D6FFEA2A-5399-427B-8E33-278EE01F5B67}">
  <cacheSource type="worksheet">
    <worksheetSource ref="A1:Q1048576" sheet="SharePoint"/>
  </cacheSource>
  <cacheFields count="17">
    <cacheField name="Dependencia" numFmtId="0">
      <sharedItems containsBlank="1"/>
    </cacheField>
    <cacheField name="Mes" numFmtId="0">
      <sharedItems containsBlank="1" count="14">
        <s v="ENERO"/>
        <s v="FEBRERO"/>
        <s v="MARZO"/>
        <s v="ABRIL"/>
        <s v="MAYO"/>
        <s v="JUNIO"/>
        <s v="JULIO"/>
        <s v="AGOSTO"/>
        <s v="SEPTIEMBRE"/>
        <s v="OCTUBRE"/>
        <s v="NOVIEMBRE"/>
        <s v="DICIEMBRE"/>
        <m/>
        <s v="Mes" u="1"/>
      </sharedItems>
    </cacheField>
    <cacheField name="Indicador" numFmtId="0">
      <sharedItems containsBlank="1" count="131">
        <s v="GJ12"/>
        <s v="GF07"/>
        <s v="AT09"/>
        <s v="GJ05"/>
        <s v="GJ10"/>
        <s v="GM01"/>
        <s v="AC05"/>
        <s v="CT29"/>
        <s v="CT31"/>
        <s v="CT32"/>
        <s v="GF02-D"/>
        <s v="AT12"/>
        <s v="CT04"/>
        <s v="CT28"/>
        <s v="SE35"/>
        <s v="TR06"/>
        <s v="JC03"/>
        <s v="JC04"/>
        <s v="JC05"/>
        <s v="JC06"/>
        <s v="AT11"/>
        <s v="CT21"/>
        <s v="SE27"/>
        <s v="SE28"/>
        <s v="SE33"/>
        <s v="SE47"/>
        <s v="SE49"/>
        <s v="SE50"/>
        <s v="AT04"/>
        <s v="RL04"/>
        <s v="RL06"/>
        <s v="RL10"/>
        <s v="RL18"/>
        <s v="RL23"/>
        <s v="RL24"/>
        <s v="SE22"/>
        <s v="SE23"/>
        <s v="AT02"/>
        <s v="AT03"/>
        <s v="CT23"/>
        <s v="DE10"/>
        <s v="DE13"/>
        <s v="DE16"/>
        <s v="DI07"/>
        <s v="DI09"/>
        <s v="DI10"/>
        <s v="DI31"/>
        <s v="DI36"/>
        <s v="GJ06"/>
        <s v="GJ07"/>
        <s v="GM05"/>
        <s v="BS01"/>
        <s v="BS04"/>
        <s v="BS05"/>
        <s v="DI18"/>
        <s v="DI23"/>
        <s v="DI24"/>
        <s v="DI28"/>
        <s v="DI33"/>
        <s v="GF01"/>
        <s v="GF02"/>
        <s v="PE01"/>
        <s v="PE02"/>
        <s v="PE03"/>
        <s v="PE04"/>
        <s v="PE05"/>
        <s v="AT05"/>
        <s v="DE09"/>
        <s v="SE11"/>
        <s v="SE31"/>
        <s v="SE34"/>
        <s v="SE48"/>
        <s v="RL11"/>
        <s v="RL19"/>
        <s v="RL20"/>
        <s v="DI38"/>
        <s v="DI14"/>
        <s v="DI35"/>
        <s v="GM03"/>
        <s v="CT17"/>
        <s v="AC04"/>
        <s v="GF09"/>
        <s v="GF11"/>
        <s v="SE42"/>
        <s v="DE04"/>
        <s v="CT25"/>
        <s v="JC01"/>
        <s v="JC02"/>
        <s v="JC07"/>
        <s v="JC08"/>
        <s v="RL03"/>
        <s v="SE43"/>
        <s v="CT05"/>
        <s v="CT07"/>
        <s v="CT24"/>
        <s v="SE05"/>
        <s v="SE06"/>
        <s v="SE26"/>
        <s v="SE38"/>
        <s v="SE39"/>
        <s v="TR04"/>
        <s v="TR05"/>
        <s v="TR07"/>
        <s v="DE14"/>
        <s v="DE18"/>
        <s v="CT15"/>
        <s v="CT16"/>
        <s v="GJ02"/>
        <s v="GJ04"/>
        <s v="GJ13"/>
        <s v="GJ14"/>
        <s v="GJ15"/>
        <s v="GM04"/>
        <s v="SE25"/>
        <s v="SE46"/>
        <s v="AC06"/>
        <s v="AC07"/>
        <s v="BS06"/>
        <s v="BS08"/>
        <s v="BS09"/>
        <s v="DI20"/>
        <s v="GF08"/>
        <s v="DI34"/>
        <s v="DE01"/>
        <s v="DE17"/>
        <s v="DI17"/>
        <s v="GM07"/>
        <s v="GM06"/>
        <s v="CT06"/>
        <m/>
        <s v="Indicador" u="1"/>
      </sharedItems>
    </cacheField>
    <cacheField name="Actividad" numFmtId="0">
      <sharedItems containsBlank="1" longText="1"/>
    </cacheField>
    <cacheField name="Nombre Indicador" numFmtId="0">
      <sharedItems containsBlank="1" longText="1"/>
    </cacheField>
    <cacheField name="Formula Indicador" numFmtId="0">
      <sharedItems containsBlank="1" longText="1"/>
    </cacheField>
    <cacheField name="Unidad de medida" numFmtId="0">
      <sharedItems containsBlank="1"/>
    </cacheField>
    <cacheField name="Meta parcial" numFmtId="0">
      <sharedItems containsString="0" containsBlank="1" containsNumber="1" minValue="0.05" maxValue="1200"/>
    </cacheField>
    <cacheField name="Numerador" numFmtId="0">
      <sharedItems containsString="0" containsBlank="1" containsNumber="1" minValue="0" maxValue="315358112464"/>
    </cacheField>
    <cacheField name="Denominador" numFmtId="0">
      <sharedItems containsBlank="1" containsMixedTypes="1" containsNumber="1" containsInteger="1" minValue="0" maxValue="326211744691"/>
    </cacheField>
    <cacheField name="Valor Calculado Indicador" numFmtId="0">
      <sharedItems containsString="0" containsBlank="1" containsNumber="1" minValue="0" maxValue="17"/>
    </cacheField>
    <cacheField name="Análisis Indicador" numFmtId="0">
      <sharedItems containsBlank="1" longText="1"/>
    </cacheField>
    <cacheField name="URL" numFmtId="0">
      <sharedItems containsBlank="1"/>
    </cacheField>
    <cacheField name="Evidencia URL" numFmtId="0">
      <sharedItems containsBlank="1"/>
    </cacheField>
    <cacheField name="Año" numFmtId="0">
      <sharedItems containsBlank="1"/>
    </cacheField>
    <cacheField name="Tipo de elemento" numFmtId="0">
      <sharedItems containsBlank="1"/>
    </cacheField>
    <cacheField name="Ruta de acceso"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9">
  <r>
    <x v="0"/>
    <s v="Porcentaje del total de Actores del sistema con acciones de inspección y vigilancia por parte de la Dirección Regional_x000a__x000a_* Nota: Se calcula por Dirección Regional - ocho indicadores"/>
    <s v="(Número de categoría de Actores del sistema con acciones de inspección y vigilancia por parte de la Direcciones regional / 09 categorías de actores del sistema sujeto de acciones de inspección y vigilancia de la SNS)*100._x000a__x000a_* Nota: Se calcula por Dirección Regional - ocho indicadores"/>
    <n v="6"/>
    <n v="9"/>
    <n v="0.66666666666666663"/>
    <n v="0.66666666666666663"/>
    <x v="0"/>
  </r>
  <r>
    <x v="0"/>
    <s v="Porcentaje de Nuevos territorios (Departamentos, Municipios o Distritos) impactados con acciones de IV por parte de las Direcciones Regionales sobre el total de Nuevos Territorios programados._x000a__x000a_NOTA: Se entienden como nuevos territorios impactados, aquellos que no hayan tenido acciones de IV en la Vigencia Anterior, y sí en la actual._x000a__x000a_NOTA 2:  Las acciones de inspección y vigilancia pueden ser auditorías, mesas de Inspección y Vigilancia, Acciones Integrales en Territorio, Estrategia de territorios Vitales, Fortalecimiento de competencias de las Entidades Territoriales, entre otras."/>
    <s v="(Número de nuevos territorios impactados con Acciones de IV / Número de Nuevos territorios programados por la Direcciones Regionales para intervenir)*100_x000a__x000a_(NOTA: Tanto en el número de territorios impactados como en el total de territorios programados se hace la sumatoria de las regionales) "/>
    <n v="92"/>
    <n v="92"/>
    <n v="1"/>
    <n v="1"/>
    <x v="0"/>
  </r>
  <r>
    <x v="0"/>
    <s v="Porcentaje de alertas generadas en desarrollo de las acciones de IV a generadores, recaudadores y administradores de recursos del SGSSS con acciones de gestión sobre el total de alertas"/>
    <s v="(Número de alertas generadas en el informe del trimestre anterior con acciones de gestión / Total de alertas encontradas en el informe del trimestre anterior)*100"/>
    <n v="56"/>
    <n v="56"/>
    <n v="1"/>
    <n v="1"/>
    <x v="0"/>
  </r>
  <r>
    <x v="0"/>
    <s v="Redes de Controladores departamentales activadas"/>
    <s v="Número de departamentos con red de Controladores activadas"/>
    <n v="15"/>
    <n v="10"/>
    <n v="1.5"/>
    <n v="10"/>
    <x v="1"/>
  </r>
  <r>
    <x v="0"/>
    <s v="Auditorías de Inspección y Vigilancia realizadas por la Delegada de Entidades territoriales"/>
    <s v="Número de Auditorías realizadas "/>
    <n v="20"/>
    <n v="20"/>
    <n v="1"/>
    <n v="20"/>
    <x v="0"/>
  </r>
  <r>
    <x v="0"/>
    <s v="Seguimientos a las auditorías de Inspección y Vigilancia Realizadas"/>
    <s v="Numero de Seguimientos realizados"/>
    <n v="85"/>
    <n v="40"/>
    <n v="2.125"/>
    <n v="40"/>
    <x v="1"/>
  </r>
  <r>
    <x v="0"/>
    <s v="Mesas Técnicas para el fortalecimiento de competencias"/>
    <s v="Número de Mesas Técnicas realizadas"/>
    <n v="16"/>
    <n v="11"/>
    <n v="1.4545454545454546"/>
    <n v="11"/>
    <x v="1"/>
  </r>
  <r>
    <x v="0"/>
    <s v="Mesas ejecutadas para la apropiación del Sistema Integrado de Gestión al interior de la Delegada."/>
    <s v="Número de mesas ejecutadas para la apropiación del Sistema Integrado de Gestión al interior de la Delegada realizadas "/>
    <n v="12"/>
    <n v="12"/>
    <n v="1"/>
    <n v="12"/>
    <x v="0"/>
  </r>
  <r>
    <x v="0"/>
    <s v="Seguimiento a las actividades de las Direcciones regionales."/>
    <s v="Número de seguimientos realizados  "/>
    <n v="35"/>
    <n v="32"/>
    <n v="1.09375"/>
    <n v="32"/>
    <x v="1"/>
  </r>
  <r>
    <x v="0"/>
    <s v="Ejecución de las mesas de Inspección y Vigilancia programadas."/>
    <s v="Mesas de Inspección y Vigilancia realizadas "/>
    <n v="79"/>
    <n v="70"/>
    <n v="1.1285714285714286"/>
    <n v="70"/>
    <x v="1"/>
  </r>
  <r>
    <x v="0"/>
    <s v="_x000a_Territorios con acciones Integrales"/>
    <s v="Número de Acciones Integrales en territorio Ejecutadas"/>
    <n v="17"/>
    <n v="11"/>
    <n v="1.5454545454545454"/>
    <n v="11"/>
    <x v="1"/>
  </r>
  <r>
    <x v="0"/>
    <s v="Seguimientos a Circular 030"/>
    <s v="Numero de Seguimientos realizados - Circular 030"/>
    <n v="80"/>
    <n v="80"/>
    <n v="1"/>
    <n v="80"/>
    <x v="0"/>
  </r>
  <r>
    <x v="0"/>
    <s v=" Mesas de Gobernanza realizadas en las direcciones regionales."/>
    <s v="Mesas de Gobernanza Realizadas"/>
    <n v="41"/>
    <n v="33"/>
    <n v="1.2424242424242424"/>
    <n v="33"/>
    <x v="1"/>
  </r>
  <r>
    <x v="0"/>
    <s v="Porcentaje de acciones ejecutadas en el marco de los ANS con las Dependencias de la Entidad"/>
    <s v="Número acciones ejecutadas / Número de acciones que sean requeridas"/>
    <n v="622"/>
    <n v="622"/>
    <n v="1"/>
    <n v="1"/>
    <x v="0"/>
  </r>
  <r>
    <x v="1"/>
    <s v="Emitir los estudios de viabilidad o recomendación al Superintendente en 140 días o menos, a partir de la completitud de la información radicada por la entidad solicitante"/>
    <s v="(Cantidad de trámites con estudio de viabilidad o recomendación gestionados en 140 días o menos  /  Total de trámites gestionados en el periodo)*100"/>
    <n v="47"/>
    <n v="54"/>
    <n v="0.87037037037037035"/>
    <n v="0.85"/>
    <x v="1"/>
  </r>
  <r>
    <x v="1"/>
    <s v="Porcentaje de EPS y otras EAS con acciones de Inspección y vigilancia por parte de la Delegada de EAS"/>
    <s v="(mediana de los porcentajes de cobertura (# de vigilados a los que se efectúo la acción de IV / # de vigilados objeto o susceptibles de la acción))"/>
    <n v="0.7357499999999999"/>
    <n v="1"/>
    <n v="0.7357499999999999"/>
    <n v="0.8"/>
    <x v="2"/>
  </r>
  <r>
    <x v="1"/>
    <s v="Auditorias realizadas a las entidades de aseguramiento en salud y otras entidades de aseguramiento"/>
    <s v="Número de auditorías ejecutadas / Número total de auditorías proyectadas en el periodo de acuerdo con el Programa Anual de Auditorías de la Delegada."/>
    <n v="39"/>
    <n v="39"/>
    <n v="1"/>
    <n v="0.85"/>
    <x v="1"/>
  </r>
  <r>
    <x v="1"/>
    <s v="Porcentaje de avance en la actualización de la información de las fichas productos de los seguimientos"/>
    <s v="Fichas técnicas con información actualizadas / Número de entidades en medida*100"/>
    <n v="69"/>
    <n v="81"/>
    <n v="0.85185185185185186"/>
    <n v="0.85"/>
    <x v="1"/>
  </r>
  <r>
    <x v="1"/>
    <s v="Seguimiento y monitoreo a entidades en medida de vigilancia."/>
    <s v="Numero de seguimientos en campo a las entidades en medida especial "/>
    <n v="16"/>
    <n v="17"/>
    <n v="0.94117647058823528"/>
    <n v="17"/>
    <x v="2"/>
  </r>
  <r>
    <x v="2"/>
    <s v="Auditorías realizadas a los Prestadores de Servicios en Salud (PSS) en cumplimiento del Programa Anual de Auditoría de la Delegada"/>
    <s v="Número de auditorías realizadas a los Prestadores de Servicios en Salud (PSS) "/>
    <n v="64"/>
    <n v="64"/>
    <n v="1"/>
    <n v="64"/>
    <x v="0"/>
  </r>
  <r>
    <x v="2"/>
    <s v="Porcentaje de Planes de Mejoramiento evaluados"/>
    <s v="Número de Planes de Mejoramiento evaluados al corte / Número de Planes de Mejoramiento gestionados en el periodo"/>
    <n v="286"/>
    <n v="288"/>
    <n v="0.99305555555555558"/>
    <n v="1"/>
    <x v="2"/>
  </r>
  <r>
    <x v="2"/>
    <s v="Porcentaje de seguimiento a los recursos asignados para la implementación de los equipos basicos en Salud en las ESE"/>
    <s v="Número de seguimientos efectuados / Total de ESE con asignación de recursos para el Programa de Equipos Básicos en Salud, conocidas por la Supersalud."/>
    <n v="1037"/>
    <n v="1037"/>
    <n v="1"/>
    <n v="1"/>
    <x v="0"/>
  </r>
  <r>
    <x v="2"/>
    <s v="Porcentaje de seguimiento a la ejecución del Programa de Mejoramiento Institucional"/>
    <s v="(La formula del indicador quedaría de la siguiente manera: Número de seguimientos adelantados a los PMI / Numero de PMI reportados a la Dirección IV para PSS)*100"/>
    <n v="31"/>
    <n v="31"/>
    <n v="1"/>
    <n v="1"/>
    <x v="0"/>
  </r>
  <r>
    <x v="2"/>
    <s v="Porcentaje de solicitudes gestionadas de los vigilados relacionados con reformas estatutarias"/>
    <s v="Número de solicitudes de reformas estatutarias gestionadas/Número de solicitudes de reformas estatutarias recibidas para trámite en la vigencia."/>
    <n v="17"/>
    <n v="17"/>
    <n v="1"/>
    <n v="1"/>
    <x v="0"/>
  </r>
  <r>
    <x v="2"/>
    <s v="Porcentaje de recursos de apelación por evaluación de gerentes y evaluación no satisfactoria por no presentación del plan de gestión."/>
    <s v="Número de recursos de apelación por evaluación de gerentes y evaluación no satisfactoria por no presentación del plan de gestión, gestionadas en los tiempos establecidos/ Número de recursos de apelación por evaluación de gerentes y evaluación no satisfactoria por no presentación del plan de gestión recibidas."/>
    <n v="1"/>
    <n v="1"/>
    <n v="1"/>
    <n v="1"/>
    <x v="0"/>
  </r>
  <r>
    <x v="2"/>
    <s v="Alertas identificadas y gestionadas en el monitoreo y vigilancia de los recursos financieros a 25 ESE durante la vigencia 2025, respecto de 4 indicadores financieros."/>
    <s v="Número alertas gestionadas en las ESE "/>
    <n v="112"/>
    <n v="100"/>
    <n v="1.1200000000000001"/>
    <n v="100"/>
    <x v="1"/>
  </r>
  <r>
    <x v="2"/>
    <s v="Orientaciones técnicas a los Prestadores de Servicios en Salud ejecutadas "/>
    <s v="Número de orientaciones técnicas realizadas a los prestadores de servicios de salud"/>
    <n v="24"/>
    <n v="13"/>
    <n v="1.8461538461538463"/>
    <n v="13"/>
    <x v="1"/>
  </r>
  <r>
    <x v="2"/>
    <s v="Total de acciones de Inspección y Vigilancia para el monitoreo de los riesgos"/>
    <s v="Numero total de acciones de Inspección y Vigilancia para el monitoreo de los riesgos"/>
    <n v="4"/>
    <n v="4"/>
    <n v="1"/>
    <n v="4"/>
    <x v="0"/>
  </r>
  <r>
    <x v="2"/>
    <s v="Porcentaje de cumplimiento de seguimientos en campo a ESE bajo medida"/>
    <s v="Numero de seguimientos en campo realizados  a los Prestadores de Servicios de  Salud (PSS) bajo acción o medida especial / Total de seguimientos programados a ESE bajo medida"/>
    <n v="27"/>
    <n v="27"/>
    <n v="1"/>
    <n v="0.9"/>
    <x v="1"/>
  </r>
  <r>
    <x v="2"/>
    <s v="Porcentaje de acciones de monitoreo y verificación adelantadas  a agentes interventores, contralores, gerentes y revisores fiscales de los Prestadores de Servicios en Salud - PSS con medida adoptada "/>
    <s v="Número de acciones de monitoreo y verificación realizadas a los Prestadores de Servicios de  Salud- PSS con medida adoptada  / Número de acciones de monitoreo y verificación a los prestadores de servicios de salud PSS bajo medida programadas."/>
    <n v="352"/>
    <n v="352"/>
    <n v="1"/>
    <n v="1"/>
    <x v="0"/>
  </r>
  <r>
    <x v="2"/>
    <s v="Porcentaje  de solicitudes de promoción de acuerdos de restructuración de pasivos tramitadas"/>
    <s v="Número de solicitudes de acuerdos de restructuración de pasivos evaluados en el periodo/ Número de acuerdos de restructuración de pasivos solicitados con vencimiento del término."/>
    <n v="0"/>
    <n v="0"/>
    <e v="#DIV/0!"/>
    <n v="1"/>
    <x v="0"/>
  </r>
  <r>
    <x v="2"/>
    <s v="Porcentaje de acciones de seguimiento a promotores de acuerdos de reestructuración de pasivos hasta la etapa de celebración del acuerdo respectivo"/>
    <s v="Número de acciones de seguimiento a la gestión de promotores de acuerdos de reestructuración de pasivos realizadas / Número de acciones de seguimiento a la gestión de promotores de acuerdos de reestructuración de pasivos programadas  "/>
    <n v="2"/>
    <n v="2"/>
    <n v="1"/>
    <n v="1"/>
    <x v="0"/>
  </r>
  <r>
    <x v="2"/>
    <s v="Porcentaje de avance en la formulación de los lineamientos y monitoreo a las E.S.E  de las acciones tendientes a  la formalización laboral y atención en salud con enfoque diferencia."/>
    <s v="Numero de hitos en la formulación de lineamientos y monitoreos a las E.S.E / Numero de hitos o acciones programadas.  "/>
    <n v="22"/>
    <n v="22"/>
    <n v="1"/>
    <n v="1"/>
    <x v="0"/>
  </r>
  <r>
    <x v="2"/>
    <s v="Eventos de difusión, socialización y capacitación realizados en relación con las acciones y medidas especiales adoptadas a los Prestadores de Servicios de Salud-PSS de la Superintendencia Nacional de Salud "/>
    <s v="Número de Eventos de difusión, socialización y capacitación realizados/Número de Eventos de difusión, socialización y capacitación programados"/>
    <n v="5"/>
    <n v="5"/>
    <n v="1"/>
    <n v="1"/>
    <x v="0"/>
  </r>
  <r>
    <x v="3"/>
    <s v=" Porcentajes de reclamos en salud con seguimiento "/>
    <s v="Reclamos en salud con seguimiento / total de reclamos no cerrados por el vigilados* 100 .   "/>
    <n v="843"/>
    <n v="865"/>
    <n v="0.97456647398843932"/>
    <n v="1"/>
    <x v="2"/>
  </r>
  <r>
    <x v="3"/>
    <s v="Promoción de los derechos y deberes en salud y mecanismos de participación ciudadana en salud a la ciudadanía.                  "/>
    <s v="Número de actividades que promueven el ejercicio de derechos y deberes y mecanismos de participación ciudadana en salud para ciudadanía en general desarrollados en el periodo.."/>
    <n v="340"/>
    <n v="282"/>
    <n v="1.2056737588652482"/>
    <n v="282"/>
    <x v="1"/>
  </r>
  <r>
    <x v="3"/>
    <s v="Actividades desarrolladas en el ámbito de la política de servicio al ciudadano "/>
    <s v="Número total de actividades desarrolladas en el periodo."/>
    <n v="41"/>
    <n v="30"/>
    <n v="1.3666666666666667"/>
    <n v="30"/>
    <x v="1"/>
  </r>
  <r>
    <x v="3"/>
    <s v="Auditorías realizadas a los vigilados por parte de la Delegada de Protección al Usuario"/>
    <s v=" Número de auditorías ejecutadas"/>
    <n v="120"/>
    <n v="120"/>
    <n v="1"/>
    <n v="120"/>
    <x v="0"/>
  </r>
  <r>
    <x v="3"/>
    <s v="Medición de la percepción en canal telefonico y presencial de la SNS. "/>
    <s v="Total de respuestas con calificación favorable (bueno y excelente) del instrumento de medición aplicado "/>
    <n v="492741"/>
    <n v="569376"/>
    <n v="0.8654052857865453"/>
    <n v="0.85"/>
    <x v="1"/>
  </r>
  <r>
    <x v="3"/>
    <s v="Capacitaciones realizadas en  territorios cobijados por los programas de desarrollo con enfoque territorial PDET"/>
    <s v=" Número de capacitaciones realizadas en  territorios cobijados por los programas de desarrollo con enfoque territorial PDET"/>
    <n v="23"/>
    <n v="14"/>
    <n v="1.6428571428571428"/>
    <n v="14"/>
    <x v="1"/>
  </r>
  <r>
    <x v="3"/>
    <s v="Porcentaje de reclamos en salud radicados y gestionados a través del multicanal "/>
    <s v="Número de reclamos en salud radicados y  gestionadas en el trimestre*"/>
    <n v="1823127"/>
    <n v="1823127"/>
    <n v="1"/>
    <n v="1"/>
    <x v="0"/>
  </r>
  <r>
    <x v="3"/>
    <s v="Porcentaje de reclamos en salud radicados y gestionados a través del canal presencial"/>
    <s v="Número de reclamos en salud radicados y  gestionadas en el trimestre*"/>
    <n v="359084"/>
    <n v="359084"/>
    <n v="1"/>
    <n v="1"/>
    <x v="0"/>
  </r>
  <r>
    <x v="4"/>
    <s v="Caracterización individual de los nuevos Gestores Farmacéuticos identificados por la Dirección de Innovación y Desarrollo los años 2023 y 2024,respecto del componente financiero."/>
    <s v="Número de caracterizaciones realizadas  a los Gestores Farmacéuticos Identificados respecto del componente financiero."/>
    <n v="97"/>
    <n v="97"/>
    <n v="1"/>
    <n v="97"/>
    <x v="0"/>
  </r>
  <r>
    <x v="4"/>
    <s v="Actividades de IVC a los OLTS y/o GF objeto de supervisión en el marco del proceso de operación inicial de la Supervisión Basada en Riesgos"/>
    <s v="Número de actividades de IVC a los OLTS y/o GF objeto de supervisión en el marco del proceso de operación inicial de la Supervisión Basada en Riesgos"/>
    <n v="4"/>
    <n v="5"/>
    <n v="0.8"/>
    <n v="5"/>
    <x v="2"/>
  </r>
  <r>
    <x v="4"/>
    <s v="Porcentaje de solicitudes de información y/ reclamos en salud gestionados finalizados tramitados a los grupos de valor o de interés de la SNS presentados a la DOLTS-GF"/>
    <s v="(Sumatoria del número de solicitudes de información y/ reclamos en salud finalizados / Número de solicitudes de información y/ reclamos en salud interpuestos por los grupos de valor o de interés) * 100"/>
    <n v="1552"/>
    <n v="1840"/>
    <n v="0.84347826086956523"/>
    <n v="0.96"/>
    <x v="2"/>
  </r>
  <r>
    <x v="4"/>
    <s v="Porcentaje de solicitudes de información y/ reclamos en salud finalizados por falta de oportunidad en la entrega o entrega incompleta de tecnologías en salud tramitados a los grupos de valor o interés de la SNS presentados a la DOLTS-GF"/>
    <s v="(Sumatoria del número de solicitudes de información y/ reclamos en salud finalizados por falta de oportunidad en la entrega o entrega incompleta de tecnologías en salud en el periodo / Número de solicitudes de información y/ reclamos en salud interpuestos por los grupos de valor o interés por falta de oportunidad en la entrega o entrega incompleta de tecnologías en salud) * 100"/>
    <n v="367"/>
    <n v="428"/>
    <n v="0.85747663551401865"/>
    <n v="0.96"/>
    <x v="2"/>
  </r>
  <r>
    <x v="4"/>
    <s v="Porcentaje de reclamos en salud trasladados por la Delegada para la Protección al Usuario a la DOLTS-GF finalizados tramitados"/>
    <s v="(Sumatoria del número de reclamos en salud trasladados por DPU finalizados / Número de reclamos en salud trasladados por DPU) * 100"/>
    <n v="346"/>
    <n v="415"/>
    <n v="0.83373493975903612"/>
    <n v="0.96"/>
    <x v="2"/>
  </r>
  <r>
    <x v="4"/>
    <s v="Actividades de socialización, asistencia técnica, mesas de trabajo o acompañamiento a los actores del SGSSS respecto a la operación de los GF y/u OLTS"/>
    <s v="Número de actividades de socialización, asistencia técnica, mesas de trabajo o acompañamiento a los actores del SGSSS respecto a la operación de los GF y/u OLTS"/>
    <n v="8"/>
    <n v="8"/>
    <n v="1"/>
    <n v="8"/>
    <x v="0"/>
  </r>
  <r>
    <x v="4"/>
    <s v="Actividades de acompañamiento a las Direcciones Regionales en actividades de IVC a los Operadores Logísticos de Tecnologías en Salud y/o Gestores Farmacéuticos de su jurisdicción"/>
    <s v="Número de actividades de acompañamiento a las Direcciones Regionales en actividades de IVC a los Operadores Logísticos de Tecnologías en Salud y/o Gestores Farmacéuticos de su jurisdicción"/>
    <n v="14"/>
    <n v="14"/>
    <n v="1"/>
    <n v="14"/>
    <x v="0"/>
  </r>
  <r>
    <x v="4"/>
    <s v="Auditorías realizadas a los Operadores Logísticos de Tecnologías en Salud y/o Gestores Farmacéuticos"/>
    <s v="Número de auditorías realizadas a los Operadores Logísticos de Tecnologías en Salud y/o Gestores Farmacéuticos"/>
    <n v="8"/>
    <n v="8"/>
    <n v="1"/>
    <n v="8"/>
    <x v="0"/>
  </r>
  <r>
    <x v="5"/>
    <s v="Porcentaje de actos administrativos expedidos"/>
    <s v="(Número de actos administrativos expedidos) / Número de solicitudes de investigación aceptadas en el semestre de reporte)*100"/>
    <n v="1429"/>
    <n v="401"/>
    <n v="3.5635910224438905"/>
    <n v="1"/>
    <x v="0"/>
  </r>
  <r>
    <x v="5"/>
    <s v="Porcentaje de  decisión de fondo de  las investigaciones administrativas con riesgo de caducidad 2025"/>
    <s v="(Número de investigaciones administrativas con riesgo de caducidad 2025, que hayan sido objeto de decisión dentro del trimestre de reporte / Número de investigaciones con caducidad 2025)*100"/>
    <n v="440"/>
    <n v="441"/>
    <n v="0.99773242630385484"/>
    <n v="1"/>
    <x v="2"/>
  </r>
  <r>
    <x v="5"/>
    <s v="Ejecución presupuestal de recursos solicitados y asignados para el presupuesto para el Mejoramiento en la ejecución de las acciones de supervisión y control  frente a la gestión en el SGSSS de los vigilados de la Supersalud Nacional"/>
    <s v="Obligaciones totales/ Apropiación total asignada "/>
    <n v="724231179"/>
    <n v="724231179"/>
    <n v="1"/>
    <n v="1"/>
    <x v="2"/>
  </r>
  <r>
    <x v="5"/>
    <s v="Porcentaje de solicitudes de investigación aceptadas tras cumplir ANS"/>
    <s v="(Número de solicitudes de investigación aceptadas) / Número de solicitudes de investigación recibidas  en el semestre de reporte)*100"/>
    <n v="332"/>
    <n v="598"/>
    <n v="0.55518394648829428"/>
    <n v="1"/>
    <x v="2"/>
  </r>
  <r>
    <x v="5"/>
    <s v="Porcentaje de procesos con aplicación de la politica sancionatoria reformulada a metodologia desarrollada para la priorizacion de casos de relevancia nacional, sobre el total de expedientes "/>
    <s v="(Numero de procesos iniciados con aplicación de la política sancionatoria y priorización de casos  / Total de expedientes tramitados en el semestre)*100"/>
    <n v="0"/>
    <n v="0"/>
    <e v="#DIV/0!"/>
    <n v="0"/>
    <x v="3"/>
  </r>
  <r>
    <x v="6"/>
    <s v="Pre jornadas  de la función de conciliación con informes de resultados "/>
    <s v="Número de Pre jornadas  de la función de conciliación con informes de resultados "/>
    <n v="14"/>
    <n v="14"/>
    <n v="1"/>
    <n v="14"/>
    <x v="0"/>
  </r>
  <r>
    <x v="6"/>
    <s v="Jornadas  de la función de conciliación con informes de resultados "/>
    <s v="Numero de jornadas  de la función de conciliación con informes de resultados "/>
    <n v="14"/>
    <n v="14"/>
    <n v="1"/>
    <n v="14"/>
    <x v="0"/>
  </r>
  <r>
    <x v="6"/>
    <s v="Porcentaje de Audiencias de Conciliación de la función de conciliación "/>
    <s v="Número de audiencias de conciliación realizadas en el período / Total de solicitudes de conciliación a petición de parte admitidas"/>
    <n v="7223"/>
    <n v="7223"/>
    <n v="1"/>
    <n v="1"/>
    <x v="0"/>
  </r>
  <r>
    <x v="6"/>
    <s v="Porcentaje de acuerdos de conciliación con seguimiento que sean exigibles "/>
    <s v="Número de acuerdos conciliatorios  con seguimientos realizados / Número de  acuerdos conciliatorios suscritos que sean exigibles "/>
    <n v="630"/>
    <n v="630"/>
    <n v="1"/>
    <n v="1"/>
    <x v="0"/>
  </r>
  <r>
    <x v="6"/>
    <s v="Providencias Jurisdiccionales de Glosas y Devoluciones gestionados"/>
    <s v="Número de autos y sentencias Jurisdiccionales de Glosas y Recobros gestionados en el periodo de reporte"/>
    <n v="173"/>
    <n v="150"/>
    <n v="1.1533333333333333"/>
    <n v="150"/>
    <x v="1"/>
  </r>
  <r>
    <x v="6"/>
    <s v="Procesos Jurisdiccionales de reconocimiento economico gestionados"/>
    <s v="Número de procesos Jurisdiccionales de Reconocimiento Económico gestionados."/>
    <n v="520"/>
    <n v="520"/>
    <n v="1"/>
    <n v="520"/>
    <x v="0"/>
  </r>
  <r>
    <x v="6"/>
    <s v="Porcentaje de demandas gestionadas en el semestre "/>
    <s v="Número de demandas gestionadas en el semestre / Totalidad de las demandas radicadas en igual período"/>
    <n v="1174"/>
    <n v="1174"/>
    <n v="1"/>
    <n v="1"/>
    <x v="0"/>
  </r>
  <r>
    <x v="6"/>
    <s v="Socialización de las funciones jurisdiccional y de conciliación a los usuarios y actores del S.G.S.S.S."/>
    <s v="Numero de socializaciones de las funciones jurisdiccional y de conciliación a los usuarios y actores del S.G.S.S.S."/>
    <n v="14"/>
    <n v="14"/>
    <n v="1"/>
    <n v="14"/>
    <x v="0"/>
  </r>
  <r>
    <x v="7"/>
    <s v="Visitas de seguimiento de las liquidaciones Ordenadas por la Superintendencia Nacional de Salud "/>
    <s v="Número de visitas generadas por la adopción, seguimiento y monitoreo a vigilados en proceso de liquidación  en el periodo"/>
    <n v="10"/>
    <n v="10"/>
    <n v="1"/>
    <n v="10"/>
    <x v="0"/>
  </r>
  <r>
    <x v="7"/>
    <s v="Visitas de seguimiento de las liquidaciones No Ordenadas por la Superintendencia Nacional de Salud.  "/>
    <s v="Número de visitas generadas por la adopción, seguimiento y monitoreo a vigilados en proceso de liquidación  en el periodo"/>
    <n v="3"/>
    <n v="3"/>
    <n v="1"/>
    <n v="3"/>
    <x v="2"/>
  </r>
  <r>
    <x v="7"/>
    <s v="Documentos radicados efectivos de salida en la herramienta Superargo  de los  procesos de respuesta a los usuarios o entidades del SGSSS y traslados a órganos de control  "/>
    <s v="Número de documentos radicados de salida "/>
    <n v="1640"/>
    <n v="1600"/>
    <n v="1.0249999999999999"/>
    <n v="1600"/>
    <x v="2"/>
  </r>
  <r>
    <x v="8"/>
    <s v="Porcentaje de avance en el cumplimiento de actividades formuladas en PEI  y PAG"/>
    <s v="(Número de actividades realizadas / Número de actividades formuladas en los planes)*100"/>
    <n v="0.98099999999999998"/>
    <n v="1"/>
    <n v="0.98099999999999998"/>
    <n v="0.98"/>
    <x v="2"/>
  </r>
  <r>
    <x v="8"/>
    <s v="Porcentaje de avance en la ejecución del Programa de Transaparencia y Etica Publica"/>
    <s v="(Número de actividades ejecutadas en el periodo / Número de actividades programadas en el cronograma del Programa de Transaparencia y Etica Publica"/>
    <n v="71"/>
    <n v="73"/>
    <n v="0.9726027397260274"/>
    <n v="0.95"/>
    <x v="0"/>
  </r>
  <r>
    <x v="8"/>
    <s v="Porcentaje de cumplimiento de los recursos de inversión. "/>
    <s v="(Recursos de inversión obligados / Recursos de inversión comprometidos)* 100% "/>
    <n v="78459265382"/>
    <n v="84527452102"/>
    <n v="0.92821046217414116"/>
    <n v="0.85"/>
    <x v="1"/>
  </r>
  <r>
    <x v="8"/>
    <s v="Porcentaje de cierre de brechas MIPG"/>
    <s v="(Número de brechas cerradas/Total brechas identificadas para la vigencia)*100"/>
    <n v="68"/>
    <n v="77"/>
    <n v="0.88311688311688308"/>
    <n v="0.8"/>
    <x v="1"/>
  </r>
  <r>
    <x v="8"/>
    <s v="Porcentaje de documentos actualizados o elaborados en el SIG"/>
    <s v="Número de documentos elaborados o actualizados /Total de documentos priorizados por la vigencia"/>
    <n v="249"/>
    <n v="249"/>
    <n v="1"/>
    <n v="0.9"/>
    <x v="1"/>
  </r>
  <r>
    <x v="8"/>
    <s v="Indice de Transparencia - ITA. "/>
    <s v="Resultado ITA medido por la Procuraduria General de la Nación "/>
    <n v="100"/>
    <n v="100"/>
    <n v="1"/>
    <n v="100"/>
    <x v="0"/>
  </r>
  <r>
    <x v="9"/>
    <s v="Informes de seguimiento sobre el comportamiento de canales digitales elaborados."/>
    <s v="Número de informes de seguimiento sobre el comportamiento de canales digitales elaborados."/>
    <n v="5"/>
    <n v="5"/>
    <n v="1"/>
    <n v="4"/>
    <x v="1"/>
  </r>
  <r>
    <x v="9"/>
    <s v="Campañas institucionales realizadas"/>
    <s v="Número de campañas institucionales socializadas"/>
    <n v="5"/>
    <n v="5"/>
    <n v="1"/>
    <n v="1"/>
    <x v="0"/>
  </r>
  <r>
    <x v="9"/>
    <s v="Audiencia Pública de Rendición de Cuentas "/>
    <s v="Número de Audiencia Pública de Rendición de Cuentas realizada"/>
    <n v="1"/>
    <n v="1"/>
    <n v="1"/>
    <n v="1"/>
    <x v="0"/>
  </r>
  <r>
    <x v="10"/>
    <s v="Auditorías realizadas de acuerdo con el Plan Anual de Auditorias"/>
    <s v="Número de auditorias realizadas en el periodo de acuerdo con el plan anual de auditorias"/>
    <n v="6"/>
    <n v="6"/>
    <n v="1"/>
    <n v="6"/>
    <x v="0"/>
  </r>
  <r>
    <x v="10"/>
    <s v="Seguimientos y evaluaciones efectuadas al control institucional"/>
    <s v="Número de seguimientos y evaluaciones realizadas oportunamente dentro de las fechas programadas en el periodo."/>
    <n v="54"/>
    <n v="54"/>
    <n v="1"/>
    <n v="54"/>
    <x v="0"/>
  </r>
  <r>
    <x v="11"/>
    <s v="Porcentaje de avance en el cumplimiento del Plan Estratégico de Tecnologías de la Información y las Comunicaciones PETI."/>
    <s v="Número de acciones ejecutadas para actualización e implementación del  Plan Estratégico de Tecnologías de la información (PETI) / Número de acciones definidas para la actualización e implementación del  Plan Estratégico de Tecnologías de la información (PETI) * 100"/>
    <n v="50"/>
    <n v="58"/>
    <n v="0.86206896551724133"/>
    <n v="1"/>
    <x v="2"/>
  </r>
  <r>
    <x v="11"/>
    <s v="Porcentaje de actividades ejecutadas en cumplimiento del Plan de Seguridad y Privacidad de la Información y Seguridad Digital"/>
    <s v="Total de actividades cumplidas del plan de seguridad y privacidad de la Información de la STI / Total de actividades definidas en el plan de seguridad y privacidad de la Información de la STI"/>
    <n v="10"/>
    <n v="12"/>
    <n v="0.83333333333333337"/>
    <n v="1"/>
    <x v="2"/>
  </r>
  <r>
    <x v="11"/>
    <s v="Porcentaje de actividades ejecutadas en cumplimiento del Plan de Tratamiento de Riesgos de Seguridad y Privacidad de la Información"/>
    <s v="Total de actividades cumplidas del plan de Tratamientos de Riesgos de seguridad y privacidad de la Información de la STI / Total de actividades definidas en el plan de Tratamientos de Riesgos de seguridad y privacidadad de la Información de la STI"/>
    <n v="8"/>
    <n v="8"/>
    <n v="1"/>
    <n v="1"/>
    <x v="0"/>
  </r>
  <r>
    <x v="11"/>
    <s v="Porcentaje de implementación del Sistema de Gestión de Innovación"/>
    <s v="Número de actividades ejecutadas para el fortalecimiento del Sistema de Gestión de Innovación de la Superintendencia Nacional de Salud /  Número de actividades definidas para el fortalecimiento del Sistema de Gestión de Innovación de la Superintendencia Nacional de Salud * 100"/>
    <n v="19"/>
    <n v="19"/>
    <n v="1"/>
    <n v="1"/>
    <x v="0"/>
  </r>
  <r>
    <x v="11"/>
    <s v="Programa de Gestión del Conocimiento diseñado"/>
    <s v="Avance en el programa de Gestión del Conocimiento diseñado"/>
    <n v="1"/>
    <n v="1"/>
    <n v="1"/>
    <n v="1"/>
    <x v="0"/>
  </r>
  <r>
    <x v="11"/>
    <s v="Porcentaje de Implementación del Programa de Gestión del Conocimiento"/>
    <s v="Número de actividades ejecutadas para la implementación del Programa de Gestión del Conocimiento /  Número de actividades definidas para la implementación en la vigencia 2025 Programa de Gestión del Conocimiento *100"/>
    <n v="1"/>
    <n v="1"/>
    <n v="1"/>
    <n v="1"/>
    <x v="0"/>
  </r>
  <r>
    <x v="11"/>
    <s v="Actividades correspondientes para realizar la convocatoria que permita fortalecer y actualizar el registro de agentes Liquidadores, Interventores y Contralores - RILCO"/>
    <s v="Número de  actividades ejecutadas para realizar la convocatoria que permita fortalecer y actualizar el registro de agentes Liquidadores, Interventores y Contralores - RILCO"/>
    <n v="1"/>
    <n v="1"/>
    <n v="1"/>
    <n v="1"/>
    <x v="0"/>
  </r>
  <r>
    <x v="11"/>
    <s v="Porcentaje de cumplimiento de la estrategia definida para la caracterización"/>
    <s v="Número de actividades ejecutadas para generar la estrategia para la caracterización de grupos de interés y de valor para la SNS /  Número de actividades ejecutadas para generar la estrategia para la caracterización de grupos de interés y de valor para la SNS * 100"/>
    <n v="100"/>
    <n v="100"/>
    <n v="1"/>
    <n v="1"/>
    <x v="0"/>
  </r>
  <r>
    <x v="11"/>
    <s v="Acciones ejecutadas para el desarrollo de los programas de Gobernanza, Inteligencia de Negocios y Gestión de Datos y de Información de la SNS"/>
    <s v="Número total de acciones ejecutada para el desarrollo de los programas de Gobernanza, inteligencia de negocios y Gestión de Datos y de Información de la SNS"/>
    <n v="40"/>
    <n v="40"/>
    <n v="1"/>
    <n v="40"/>
    <x v="0"/>
  </r>
  <r>
    <x v="11"/>
    <s v="Porcentaje de acciones ejecutadas para la implementación de la Política de Gestión de la Información Estadística en la SNS"/>
    <s v="Número de acciones ejecutados para la Gestión de la Información Estadística / Número de acciones definidas en la vigencia 2025 para Gestión de la Información Estadística * 100"/>
    <n v="10"/>
    <n v="10"/>
    <n v="1"/>
    <n v="1"/>
    <x v="0"/>
  </r>
  <r>
    <x v="11"/>
    <s v="Porcentaje de avance en el diseño e implementación de estrategias de uso y apropiación del Marco Integral de Supervisión."/>
    <s v="  Número de productos términados del  Marco Integral de Supervisión / Número total de productos programados para el diseño del Marco Integral de Supervisión"/>
    <n v="4"/>
    <n v="4"/>
    <n v="1"/>
    <n v="1"/>
    <x v="0"/>
  </r>
  <r>
    <x v="11"/>
    <s v="Porcentaje de solicitudes gestionadas de políticas, instrumentos, guías, metodologías y lineamientos "/>
    <s v="Número de solicitudes de políticas, instrumentos, guías, metodologías y lineamientos gestionadas / Número de solicitudes de políticas, instrumentos, guías, metodologías y lineamientos identificadas * 100"/>
    <n v="32"/>
    <n v="32"/>
    <n v="1"/>
    <n v="1"/>
    <x v="0"/>
  </r>
  <r>
    <x v="11"/>
    <s v="Jornadas de socialización y acompañamiento técnico de instrumentos, guías, metodologías y lineamientos durante la vigencia 2025"/>
    <s v="Número de jornadas de socializacion e implementación de  instrumentos, guías, metodologías y lineamientos"/>
    <n v="6"/>
    <n v="6"/>
    <n v="1"/>
    <n v="6"/>
    <x v="0"/>
  </r>
  <r>
    <x v="12"/>
    <s v="Porcentaje de sanciones enviadas en grado de consulta en contra de la SNS."/>
    <s v="(Numero de sanciones revocadas en grado de consulta en el periodo / Numero de sanciones enviadas al grado de consulta en el periodo)x100. "/>
    <n v="28"/>
    <n v="29"/>
    <n v="0.96551724137931039"/>
    <n v="1"/>
    <x v="2"/>
  </r>
  <r>
    <x v="12"/>
    <s v="Porcentaje de requerimientos tramitados oportunamente en desarrollo de las acciones constitucionales de tutela"/>
    <s v="(Número de requerimientos gestionados por el grupo de tutelas / Número de requerimientos notificados al grupo de tutelas en el periodo) x100."/>
    <n v="115579"/>
    <n v="123254"/>
    <n v="0.93773021565223036"/>
    <n v="1"/>
    <x v="2"/>
  </r>
  <r>
    <x v="12"/>
    <s v="Porcentaje de actos administrativos entregados para firma, numeración y su posterior notificación, que resuelven los recursos y solicitudes de revocatoria directa que se presenten dentro de los procesos de única instancia. "/>
    <s v="(Número de proyectos de actos administrativos entregados para firma del Superintendente Nacional de Salud, que resuelven recursos y solicitudes de única instancia, que vencen dentro del periodo a reportar / No solicitudes de única instancia con vencimiento dentro del periodo a reportar) x 100."/>
    <n v="20"/>
    <n v="20"/>
    <n v="1"/>
    <n v="1"/>
    <x v="0"/>
  </r>
  <r>
    <x v="12"/>
    <s v="Actos administrativos entregados  para firma, numeración y su posterior notificación oportuna, que resuelven los recursos de apelación, queja y solicitudes de revocatoria directa que se presentaron dentro de los procesos sancionatorios en  segunda instancia."/>
    <s v="(Número de recursos entregados para la firma del Superintendente Nacional de Salud resolviendo solicitudes de segunda instancia que se vencen dentro del periodo a reportar / No solicitudes de segunda instancia con vencimiento dentro del periodo a reportar) x 100"/>
    <n v="172"/>
    <n v="172"/>
    <n v="1"/>
    <n v="1"/>
    <x v="0"/>
  </r>
  <r>
    <x v="12"/>
    <s v="Porcentaje de conceptos, solicitudes y derechos de petición tramitados. "/>
    <s v="(Número de conceptos, derechos de petición y solicitudes tramitados  en el semestre/ Número de conceptos, solicitudes y derechos de petición recibidos en el periodo)x 100 "/>
    <n v="999"/>
    <n v="1008"/>
    <n v="0.9910714285714286"/>
    <n v="1"/>
    <x v="2"/>
  </r>
  <r>
    <x v="12"/>
    <s v="Publicación trimestral del boletín jurídico en la página web de la Entidad"/>
    <s v="Número de boletines publicados en el periodo"/>
    <n v="4"/>
    <n v="4"/>
    <n v="1"/>
    <n v="4"/>
    <x v="0"/>
  </r>
  <r>
    <x v="12"/>
    <s v="Porcentaje de acciones contencioso administrativas y ordinarias tramitadas dentro de los términos de ley"/>
    <s v="(Número de acciones contencioso administrativas y ordinarias tramitadas dentro de los términos de ley en el periodo/Total de acciones contencioso administrativas y ordinarias recibidas para trámite en el periodo) x100"/>
    <n v="505"/>
    <n v="505"/>
    <n v="1"/>
    <n v="1"/>
    <x v="0"/>
  </r>
  <r>
    <x v="12"/>
    <s v="Porcentaje solicitudes de conciliaciones que cumplan requisitos de ley para ser presentadas al Comité de Conciliación"/>
    <s v="(Número de solicitudes de conciliaciones que cumplan los requisitos de ley para ser presentadas ante el Comité de conciliación, en un término de 15 días hábiles siguientes / Número total de solicitudes de conciliaciones recibidas que cumplen con los requisitos de ley durante el periodo de reporte) x 100."/>
    <n v="391"/>
    <n v="408"/>
    <n v="0.95833333333333337"/>
    <n v="1"/>
    <x v="2"/>
  </r>
  <r>
    <x v="12"/>
    <s v="Cumplimiento de planes de políticas de prevención de daño antijurídico"/>
    <s v="(Cantidad de actividades ejecutadas en el periodo / Cantidad de actividades planificadas en la política de prevención del daño antijurídico para el periodo)*100"/>
    <n v="4"/>
    <n v="4"/>
    <n v="1"/>
    <n v="1"/>
    <x v="0"/>
  </r>
  <r>
    <x v="12"/>
    <s v="Porcentaje de acciones cumplidas para el diseño del sistema integral de seguimiento a sentencias"/>
    <s v="Numero de acciones realizadas para el diseño del sistema integral / Total de acciones programadas para el diseño del sistema integral de seguimiento a sentencias *100 "/>
    <n v="6"/>
    <n v="6"/>
    <n v="1"/>
    <n v="1"/>
    <x v="0"/>
  </r>
  <r>
    <x v="12"/>
    <s v="Actividades ejecutadas en el cronograma de implementación y sostenibilidad de la política de gestión y desempeño de Defensa Jurídica."/>
    <s v="Número de actividades ejecutadas en el cronograma de implementación y sostenibilidad de la política de gestión y desempeño de Defensa Jurídica."/>
    <n v="10"/>
    <n v="10"/>
    <n v="1"/>
    <n v="10"/>
    <x v="0"/>
  </r>
  <r>
    <x v="12"/>
    <s v="Actividades ejecutadas en el cronograma de implementación y sostenibilidad de la política de gestión y desempeño de Mejora Normativa"/>
    <s v="Número de actividades ejecutadas en el cronograma de implementación y sostenibilidad de la política de gestión y desempeño de Mejora Normativa."/>
    <n v="32"/>
    <n v="32"/>
    <n v="1"/>
    <n v="32"/>
    <x v="2"/>
  </r>
  <r>
    <x v="13"/>
    <s v="Porcentaje de avance en la ejecución del Plan Estratégico de Desarrollo del Talento Humano "/>
    <s v="(Número de actividades ejecutadas en el periodo / Número de actividades programadas en el cronograma del Plan Estratégico de Desarrollo del Talento Humano en el periodo)*100"/>
    <n v="63"/>
    <n v="63"/>
    <n v="1"/>
    <n v="1"/>
    <x v="0"/>
  </r>
  <r>
    <x v="13"/>
    <s v="Porcentaje de avance en la ejecución del Plan institucional de capacitación"/>
    <s v="(Número de actividades ejecutadas en el período / Número de actividades programadas en el cronograma del Plan institucional de capacitación)*100"/>
    <n v="55"/>
    <n v="55"/>
    <n v="1"/>
    <n v="1"/>
    <x v="0"/>
  </r>
  <r>
    <x v="13"/>
    <s v="Porcentaje de avance en la ejecución del Plan de bienestar social y estímulos "/>
    <s v="(Número de actividades ejecutadas en el período / Número de actividades programadas en el cronograma del Plan de bienestar social y estímulos)*100"/>
    <n v="87"/>
    <n v="87"/>
    <n v="1"/>
    <n v="1"/>
    <x v="0"/>
  </r>
  <r>
    <x v="13"/>
    <s v="Porcentaje de avance en la ejecución del Plan anual de Seguridad y Salud en el Trabajo"/>
    <s v="(Número de actividades ejecutadas en el periodo / Número de actividades programadas en el cronograma del Plan anual de Seguridad y Salud en el Trabajo) *100"/>
    <n v="60"/>
    <n v="60"/>
    <n v="1"/>
    <n v="1"/>
    <x v="0"/>
  </r>
  <r>
    <x v="13"/>
    <s v="Porcentaje acumulado de avance en la ejecución del cronograma para la implementación de la  política de integridad"/>
    <s v="(Número de actividades ejecutadas en el periodo / Número de actividades programadas en el cronograma para la implementación de la  política de integridad)*100"/>
    <n v="16"/>
    <n v="16"/>
    <n v="1"/>
    <n v="1"/>
    <x v="0"/>
  </r>
  <r>
    <x v="13"/>
    <s v="Porcentaje de Capacitaciones, Autocapacitaciones y Charlas de Sensibilización y preservación del orden interno en materia disciplinaria"/>
    <s v="(Número de Capacitaciones, Autocapacitaciones y Charlas de Sensibilización y de preservación del orden interno, sobre acciones preventivas disciplinarias y normatividad vigente realizadas en el periodo/  Número de Capacitaciones, Autocapacitaciones y Charlas de Sensibilización y de preservación del orden interno, sobre acciones preventivas disciplinarias y normatividad vigente a realizar  en el periodo)*100"/>
    <n v="19"/>
    <n v="19"/>
    <n v="1"/>
    <n v="1"/>
    <x v="0"/>
  </r>
  <r>
    <x v="13"/>
    <s v="Porcentaje de asuntos (NRCD) sobre los cuales se adopte decisión en la Oficina de Control Disciplinario Interno en etapa de instrucción"/>
    <s v="(Número de  asuntos (NRCD) con decisión adoptada en el  período/Número total de asuntos (NRCD) recibidos) * 100"/>
    <n v="378"/>
    <n v="378"/>
    <n v="1"/>
    <n v="1"/>
    <x v="0"/>
  </r>
  <r>
    <x v="13"/>
    <s v="Porcentaje de decisiones de fondo adoptadas en etapa de instrucción en la Oficina de Control Disciplinario Interno "/>
    <s v="(Número de  decisiones de fondo adoptadas en el  período/Número total de procesos evaluados en etapa de instrucción) * 100"/>
    <n v="332"/>
    <n v="519"/>
    <n v="0.63969171483622356"/>
    <n v="0.5"/>
    <x v="1"/>
  </r>
  <r>
    <x v="13"/>
    <s v="Porcentaje de decisiones de fondo adoptadas en etapa de juzgamiento en la Oficina de Control Disciplinario Interno "/>
    <s v="(Número de  decisiones de fondo adoptadas en el  período/Número total de procesos evaluados en etapa de juzgamiento) * 100"/>
    <n v="6"/>
    <n v="11"/>
    <n v="0.54545454545454541"/>
    <n v="1"/>
    <x v="2"/>
  </r>
  <r>
    <x v="13"/>
    <s v="Nivel de madurez de acuerdo con la matriz de cumplimiento del MGDA"/>
    <s v="Total de los productos cumplidos del MGDA en los dos componentes  / Total productos del MGDA requeridos en los 3 componentes programados"/>
    <n v="51"/>
    <n v="52"/>
    <n v="0.98076923076923073"/>
    <n v="52"/>
    <x v="2"/>
  </r>
  <r>
    <x v="13"/>
    <s v="Socializaciones o sensibilizaciones  realizadas a los funcionarios o contratistas que tengan bienes asignados de la entidad"/>
    <s v="Número de socializaciones o sensibilizaciones  realizadas"/>
    <n v="8"/>
    <n v="8"/>
    <n v="1"/>
    <n v="8"/>
    <x v="0"/>
  </r>
  <r>
    <x v="13"/>
    <s v="Porcentaje acumulado de avance en la ejecución del cronograma del componente del Sistema de Gestión Ambiental-SGA"/>
    <s v="Número de actividades ejecutadas del cronograma del Sistema de Gestión Ambiental-SGA/Número de actividades programadas del cronograma del Sistema de Gestión Ambiental - SGA"/>
    <n v="63"/>
    <n v="63"/>
    <n v="1"/>
    <n v="1"/>
    <x v="0"/>
  </r>
  <r>
    <x v="13"/>
    <s v="Porcentaje de contratos celebrados a los cuales se les incorporó las prácticas de Abastecimiento Estratégico dirigidas a la promoción de la micro, pequeña y mediana empresa; exceptuando la contratación a través de la Tienda Virtual del Estado Colombiano y la Contratación Directa. "/>
    <s v="Cantidad de contratos celebrados en donde se incorporó las prácticas de Abastecimiento Estratégico dirigidas a la promoción de la micro, pequeña y mediana empresa / Cantidad de contratos celebrados; exceptuando la contratación a través de la Tienda Virtual del Estado Colombiano y la Contratación Directa, por el 100%"/>
    <n v="2"/>
    <n v="2"/>
    <n v="1"/>
    <n v="1"/>
    <x v="0"/>
  </r>
  <r>
    <x v="13"/>
    <s v="Porcentaje de procesos tramitados a través modalidad de instrumentos de compra por catálogo derivados de la celebración de acuerdos marco de precios."/>
    <s v="Cantidad de órdenes de compra celebradas / cantidad de solicitudes de cotización publicadas a través de la Tienda Virtual del Estado Colombiano, por el 100%"/>
    <n v="2"/>
    <n v="2"/>
    <n v="1"/>
    <n v="1"/>
    <x v="0"/>
  </r>
  <r>
    <x v="13"/>
    <s v="Seguimientos al Plan Anual de Adquisiciones"/>
    <s v="Número de seguimientos programados en el Plan Anual de Adquisiciones"/>
    <n v="12"/>
    <n v="12"/>
    <n v="1"/>
    <n v="12"/>
    <x v="0"/>
  </r>
  <r>
    <x v="13"/>
    <s v="Porcentaje de estudios previos  a los cuales se les incorporó prácticas de Análisis de Datos."/>
    <s v="Cantidad de contratos celebrados con estudios previos en donde se incorporaron las prácticas de Análisis de datos / Cantidad de contratos celebrados por el 100%"/>
    <n v="2"/>
    <n v="2"/>
    <n v="1"/>
    <n v="1"/>
    <x v="0"/>
  </r>
  <r>
    <x v="13"/>
    <s v="Porcentaje de eficiencia en la asignación de los documentos de entrada radicados a las dependencias​"/>
    <s v="Número de documentos radicados  asignados correctamente a las dependencias durante el trimestre / Número de documentos totales radicados  en el trimestre x 100​"/>
    <n v="483011"/>
    <n v="487362"/>
    <n v="0.99107234458164573"/>
    <n v="0.98"/>
    <x v="1"/>
  </r>
  <r>
    <x v="13"/>
    <s v="Porcentaje de eficiencia en la digitalización de documentos."/>
    <s v="Número de documentos con calidad en la digitalización y cargue al sistema durante el trimestre  / Número Total de documentos digitalizados durante el trimestre x 100.​"/>
    <n v="574005"/>
    <n v="575267"/>
    <n v="0.99780623606082042"/>
    <n v="0.99870000000000003"/>
    <x v="2"/>
  </r>
  <r>
    <x v="13"/>
    <s v="Campañas de socialización sobre el manejo de los procesos del Grupo de Correspondencia"/>
    <s v="Número de campañas de socialización sobre el manejo de los procesos del Grupo de Correspondencia"/>
    <n v="11"/>
    <n v="12"/>
    <n v="0.91666666666666663"/>
    <n v="12"/>
    <x v="2"/>
  </r>
  <r>
    <x v="13"/>
    <s v="Porcentaje de actos administrativos con actuaciones de notificación"/>
    <s v="Total de actos administrativos de notificación o comunicación  gestionados en el periodo/ Total de actos administrativos recibidos para notificar  o comunicar en el periodo"/>
    <n v="27173"/>
    <n v="28748"/>
    <n v="0.94521358007513567"/>
    <n v="0.95"/>
    <x v="2"/>
  </r>
  <r>
    <x v="13"/>
    <s v="Sensibilizar a los funcionarios de la Entidad en el trámite de notificación de actos administrativos."/>
    <s v="Número de acciones realizadas con el fin dedar a conocer el proceso de notificación de los actos administrativos. "/>
    <n v="2"/>
    <n v="2"/>
    <n v="1"/>
    <n v="2"/>
    <x v="0"/>
  </r>
  <r>
    <x v="13"/>
    <s v="Ejecución de cronograma de actividades para la implementación y sostenibilidad de la política Gestión Presupuestal y Eficiencia del Gasto Público"/>
    <s v="Número de actividades ejecutadas para la implementación y sostenibilidad de la política Gestión Presupuestal y Eficiencia del Gasto Público"/>
    <n v="14"/>
    <n v="14"/>
    <n v="1"/>
    <n v="14"/>
    <x v="0"/>
  </r>
  <r>
    <x v="13"/>
    <s v="Ejecución total del presupuesto en Compromisos"/>
    <s v="(Compromisos total / Apropiación total final)*100"/>
    <n v="315358112464"/>
    <n v="316593914285"/>
    <n v="0.99609657114290728"/>
    <n v="0.9"/>
    <x v="1"/>
  </r>
  <r>
    <x v="13"/>
    <s v="Porcentaje en la oportunidad en la gestión de pagos. "/>
    <s v="Número de cuentas gestionadas en termino igual o menor a 5 días / Numero de cuentas recibidas para pago en el mes"/>
    <n v="3242"/>
    <n v="3242"/>
    <n v="1"/>
    <n v="1"/>
    <x v="0"/>
  </r>
  <r>
    <x v="13"/>
    <s v="Porcentaje de solicitudes de excepciones al mandamiento de pagos y facilidades de pago."/>
    <s v="(número excepciones al mandamiento de pago y facilidades de pago resueltas oportunamente / número excepciones al mandamiento de pago y facilidades de pago solicitadas con cumplimiento de requisitos) *100."/>
    <n v="49"/>
    <n v="49"/>
    <n v="1"/>
    <n v="1"/>
    <x v="0"/>
  </r>
  <r>
    <x v="13"/>
    <s v="Porcentaje de conciliación de cartera y diferencias reciprocas de SNS con Entidades sin proceso concursal "/>
    <s v="Total de Entidades conciliadas / total Entidades priorizadas de la cartera  y diferencias reciprocas reportadas al cierre del año inmediatamente anterior."/>
    <n v="97"/>
    <n v="97"/>
    <n v="1"/>
    <n v="1"/>
    <x v="0"/>
  </r>
  <r>
    <x v="13"/>
    <s v="Porcentaje de recaudo de cartera, frente al valor total de la cartera cobrable. "/>
    <s v="(valor total de la cartera clasificada como cobrable con corte al cierre de la vigencia anterior * 20) / 100"/>
    <n v="22676335912"/>
    <n v="26161920186"/>
    <n v="0.86676879031741572"/>
    <n v="1"/>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3">
  <r>
    <s v="Dirección Jurídica"/>
    <x v="0"/>
    <x v="0"/>
    <s v="Ejecutar cronograma de actividades para la implementación y sostenibilidad de la política de gestión y desempeño de defensa Jurídica."/>
    <s v="Actividades ejecutadas en el cronograma de implementación y sostenibilidad de la política de gestión y desempeño de Defensa Jurídica."/>
    <s v="Número de actividades ejecutadas en el cronograma de implementación y sostenibilidad de la política de gestión y desempeño de Defensa Jurídica."/>
    <s v="Numérica"/>
    <n v="1"/>
    <n v="1"/>
    <n v="1"/>
    <n v="1"/>
    <s v="​Durante el mes de enero de 2025 se da cumplimiento a la actividad: &quot;Actualizar los riesgos contemplados en la defensa jurídica del estado y fortalecerlos con el apoyo de la Guía para la Administración del Riesgo.&quot; formulada en el cronograma de implementación y sostenibilidad de la política de Defensa Jurídica se realiza la revisión y monitoreo de los riesgos y la efectividad de los controles, se adjunta las evidencias de ejecución de la actividad."/>
    <b v="0"/>
    <m/>
    <s v="2025"/>
    <s v="Elemento"/>
    <s v="sites/PlanAnualdeGestin/Lists/REPORTE SEGUIMIENTO PAG"/>
  </r>
  <r>
    <s v="Secretaria General"/>
    <x v="0"/>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42"/>
    <n v="42"/>
    <n v="1"/>
    <s v="​Durante el mes de Enero, se gestionaron  42 cuentas que fueron radicadas en los tiempos estipulados de acuerdo con la Circular Interna 2022920020000026-4 de 2022,asi mismo, los documentos radicados despues del dia 25 calendario se tramitaron en el siguiente mes. Por lo cual, se cumplió con la meta del indicador del 100%, (42/42) habiendo gestionado la totalidad de las cuentas radicadas con un tiempo de gestión de 1,1 dias hábiles. Se adjunta base con relación de cuentas radicadas y gestionadas, asi como el reporte del indicador con la correspondiente gráfica."/>
    <b v="0"/>
    <m/>
    <s v="2025"/>
    <s v="Elemento"/>
    <s v="sites/PlanAnualdeGestin/Lists/REPORTE SEGUIMIENTO PAG"/>
  </r>
  <r>
    <s v="Delegatura para Operadores Logísticos de Tecnologías en Salud y Gestores Farmacéuticos"/>
    <x v="1"/>
    <x v="2"/>
    <s v="Realizar auditorías a los Operadores Logísticos de Tecnologías en Salud y/o Gestores Farmacéuticos objeto de supervisión"/>
    <s v="Auditorías realizadas a los Operadores Logísticos de Tecnologías en Salud y/o Gestores Farmacéuticos"/>
    <s v="Número de auditorías realizadas a los Operadores Logísticos de Tecnologías en Salud y/o Gestores Farmacéuticos"/>
    <s v="Numérica"/>
    <n v="1"/>
    <n v="1"/>
    <n v="1"/>
    <n v="1"/>
    <s v="​Se realizó auditoria integral  en al Gestor Farmaceutico Pharmasan en el departamento de Santander, del 10 al 14 de febrero ordenada a través de Auto 202500000000134-7, las auditorias son fundamentales en el desarrollo de las acciones de IVC a nuestros vigilados y el cumplimiento al Programa de Auditorias. Se da cumplimiento al 100% de lo propuesto para el mes de febrero."/>
    <b v="0"/>
    <m/>
    <s v="2025"/>
    <s v="Elemento"/>
    <s v="sites/PlanAnualdeGestin/Lists/REPORTE SEGUIMIENTO PAG"/>
  </r>
  <r>
    <s v="Dirección Jurídica"/>
    <x v="1"/>
    <x v="3"/>
    <s v="Realizar actividades tendientes a la consolidación y publicación del boletín jurídico"/>
    <s v="Publicación trimestral del boletín jurídico en la página web de la Entidad"/>
    <s v="Número de boletines publicados en el periodo"/>
    <s v="Numérica"/>
    <n v="1"/>
    <n v="1"/>
    <n v="1"/>
    <n v="1"/>
    <s v="​Durante el primer trimestre de 2025 fue publicado el nuevo formato de boletín (Magazine Jurídico) correspondiente al último trimestre de 2024, en este se hizo una recopilación de los conceptos más relevantes emitidos por la Dirección Jurídica sobre el tema de medicamentos."/>
    <b v="0"/>
    <m/>
    <s v="2025"/>
    <s v="Elemento"/>
    <s v="sites/PlanAnualdeGestin/Lists/REPORTE SEGUIMIENTO PAG"/>
  </r>
  <r>
    <s v="Dirección Jurídica"/>
    <x v="1"/>
    <x v="4"/>
    <s v="Ejecutar cronograma de actividades para la implementación y sostenibilidad de la política de gestión y desempeño de Mejora Normativa"/>
    <s v="Actividades ejecutadas en el cronograma de implementación y sostenibilidad de la política de gestión y desempeño de Mejora Normativa"/>
    <s v="Número de actividades ejecutadas en el cronograma de implementación y sostenibilidad de la política de gestión y desempeño de Mejora Normativa."/>
    <s v="Numérica"/>
    <n v="1"/>
    <n v="1"/>
    <n v="1"/>
    <n v="1"/>
    <s v="​Para el primer trimestre de 2025 se llevao a cabo 1 reunion entre la Dirección Jurídica y la Dirección de Innovación y Desarrollo respecto de la implementación de la politica de mejora normativa al interior de la Superintendencia y en la que además se recopilaron datos al respecto para reporte FURAG. Adicionalmente, se realizarón 2 reuniones más del equipo de política de mejora normativa al interior de la Dirección Jurídica"/>
    <b v="0"/>
    <m/>
    <s v="2025"/>
    <s v="Elemento"/>
    <s v="sites/PlanAnualdeGestin/Lists/REPORTE SEGUIMIENTO PAG"/>
  </r>
  <r>
    <s v="Oficina Asesora de Planeación"/>
    <x v="1"/>
    <x v="5"/>
    <s v="Liderar el cumplimiento de metas y compromisos del Plan Estratégico Institucional y Plan Anual de Gestión."/>
    <s v="Porcentaje de avance en el cumplimiento de actividades formuladas en PEI y PAG"/>
    <s v="(Número de actividades realizadas / Número de actividades formuladas en los planes)*100"/>
    <s v="Porcentual"/>
    <n v="0.98"/>
    <n v="0.97"/>
    <n v="1"/>
    <n v="0.97"/>
    <s v="Durante el cuarto trimestre del año 2024, se elaboró el informe de seguimiento de los planes institucionales PAG, evidenciando que el 97% de las metas establecidas por las dependencias fueron cumplidas. Estos resultados reflejan un avance significativo hacia el logro de los objetivos propuestos por la entidad._x000a_"/>
    <b v="0"/>
    <m/>
    <s v="2025"/>
    <s v="Elemento"/>
    <s v="sites/PlanAnualdeGestin/Lists/REPORTE SEGUIMIENTO PAG"/>
  </r>
  <r>
    <s v="Secretaria General"/>
    <x v="1"/>
    <x v="6"/>
    <s v="Evaluar y/o calificar los asuntos (NRCD) sobre los cuales se adopte decisión de Inhibitorio, Remisión por Competencia, Indagación Previa y/o Investigación Disciplinaria en etapa de instrucción en el orden en que hayan ingresado a la Oficina de Control Disciplinario Interno, salvo prelación legal o urgencia manifiesta."/>
    <s v="Porcentaje de asuntos (NRCD) sobre los cuales se adopte decisión en la Oficina de Control Disciplinario Interno en etapa de instrucción"/>
    <s v="(Número de asuntos (NRCD) con decisión adoptada en el período/Número total de asuntos (NRCD) recibidos) * 100"/>
    <s v="Porcentual"/>
    <n v="0.15"/>
    <n v="95"/>
    <n v="95"/>
    <n v="1"/>
    <s v="​De las (95) noticias disciplinarias (Quejas, informe de servidor público o de oficio) recibidas en el primer bimestre de 2025 (Enero - Febrero), se adelantaron las siguientes actuaciones: 31 (33%) Aperturas de indagación Previa; 47 (49%) Autos Inhibitorios; 8 (8%) Traslados por competencia y 9 (9%) Aperturas de Investigación Disciplinaria, profiriendo igual número de autos por el Coordinador del Grupo de Instrucción Disciplinaria en el periodo._x000a_"/>
    <b v="0"/>
    <m/>
    <s v="2025"/>
    <s v="Elemento"/>
    <s v="sites/PlanAnualdeGestin/Lists/REPORTE SEGUIMIENTO PAG"/>
  </r>
  <r>
    <s v="Secretaria General"/>
    <x v="1"/>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129"/>
    <n v="129"/>
    <n v="1"/>
    <s v="Durante el mes de Febrero, se gestionaron  129 cuentas que fueron radicadas en los tiempos estipulados de acuerdo con la Circular Interna 2022920020000026-4 de 2022,asi mismo, los documentos radicados despues del dia 25 calendario se tramitaron en el siguiente mes. Por lo cual, se cumplió con la meta del indicador del 100%, (129/129) habiendo gestionado la totalidad de las cuentas radicadas con un tiempo de gestión de 1,6 dias hábiles. Se adjunta base con relación de cuentas radicadas y gestionadas, asi como el reporte del indicador con la correspondiente gráfica."/>
    <b v="0"/>
    <m/>
    <s v="2025"/>
    <s v="Elemento"/>
    <s v="sites/PlanAnualdeGestin/Lists/REPORTE SEGUIMIENTO PAG"/>
  </r>
  <r>
    <s v="Delegatura de Investigaciones Administrativas"/>
    <x v="2"/>
    <x v="7"/>
    <s v="Implementar la política sancionatoria reformulada y la metodología desarrollada para la priorización de casos de relevancia nacional"/>
    <s v="Porcentaje de procesos con aplicación de la politica sancionatoria reformulada a metodologia desarrollada para la priorizacion de casos de relevancia nacional, sobre el total de expedientes"/>
    <s v="(Numero de procesos iniciados con aplicación de la política sancionatoria y priorización de casos / Total de expedientes tramitados en el semestre)*100"/>
    <s v="Porcentual"/>
    <n v="1"/>
    <n v="0"/>
    <n v="1"/>
    <n v="0"/>
    <s v="​Este indicador es a demanda y a la fecha no se han expedido procesos con priorización  , es importante resaltar que el denominador aplicado es el del total de expedientes con averiguación/apertura/ improcedencia que son 37 en total _x000a_"/>
    <b v="0"/>
    <m/>
    <s v="2025"/>
    <s v="Elemento"/>
    <s v="sites/PlanAnualdeGestin/Lists/REPORTE SEGUIMIENTO PAG"/>
  </r>
  <r>
    <s v="Delegatura de Investigaciones Administrativas"/>
    <x v="2"/>
    <x v="8"/>
    <s v="Expedir los actos administrativos de la DIA en el marco del proceso administrativo sancionatorio"/>
    <s v="Porcentaje de actos administrativos expedidos"/>
    <s v="(Número de actos administrativos expedidos) / Número de solicitudes de investigación aceptadas en el semestre de reporte)*100"/>
    <s v="Porcentual"/>
    <n v="1"/>
    <n v="321"/>
    <n v="124"/>
    <n v="2.588709677419355"/>
    <s v="Indicador a demanda, en donde se concluye que se expidieron 321 actos administrativos y el número de solicitudes de investigación aceptadas en el trimestre fueron 124 en total _x000a_"/>
    <b v="0"/>
    <m/>
    <s v="2025"/>
    <s v="Elemento"/>
    <s v="sites/PlanAnualdeGestin/Lists/REPORTE SEGUIMIENTO PAG"/>
  </r>
  <r>
    <s v="Delegatura de Investigaciones Administrativas"/>
    <x v="2"/>
    <x v="9"/>
    <s v="Gestionar con decisión de fondo (sanción, cierre y archivo y caducidad) las investigaciones administrativas con riesgo de caducidad 2025 a 2029"/>
    <s v="Porcentaje de decisión de fondo de las investigaciones administrativas con riesgo de caducidad 2024-2025"/>
    <s v="(Número de investigaciones administrativas con riesgo de caducidad 2024-2025, que hayan sido objeto de decisión dentro del trimestre de reporte / Número de investigaciones iniciadas sin tramite de decisión (a enero de 2025) *100)"/>
    <s v="Porcentual"/>
    <n v="0.25"/>
    <n v="166"/>
    <n v="441"/>
    <n v="0.37641723356009099"/>
    <s v="​Se cumple con más de la meta establecida del 25%,  ya que se identificaron 441 investigaciones con riesgo de caducidad ( 2025 ) a enero de 2025 y en el trimestre se han expedido 166 decisiones lo cual equivale al 37.6%, lo anterior se logro tras las estrategias de gestión al día con la DIA _x000a_"/>
    <b v="0"/>
    <m/>
    <s v="2025"/>
    <s v="Elemento"/>
    <s v="sites/PlanAnualdeGestin/Lists/REPORTE SEGUIMIENTO PAG"/>
  </r>
  <r>
    <s v="Delegatura de Investigaciones Administrativas"/>
    <x v="2"/>
    <x v="10"/>
    <s v="Gestionar las solicitudes de investigación, procesos en trámite, decisiones, recursos y demás actos relacionados con los procesos administrativos sancionatorios con riesgo de caducidad, relacionados con las vigencias 2025-2029."/>
    <s v="Ejecución presupuestal de recursos solicitados y asignados para el presupuesto para el Mejoramiento en la ejecución de las acciones de supervisión y control frente a la gestión en el SGSSS de los vigilados de la Supersalud Nacional"/>
    <s v="Obligaciones totales/ Apropiación total asignada"/>
    <s v="Porcentual"/>
    <n v="0.25"/>
    <n v="400000000"/>
    <n v="731506000"/>
    <n v="0.54681711428204305"/>
    <s v="​El indicador se cumple ya que que se han apropiado bajo los registros presupuestales asociados a los procesos de contración de prestación de servicios profesionales ( 8 contratos) y constituyen el 54% del total del presupuesto asignado a la Delegatura. _x000a_"/>
    <b v="0"/>
    <m/>
    <s v="2025"/>
    <s v="Elemento"/>
    <s v="sites/PlanAnualdeGestin/Lists/REPORTE SEGUIMIENTO PAG"/>
  </r>
  <r>
    <s v="Delegatura Entidades Aseguramiento en Salud"/>
    <x v="2"/>
    <x v="11"/>
    <s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
    <s v="Auditorias realizadas a las entidades de aseguramiento en salud y otras entidades de aseguramiento"/>
    <s v="Número de auditorías ejecutadas / Número total de auditorías proyectadas en el periodo de acuerdo con el Programa Anual de Auditorías de la Delegada."/>
    <s v="Porcentual"/>
    <n v="0.85"/>
    <n v="5"/>
    <n v="10"/>
    <n v="0.5"/>
    <s v="​Para el primer trimestre de 2025 se proyectaron la realización de 10 auditorias de las cuales se realizaron 5, dado que se debieron dar prioridad a otras acciones de IV, asi mismo durante el mes de enero no se contaron con recursos de tiquetes, dado que se debio realizar una adición al contrato suscrito con Subaturs, lo que afecto el cumplimiento del indicador._x000a_"/>
    <b v="0"/>
    <m/>
    <s v="2025"/>
    <s v="Elemento"/>
    <s v="sites/PlanAnualdeGestin/Lists/REPORTE SEGUIMIENTO PAG"/>
  </r>
  <r>
    <s v="Delegatura Entidades Aseguramiento en Salud"/>
    <x v="2"/>
    <x v="12"/>
    <s v="Realizar seguimiento a las EPS a las entidades bajo medida y a la gestión de los agentes interventores y contralores designados por la Superintendencia Nacional de Salud."/>
    <s v="Porcentaje de avance en la actualización de la información de las fichas productos de los seguimientos"/>
    <s v="Fichas técnicas con información actualizadas / Número de entidades en medida*100"/>
    <s v="Porcentual"/>
    <n v="0.85"/>
    <n v="16"/>
    <n v="18"/>
    <n v="0.88888888888888895"/>
    <s v="​A corte febrero de 2025 se encontraban 9 EPS bajo medida especial, la actualización de las fichas se realiza de manera mensual, siendo actualizadas a diciembre de 2024 la fichas correspondientes a las 9 EPS y para el mes de enero 7 de las 9 EPS, lo que corresponde al 88% de las fichas técnicas. Se indica que la actualización correspondiente al mes de febrero del 2025, depende de la informacíón reportada por los vigilados de acuerdo con lo establecido en la Circular Única y sus modificatorias, que establece que la información reportada por las EPS debe hacerse a los (veinte (20) días del mes siguiente del periodo de  reporte, siendo esta reportada el 20 de marzo, por lo que se encuentra en análisis y evaluación por parte de los profesionales de cada componente, la cual será entregada completamente en el siguiente trimestre"/>
    <b v="0"/>
    <m/>
    <s v="2025"/>
    <s v="Elemento"/>
    <s v="sites/PlanAnualdeGestin/Lists/REPORTE SEGUIMIENTO PAG"/>
  </r>
  <r>
    <s v="Delegatura Entidades Aseguramiento en Salud"/>
    <x v="2"/>
    <x v="13"/>
    <s v="Realizar el seguimiento a las Entidades sujetas a vigilancia de la Delegada de Entidades de Aseguramiento en Salud - EAS y auxiliares de justicia"/>
    <s v="Seguimiento y monitoreo a entidades en medida de vigilancia."/>
    <s v="Numero de seguimientos en campo a las entidades en medida especial"/>
    <s v="Numérica"/>
    <n v="6"/>
    <n v="6"/>
    <n v="6"/>
    <n v="1"/>
    <s v="​Para el presente trimestre se realizó seguimiento a 6 de las 11 EPS que actualmente se encuentran en medida especial, cumpliendo asi con el 100% del indicador_x000a_"/>
    <b v="0"/>
    <m/>
    <s v="2025"/>
    <s v="Elemento"/>
    <s v="sites/PlanAnualdeGestin/Lists/REPORTE SEGUIMIENTO PAG"/>
  </r>
  <r>
    <s v="Delegatura Entidades Aseguramiento en Salud"/>
    <x v="2"/>
    <x v="14"/>
    <s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
    <s v="Porcentaje de EPS y otras EAS con acciones de Inspección y vigilancia por parte de la Delegada de EAS"/>
    <s v="(mediana de los porcentajes de cobertura (# de vigilados a los que se efectúo la acción de IV / # de vigilados objeto o susceptibles de la acción))"/>
    <s v="Porcentual"/>
    <n v="0.8"/>
    <n v="0.873"/>
    <n v="1"/>
    <n v="0.873"/>
    <s v="Observación: Una vez realizada la consolidación de las actividades de IV desarrolladas por los grupos internos de trabajo se indica que se cumplio con el indicador para el primer trimestre, cuya mediana correspondiente es 87.3 %._x000a_Se aclara que cada grupo tienen diferentes tipos de vigilados por lo que el total de vigilados no son objeto de acciones de IV por todos los grupos internos de trabajo._x000a__x000a__x000a__x000a_"/>
    <b v="0"/>
    <m/>
    <s v="2025"/>
    <s v="Elemento"/>
    <s v="sites/PlanAnualdeGestin/Lists/REPORTE SEGUIMIENTO PAG"/>
  </r>
  <r>
    <s v="Delegatura Entidades Aseguramiento en Salud"/>
    <x v="2"/>
    <x v="15"/>
    <s v="Resolver o gestionar las solicitudes de los vigilados en los tiempos establecidos en el proceso"/>
    <s v="Emitir los estudios de viabilidad o recomendación al Superintendente en 140 días o menos, a partir de la completitud de la información radicada por la entidad solicitante"/>
    <s v="(Cantidad de trámites con estudio de viabilidad o recomendación gestionados en 140 días o menos / Total de trámites gestionados en el periodo)*100"/>
    <s v="Porcentual"/>
    <n v="0.85"/>
    <n v="12"/>
    <n v="14"/>
    <n v="0.85714285714285698"/>
    <s v="​Durante el primer trimestre de 2025, se finalizaron 14 trámites de los cuáles 12 fueron gestionados con estudio de viabilidad o recomendación en 140 dias o menos, cumpliendo asi con el 85.71% de la meta programada._x000a_"/>
    <b v="0"/>
    <m/>
    <s v="2025"/>
    <s v="Elemento"/>
    <s v="sites/PlanAnualdeGestin/Lists/REPORTE SEGUIMIENTO PAG"/>
  </r>
  <r>
    <s v="Delegatura Función Jurisdiccional y de Conciliación"/>
    <x v="2"/>
    <x v="16"/>
    <s v="Realizar las audiencias de conciliación admitidas de la red pública y privada como actores del SGSS propendiendo por el animo conciliatorio"/>
    <s v="Porcentaje de Audiencias de Conciliación de la función de conciliación"/>
    <s v="Número de audiencias de conciliación realizadas en el período / Total de solicitudes de conciliación a petición de parte admitidas"/>
    <s v="Porcentual"/>
    <n v="1"/>
    <n v="2195"/>
    <n v="2195"/>
    <n v="1"/>
    <s v="​Se cumplieron con las Audiencias de acuerdo a las solicitudes de peticion admitidas _x000a_"/>
    <b v="0"/>
    <m/>
    <s v="2025"/>
    <s v="Elemento"/>
    <s v="sites/PlanAnualdeGestin/Lists/REPORTE SEGUIMIENTO PAG"/>
  </r>
  <r>
    <s v="Delegatura Función Jurisdiccional y de Conciliación"/>
    <x v="2"/>
    <x v="17"/>
    <s v="Realizar seguimiento al cumplimiento de los acuerdos de conciliación suscritos ante la Delegada que sean exigibles, y reportar su incumplimiento a la Delegada competente."/>
    <s v="Porcentaje de acuerdos de conciliación con seguimiento que sean exigibles"/>
    <s v="Número de acuerdos conciliatorios con seguimientos realizados / Número de acuerdos conciliatorios suscritos que sean exigibles"/>
    <s v="Porcentual"/>
    <n v="1"/>
    <n v="377"/>
    <n v="377"/>
    <n v="1"/>
    <s v="​El cumplimiento de acuerdos conciliatorios con seguimientos realizados correspondientes a los acuerdos suscritos exigibles , se realizaron en su totalidad._x000a_"/>
    <b v="0"/>
    <m/>
    <s v="2025"/>
    <s v="Elemento"/>
    <s v="sites/PlanAnualdeGestin/Lists/REPORTE SEGUIMIENTO PAG"/>
  </r>
  <r>
    <s v="Delegatura Función Jurisdiccional y de Conciliación"/>
    <x v="2"/>
    <x v="18"/>
    <s v="Conocer y gestionar los procesos jurisdiccionales de asuntos relacionados con Glosas y Devoluciones"/>
    <s v="Providencias Jurisdiccionales de Glosas y Devoluciones gestionados"/>
    <s v="Número de autos y sentencias Jurisdiccionales de Glosas y Recobros gestionados en el periodo de reporte"/>
    <s v="Numérica"/>
    <n v="30"/>
    <n v="44"/>
    <n v="44"/>
    <n v="1"/>
    <s v="​El indicador es numerico , el area correspondiente participó en un trabajo de plan de choque de la Delegada para apoyar a las demas areas a debido a la alta solicitud de estudios de demanda , y su colaboración consistió en la utilizacion de recurso humano de abogados y personal tecnico en la realizacion de estudios de demandas y sus fallos , en particular el apoyo se presta al area de coberturas. Se logra el objetivo si alterar la funcionalidad en cuanto a resultados positivos_x000a_"/>
    <b v="0"/>
    <m/>
    <s v="2025"/>
    <s v="Elemento"/>
    <s v="sites/PlanAnualdeGestin/Lists/REPORTE SEGUIMIENTO PAG"/>
  </r>
  <r>
    <s v="Delegatura Función Jurisdiccional y de Conciliación"/>
    <x v="2"/>
    <x v="19"/>
    <s v="Conocer y gestionar los procesos jurisdiccionales de asuntos relacionados con Reconocimiento Económico"/>
    <s v="Procesos Jurisdiccionales de reconocimiento economico gestionados"/>
    <s v="Número de procesos Jurisdiccionales de Reconocimiento Económico gestionados."/>
    <s v="Numérica"/>
    <n v="120"/>
    <n v="120"/>
    <n v="120"/>
    <n v="1"/>
    <s v="​Se cumplen la meta del indicador ; y aun asi,  el area presto apoyo con recurso humano de abogados en el plan de choque realizado por la delegada para favorecer  las solicitudes represadas por cobertura de la misma Delegada y dar oportuna atencion a la ciudadania y otros actores del SGSSS. _x000a_"/>
    <b v="0"/>
    <m/>
    <s v="2025"/>
    <s v="Elemento"/>
    <s v="sites/PlanAnualdeGestin/Lists/REPORTE SEGUIMIENTO PAG"/>
  </r>
  <r>
    <s v="Delegatura para Entidades Territoriales y Generadores y Recaudadores y Administradores de Recursos del SGSSS"/>
    <x v="2"/>
    <x v="20"/>
    <s v="Realizar seguimiento y verificación de las auditorias realizadas"/>
    <s v="Seguimientos a las auditorías de Inspección y Vigilancia Realizadas"/>
    <s v="Numero de Seguimientos realizados"/>
    <s v="Numérica_x000a_"/>
    <n v="1"/>
    <n v="1"/>
    <n v="1"/>
    <n v="1"/>
    <s v="​Se realiza el seguimiento programado para el período.  En este caso al municipio de Dabeiba Antioquia._x000a_Se adjuntan las evidencias de seguimiento._x000a__x000a__x000a_"/>
    <b v="0"/>
    <m/>
    <s v="2025"/>
    <s v="Elemento"/>
    <s v="sites/PlanAnualdeGestin/Lists/REPORTE SEGUIMIENTO PAG"/>
  </r>
  <r>
    <s v="Delegatura para Entidades Territoriales y Generadores y Recaudadores y Administradores de Recursos del SGSSS"/>
    <x v="2"/>
    <x v="21"/>
    <s v="Implementar la red de Controladores en los territorios del país."/>
    <s v="Redes de Controladores departamentales activadas"/>
    <s v="Número de departamentos con red de Controladores activadas"/>
    <s v="Numérica"/>
    <n v="1"/>
    <n v="5"/>
    <n v="1"/>
    <n v="5"/>
    <s v="Inicialmente se programó activiar la red en un solo territorio para el primer trimestre, sin embargo se reprogramaron acciones para agilizar el tema por la importancia que reviste la red de controladores.  _x000a_En este sentido se activó la redes en 5 departamentos adelantando lo que se tenía planeado para meses siguientes.  La meta anual es de 10 departamentos con red activada.​_x000a_Se adjunta: Carpeta compartida con  subcarpetas por departamento donde se activó la red de controladores.  En cada subcarpeta pueden verse actas, listas de asistencia entre otras evidencias que enmarcan la activación de la red en cada uno de estos territorios. _x000a_La red de controladores se ha activado en 5 nuevos departamentos de acuerdo a lo planeado.  Como la meta es 10 para el año, haber avanzado con 5 este primer trimestre se considera un buen reporte.  Estos departamentos son:_x000a_* Caldas_x000a_* Risaralda_x000a_* Quindío_x000a_* Boyacá_x000a_* Guajira_x000a_Adicionalmente se adjunta evidencia de una reunión de articulación de la red a nivel nacional._x000a__x000a__x000a__x000a__x000a__x000a__x000a_"/>
    <b v="0"/>
    <m/>
    <s v="2025"/>
    <s v="Elemento"/>
    <s v="sites/PlanAnualdeGestin/Lists/REPORTE SEGUIMIENTO PAG"/>
  </r>
  <r>
    <s v="Delegatura para Entidades Territoriales y Generadores y Recaudadores y Administradores de Recursos del SGSSS"/>
    <x v="2"/>
    <x v="22"/>
    <s v="Ampliar el campo de acción de las Direcciones Regionales respecto de los actores del sistema, a través de la definición de acuerdos con las demás Delegadas para la desconcentración de acciones de inspección y vigilancia"/>
    <s v="Porcentaje del total de Actores del sistema con acciones de inspección y vigilancia por parte de la Dirección Regional"/>
    <s v="(Número de categoría de Actores del sistema con acciones de inspección y vigilancia por parte de la Direcciones regional / 09 categorías de actores del sistema sujeto de acciones de inspección y vigilancia de la SNS)*100"/>
    <s v="Porcentual"/>
    <n v="0.5"/>
    <n v="4.625"/>
    <n v="9"/>
    <n v="0.51388888888888895"/>
    <s v="​La meta estuvo muy cerca de alcanzarse, hizo falta una regional más con un nuevo actor del sistema apoyado, sin embargo ete indicador subirá en el siguiente reporte._x000a_Todas Las regionales vienen realizado actividades con los 4 actores acumulados que se llevan (Etidades territoriales, Usuarios, Gestores Farmacéuticos y Aseguradores)  y han comenzado su apoyo a Prestadores también.  Esto en apoyo a las respectivas Delegadas._x000a_De acuerdo a las Regionales que han activado apoyo con prestadores, este se calcula en un 62,5% (5 de 8 regionales) de acuerdo a la evidencia adjunta_x000a_Sumando los 4 actores iniciales más el 62,5%  del nuevo actor (prestadores)  y comparándolos con los 9 para el cuatrienio, se tiene un 51,39%,  (4,625/9) lo cual es un avance importante rumbo a la meta de 66% propuesta para 2025.  Es decir, que a final de 2025 debe consolidarse el apoyo a prestadores e incluir además un sexto grupo de valor, y así lograr ese 66%._x000a_La razón por la cual se tiene una meta de 66% (6 de 9) para este año, es que para cada año del cuatrienio se tiene la misma meta (con excepción del último, donde son 3 de 9, es decir, el 33,3%, de tal forma que al sumar los 4 porcentajes de los 4 años deberá darel 100%, es decir, 9 actores de 9 posibles en 4 años._x000a_Se anexan las evidencias correspondientes dentro del URL adjunto.  ya que hay evidencias de todas las regionales y estas son muy pesadas para ser cargadas aquí.  Se han concedido algunos permisos para este URL. (Andrea del Pilar López, Mónica Liliana Salazar, Gloria Rocío PEreira, Peter William VArgas, Johana Patricia Orjuela).  Si Alguien mas de la OAP o de la OCI requiere ingresar al URL, solicitarlo a Rafael Enrique García Cadavid._x000a__x000a_"/>
    <b v="1"/>
    <s v="https://supersalud-my.sharepoint.com/:f:/r/personal/rafael_garcia_supersalud_gov_co/Documents/EVIDENCIAS%20PEI%20DET/ACTORES%20DEL%20SISTEMA?csf=1&amp;web=1&amp;e=Y9iofI"/>
    <s v="2025"/>
    <s v="Elemento"/>
    <s v="sites/PlanAnualdeGestin/Lists/REPORTE SEGUIMIENTO PAG"/>
  </r>
  <r>
    <s v="Delegatura para Entidades Territoriales y Generadores y Recaudadores y Administradores de Recursos del SGSSS"/>
    <x v="2"/>
    <x v="23"/>
    <s v="Supervisar las alertas interpuestas a los Generadores, Recaudadores y Administradores de Recursos del SGSSSS mediante acciones de IV"/>
    <s v="Porcentaje de alertas generadas en desarrollo de las acciones de IV a generadores, recaudadores y administradores de recursos del SGSSS con acciones de gestión sobre el total de alertas"/>
    <s v="(Número de alertas generadas en el informe del trimestre anterior con acciones de gestión / Total de alertas encontradas en el informe del trimestre anterior)*100"/>
    <s v="Porcentual"/>
    <n v="1"/>
    <n v="30"/>
    <n v="30"/>
    <n v="1"/>
    <s v="​ Se anexa informe aportado por la Dirección de Inspección y Vigilancia a Generadores, recaudadores y Administradores de Recursos del SGSSS.  Este informe contiene las alertas detectadas en las acciones de IV de esa Dirección, y frente a cada una, se detalla qué acciones de seguimiento o supervisión se han realizado._x000a_Se realiza informe de seguimiento a las alertas generadas en las acciones de Inspección y Vigilancia a Generadores, Recaudadores y Administradores de recursos del SGSSS._x000a_En el informe, Frente a cada alerta que se encuentra abierta, se relacionan las acciones que se han realizado para su seguimiento o supervisión._x000a_Puede evidenciarse que para cada una de las 30 alertas encontradas hay acciones de supervisión o seguimiento generadas, es decir, se tiene el 100% de cumplimiento._x000a_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_x000a_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  _x000a__x000a_"/>
    <b v="0"/>
    <m/>
    <s v="2025"/>
    <s v="Elemento"/>
    <s v="sites/PlanAnualdeGestin/Lists/REPORTE SEGUIMIENTO PAG"/>
  </r>
  <r>
    <s v="Delegatura para Entidades Territoriales y Generadores y Recaudadores y Administradores de Recursos del SGSSS"/>
    <x v="2"/>
    <x v="24"/>
    <s v="Efectuar seguimiento y evaluación a la gestión de las Direcciones Regionales de conformidad con las directrices y lineamientos formulados por la Superintendencia Delegada."/>
    <s v="Seguimiento a las actividades de las Direcciones regionales."/>
    <s v="Número de seguimientos realizados"/>
    <s v="Numérica"/>
    <n v="8"/>
    <n v="8"/>
    <n v="8"/>
    <n v="1"/>
    <s v="​Se realizan los 8 seguimientos a regionales programados. _x000a_Se adjunta evidencia de lo anterior._x000a__x000a__x000a_"/>
    <b v="0"/>
    <m/>
    <s v="2025"/>
    <s v="Elemento"/>
    <s v="sites/PlanAnualdeGestin/Lists/REPORTE SEGUIMIENTO PAG"/>
  </r>
  <r>
    <s v="Delegatura para Entidades Territoriales y Generadores y Recaudadores y Administradores de Recursos del SGSSS"/>
    <x v="2"/>
    <x v="25"/>
    <s v="Implementar acciones de inspección y vigilancia en nuevos territorios que han carecido de ellas de manera adecuada."/>
    <s v="Porcentaje de Nuevos territorios (Departamentos, Municipios o Distritos) impactados con acciones de IV por parte de las Direcciones Regionales sobre el total de Nuevos Territorios programados."/>
    <s v="(Número de nuevos territorios impactados con Acciones de IV / Número de Nuevos territorios programados por la Direcciones Regionales para intervenir)*100"/>
    <s v="Porcentual"/>
    <n v="1"/>
    <n v="18"/>
    <n v="18"/>
    <n v="1"/>
    <s v="Se programaron 18  Nuevos Territorios nuevos para la vigencia a los cuales se llegó con acciones por parte de las Direcciones Regionales., cumpliendo con el 100% del indicador. En las evidencias que se anexan puede verse cuales son esos 18 territorios nuevos y algunas de las acciones en los mismos.  Para Chocó y Caribe, los nuevos territorios están programados para siguientes trimestres.​_x000a_Se adjunta en carpeta compartida:  Excel con la relación de los 18 nuevos  territorios y subcarpetas con una muestra de acciones en cada uno de ellos._x000a_"/>
    <b v="0"/>
    <m/>
    <s v="2025"/>
    <s v="Elemento"/>
    <s v="sites/PlanAnualdeGestin/Lists/REPORTE SEGUIMIENTO PAG"/>
  </r>
  <r>
    <s v="Delegatura para Entidades Territoriales y Generadores y Recaudadores y Administradores de Recursos del SGSSS"/>
    <x v="2"/>
    <x v="26"/>
    <s v="Realizar asistencia y seguimientos a las mesas de saneamiento de cartera de Circular Conjunta 030 de 2013"/>
    <s v="Seguimientos a Circular 030"/>
    <s v="Numero de Seguimientos realizados - Circular 030"/>
    <s v="Numérica"/>
    <n v="20"/>
    <n v="24"/>
    <n v="20"/>
    <n v="1.2"/>
    <s v="​Se tenían planeadas 20 mesas al año y se realizaron 24.  Se adelantaron 4 del próximo corte ya que se consideró necesario avanzar en el tema porque los próximos meses pueden ser más demandantes en diversos temas.  En total para todo el año se programaron 80._x000a_"/>
    <b v="0"/>
    <m/>
    <s v="2025"/>
    <s v="Elemento"/>
    <s v="sites/PlanAnualdeGestin/Lists/REPORTE SEGUIMIENTO PAG"/>
  </r>
  <r>
    <s v="Delegatura para Entidades Territoriales y Generadores y Recaudadores y Administradores de Recursos del SGSSS"/>
    <x v="2"/>
    <x v="27"/>
    <s v="Realizar Mesas de Gobernanza desde las direcciones regionales"/>
    <s v="Mesas de Gobernanza realizadas en las direcciones regionales."/>
    <s v="Mesas de Gobernanza Realizadas"/>
    <s v="Numérica"/>
    <n v="3"/>
    <n v="3"/>
    <n v="3"/>
    <n v="1"/>
    <s v="Se realizan actividades derivadas de mesas de Gobernanza en las siguientes Entidades Territoriales:_x000a_* Chiquinquirá_x000a_* Soatá_x000a_* Sogamoso_x000a_En el excel adjunto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_x000a_"/>
    <b v="0"/>
    <m/>
    <s v="2025"/>
    <s v="Elemento"/>
    <s v="sites/PlanAnualdeGestin/Lists/REPORTE SEGUIMIENTO PAG"/>
  </r>
  <r>
    <s v="Delegatura para la Protección al Usuario"/>
    <x v="2"/>
    <x v="28"/>
    <s v="Realizar auditorías de inspección y vigilancia a los vigilados relacionadas con el Sistema de Información y Atención al Usuario - SIAU, mecanismos de Participación Ciudadana y sistema PQRD"/>
    <s v="Auditorías realizadas a los vigilados por parte de la Delegada de Protección al Usuario"/>
    <s v="Número de auditorías ejecutadas"/>
    <s v="Numérica"/>
    <n v="27"/>
    <n v="33"/>
    <n v="27"/>
    <n v="1.2222222222222201"/>
    <s v="Se realizaron 30 auditorías a los vigilados relacionadas con el Sistema de Información y Atención al Usuario - SIAU, mecanismos de Participación Ciudadana y comportamiento de reclamos en salud. Asimismo, se efectuaron tres  auditorias del sistema de información, recepción y gestión dentro de los términos de la circular, frente a los reclamos en salud radicados ante la SNS. "/>
    <b v="1"/>
    <s v="https://supersalud-my.sharepoint.com/:f:/r/personal/norma_collazos_supersalud_gov_co/Documents/DELEGADA%20%20PARA%20LA%20PROTECCI%C3%92N%20AL%20USUARIO/SEGUIMIENTO%20PAG/PAG/PAG%202025/REPORTE%20I%20TRIMESTRE/AUDITOR%C3%8DAS?csf=1&amp;web=1&amp;e=kUavSa"/>
    <s v="2025"/>
    <s v="Elemento"/>
    <s v="sites/PlanAnualdeGestin/Lists/REPORTE SEGUIMIENTO PAG"/>
  </r>
  <r>
    <s v="Delegatura para la Protección al Usuario"/>
    <x v="2"/>
    <x v="29"/>
    <s v="Medir la percepción de los usuarios respecto a la atención telefónica y canal presencial de la Superintendencia Nacional de Salud"/>
    <s v="Medición de la percepción en canal telefonico y presencial de la SNS."/>
    <s v="Total de respuestas con calificación favorable (bueno y excelente) del instrumento de medición aplicado"/>
    <s v="Porcentual"/>
    <n v="0.87"/>
    <n v="134953"/>
    <n v="156221"/>
    <n v="0.86385953232919999"/>
    <s v="​Se presenta información con corte a febrero 2025, en virtud de que el periodo de reporte de insumos es 5 días hábiles mes vencido. _x000a_Aclarado lo anterior se presenta el resultado de la aplicación de la encuesta de satisfacción realizada en el canal telefónico y presencial (Regionales, Puntos de Atención y CAC). _x000a_Entre enero y febrero 2025 se recibieron 134.953 respuestas con calificación buena y excelente, de un total de 156.221 respuestas, las cuales corresponden a un 86.36% de satisfacción._x000a_La meta se ajusto para el mes de abril. _x000a__x000a_"/>
    <b v="1"/>
    <m/>
    <s v="2025"/>
    <s v="Elemento"/>
    <s v="sites/PlanAnualdeGestin/Lists/REPORTE SEGUIMIENTO PAG"/>
  </r>
  <r>
    <s v="Delegatura para la Protección al Usuario"/>
    <x v="2"/>
    <x v="30"/>
    <s v="Radicar los reclamos en salud recibidos en el multicanal"/>
    <s v="Porcentaje de reclamos en salud radicados y gestionados a través del multicanal"/>
    <s v="Número de reclamos en salud radicados y gestionadas en el trimestre*"/>
    <s v="Porcentual"/>
    <n v="1"/>
    <n v="427884"/>
    <n v="427884"/>
    <n v="1"/>
    <s v="​Entre enero a marzo se radicaron y trasladaron al responsable del aseguramiento a través de una orden de inmediato y obligatorio cumplimiento 427.884 reclamos en salud recibidos por multicanal (escrito, web, telefónico, chat y redes sociales)_x000a_"/>
    <b v="0"/>
    <m/>
    <s v="2025"/>
    <s v="Elemento"/>
    <s v="sites/PlanAnualdeGestin/Lists/REPORTE SEGUIMIENTO PAG"/>
  </r>
  <r>
    <s v="Delegatura para la Protección al Usuario"/>
    <x v="2"/>
    <x v="31"/>
    <s v="Promover los derechos y deberes en salud y mecanismos de participación ciudadana en salud"/>
    <s v="Promoción de los derechos y deberes en salud y mecanismos de participación ciudadana en salud a la ciudadanía."/>
    <s v="Número de actividades que promueven el ejercicio de derechos y deberes y mecanismos de participación ciudadana en salud para ciudadanía en general desarrollados en el periodo.."/>
    <s v="Numérica"/>
    <n v="70"/>
    <n v="79"/>
    <n v="70"/>
    <n v="1.1285714285714299"/>
    <s v="​En el trimestre, se desarrollaron  79 actividades entre jornadas de atención, diálogos y procesos de capacitación, superando la meta establecida. Este sobre cumplimiento obedece a múltiples solicitudes adicionales por parte de los municipios, así como a la identificación de necesidades emergentes en los territorios relacionadas con el acceso, garantía y ejercicio efectivo del derecho a la salud._x000a_"/>
    <b v="0"/>
    <m/>
    <s v="2025"/>
    <s v="Elemento"/>
    <s v="sites/PlanAnualdeGestin/Lists/REPORTE SEGUIMIENTO PAG"/>
  </r>
  <r>
    <s v="Delegatura para la Protección al Usuario"/>
    <x v="2"/>
    <x v="32"/>
    <s v="Seguimiento a los reclamos en salud presentados por la ciudadanía que asiste a los Diálogos con la Supersalud que no fueron cerrados por los vigilados en el evento"/>
    <s v="Porcentajes de reclamos en salud con seguimiento"/>
    <s v="Reclamos en salud con seguimiento / total de reclamos no cerrados por el vigilados* 100 ."/>
    <s v="Porcentual"/>
    <n v="1"/>
    <n v="746"/>
    <n v="746"/>
    <n v="1"/>
    <s v="​Entre enero a marzo 2025 se han realizado 6 diálogos en donde se han recibido 746 reclamos en salud, de los cuales a todos se les ha realizado seguimiento,  de estos se han cerrado 644 (86.32%%) y permanecen abiertos 102 reclamos en salud. _x000a_"/>
    <b v="0"/>
    <m/>
    <s v="2025"/>
    <s v="Elemento"/>
    <s v="sites/PlanAnualdeGestin/Lists/REPORTE SEGUIMIENTO PAG"/>
  </r>
  <r>
    <s v="Delegatura para la Protección al Usuario"/>
    <x v="2"/>
    <x v="33"/>
    <s v="Ejecutar actividades para la implementación de la política de Servicio al Ciudadano"/>
    <s v="Actividades desarrolladas en el ámbito de la política de servicio al ciudadano"/>
    <s v="Número total de actividades desarrolladas en el periodo."/>
    <s v="Numérica"/>
    <n v="5"/>
    <n v="7"/>
    <n v="5"/>
    <n v="1.4"/>
    <s v="​Se ejecutaron diversas actividades en cumplimiento a  la implementación de la política de Servicio al Ciudadano, como:                                                                       _x000a_   * Implementar acciones para articular con las dependencias y áreas para el Relacionamiento con la Ciudadanía y Grupos Valor. _x000a_   *Desarrollar los escenarios de relacionamiento             _x000a_  *Realizar ejercicios de Benchmarking.                                                _x000a_   *Revisar y ajustar los Manuales, Protocolos, Documentos.  _x000a_  *Socializar, sensibilizar y capacitar en temática relevante de servicio al ciudadano.  _x000a_ *Realizar campañas de ortografía en el marco de los lineamientos nacionales del Lenguaje Claro.                _x000a_ *Transformar, actualizar o ajustar las respuestas de los Derechos de Petición y Solicitudes de Información"/>
    <b v="0"/>
    <m/>
    <s v="2025"/>
    <s v="Elemento"/>
    <s v="sites/PlanAnualdeGestin/Lists/REPORTE SEGUIMIENTO PAG"/>
  </r>
  <r>
    <s v="Delegatura para la Protección al Usuario"/>
    <x v="2"/>
    <x v="34"/>
    <s v="Radicar los reclamos en salud recibidos en el canal presencial"/>
    <s v="Porcentaje de reclamos en salud radicados y gestionados a través del canal presencial"/>
    <s v="Número de reclamos en salud radicados y gestionadas en el trimestre*"/>
    <s v="Porcentual"/>
    <n v="1"/>
    <n v="91364"/>
    <n v="91364"/>
    <n v="1"/>
    <s v="​Entre enero a marzo se radicaron y trasladaron al responsable del aseguramiento a través de una orden de inmediato y obligatorio cumplimiento 91.364 reclamos en salud recibidos por el canal presencial."/>
    <b v="0"/>
    <m/>
    <s v="2025"/>
    <s v="Elemento"/>
    <s v="sites/PlanAnualdeGestin/Lists/REPORTE SEGUIMIENTO PAG"/>
  </r>
  <r>
    <s v="Delegatura para Operadores Logísticos de Tecnologías en Salud y Gestores Farmacéuticos"/>
    <x v="2"/>
    <x v="2"/>
    <s v="Realizar auditorías a los Operadores Logísticos de Tecnologías en Salud y/o Gestores Farmacéuticos objeto de supervisión"/>
    <s v="Auditorías realizadas a los Operadores Logísticos de Tecnologías en Salud y/o Gestores Farmacéuticos"/>
    <s v="Número de auditorías realizadas a los Operadores Logísticos de Tecnologías en Salud y/o Gestores Farmacéuticos"/>
    <s v="Numérica"/>
    <n v="1"/>
    <n v="1"/>
    <n v="1"/>
    <n v="1"/>
    <s v="​Se realizó auditoria integral  en al Gestor Farmaceutico CAFAM en Manizalez y Bogotá, ordenada a través de Auto2025600000000428- 7, las auditorias son fundamentales en el desarrollo de las acciones de IVC a nuestros vigilados y el cumplimiento al Programa de Auditorias. Se da cumplimiento al 100% de lo propuesto para el mes de Marzo."/>
    <b v="0"/>
    <m/>
    <s v="2025"/>
    <s v="Elemento"/>
    <s v="sites/PlanAnualdeGestin/Lists/REPORTE SEGUIMIENTO PAG"/>
  </r>
  <r>
    <s v="Delegatura para Operadores Logísticos de Tecnologías en Salud y Gestores Farmacéuticos"/>
    <x v="2"/>
    <x v="35"/>
    <s v="Realizar actividades de socialización, asistencia técnica, mesas de trabajo o acompañamiento a los actores del SGSSS respecto a la operación de los Gestores Farmacéuticos Gestores Farmacéuticos y/u Operadores Logísticos de Tecnologías en Salud"/>
    <s v="Actividades de socialización, asistencia técnica, mesas de trabajo o acompañamiento a los actores del SGSSS respecto a la operación de los GF y/u OLTS"/>
    <s v="Número de actividades de socialización, asistencia técnica, mesas de trabajo o acompañamiento a los actores del SGSSS respecto a la operación de los GF y/u OLTS"/>
    <s v="Numérica"/>
    <n v="1"/>
    <n v="1"/>
    <n v="1"/>
    <n v="1"/>
    <s v="​Se ralizó asistencia tecnica con el Gestor Farmaceutico Pharmaasan, la cual  fue fundamenta para el cumplimiento del reporte financiero por parte de los vigilados. De esta manera se da cumplimiento al 100% de lo propuesto en el PAG para Marzo 2025."/>
    <b v="0"/>
    <m/>
    <s v="2025"/>
    <s v="Elemento"/>
    <s v="sites/PlanAnualdeGestin/Lists/REPORTE SEGUIMIENTO PAG"/>
  </r>
  <r>
    <s v="Delegatura para Operadores Logísticos de Tecnologías en Salud y Gestores Farmacéuticos"/>
    <x v="2"/>
    <x v="36"/>
    <s v="Realizar acompañamiento a las Direcciones Regionales en actividades de IVC a los Operadores Logísticos de Tecnologías en Salud y/o Gestores Farmacéuticos de su jurisdicción"/>
    <s v="Actividades de acompañamiento a las Direcciones Regionales en actividades de IVC a los Operadores Logísticos de Tecnologías en Salud y/o Gestores Farmacéuticos de su jurisdicción"/>
    <s v="Número de actividades de acompañamiento a las Direcciones Regionales en actividades de IVC a los Operadores Logísticos de Tecnologías en Salud y/o Gestores Farmacéuticos de su jurisdicción"/>
    <s v="Numérica"/>
    <n v="2"/>
    <n v="2"/>
    <n v="2"/>
    <n v="1"/>
    <s v="​Se realizaron 2 actividades de acompañamiento a las Direcciones Regionales en actividades de IVC a los Gestores Farmaceutocos ,  Santa Sofia de Asis en la ciudad y Ramedicas en Quido Choco estas acciones son fundamentales en el cumplimiento de las funiones de IVC de nuestra Delegada, se da cumplimiento al 100% de lo planteado en el PAG para marzo 2025."/>
    <b v="0"/>
    <m/>
    <s v="2025"/>
    <s v="Elemento"/>
    <s v="sites/PlanAnualdeGestin/Lists/REPORTE SEGUIMIENTO PAG"/>
  </r>
  <r>
    <s v="Delegatura Prestadores de Servicios en Salud"/>
    <x v="2"/>
    <x v="37"/>
    <s v="Realizar auditorías a los Prestadores de Servicios en Salud (PSS) para verificar el cumplimiento de las normas que regulan el Sistema de Salud y la gestión de los riesgos inherentes del sistema."/>
    <s v="Auditorías realizadas a los Prestadores de Servicios en Salud (PSS) en cumplimiento del Programa Anual de Auditoría de la Delegada"/>
    <s v="Número de auditorías realizadas a los Prestadores de Servicios en Salud (PSS)"/>
    <s v="Numérica"/>
    <n v="19"/>
    <n v="19"/>
    <n v="19"/>
    <n v="1"/>
    <s v="​Para el primer trimestre de 2025 se programó la realización de 19 auditorias. _x000a_Durante el mes de enero, se realizaron 3 auditorias, en el mes de febrero 8 auditorias y en el mes de marzo 8 auditorias, para un total de 19 auditorias, dando cumplimiento en el numero de auditorias realizadas, versus las auditorias programadas para el I trimestre de la vigencia 2025._x000a_"/>
    <b v="0"/>
    <m/>
    <s v="2025"/>
    <s v="Elemento"/>
    <s v="sites/PlanAnualdeGestin/Lists/REPORTE SEGUIMIENTO PAG"/>
  </r>
  <r>
    <s v="Delegatura Prestadores de Servicios en Salud"/>
    <x v="2"/>
    <x v="38"/>
    <s v="Realizar análisis a los Planes de Mejoramiento suscritos por los Prestadores de Servicios de Salud durante el periodo de evaluación."/>
    <s v="Porcentaje de Planes de Mejoramiento evaluados"/>
    <s v="Número de Planes de Mejoramiento evaluados al corte / Número de Planes de Mejoramiento gestionados en el periodo"/>
    <s v="Porcentual"/>
    <n v="1"/>
    <n v="88"/>
    <n v="88"/>
    <n v="1"/>
    <s v="​La Dirección de Inspección y Vigilancia para los Prestadores de Servicios de Salud recibió diecinueve (19) planes de mejoramiento para primera revisión, treinta y uno (31) para segunda y treinta y ocho (38) soportes de ejecución para evaluación de cumplimiento de los planes. La totalidad de los planes de mejoramiento y soportes de ejecución fueron evaluados y analizados por esta dirección durante el primer semestre de 2025._x000a_"/>
    <b v="0"/>
    <m/>
    <s v="2025"/>
    <s v="Elemento"/>
    <s v="sites/PlanAnualdeGestin/Lists/REPORTE SEGUIMIENTO PAG"/>
  </r>
  <r>
    <s v="Delegatura Prestadores de Servicios en Salud"/>
    <x v="2"/>
    <x v="39"/>
    <s v="Realizar seguimiento en campo a las ESE bajo medida con el fin de hacer seguimiento a la gestión de agentes interventores, contralores, gerentes y revisores fiscales"/>
    <s v="Porcentaje de cumplimiento de seguimientos en campo a ESE bajo medida"/>
    <s v="Numero de seguimientos en campo realizados a los Prestadores de Servicios de Salud (PSS) bajo acción o medida especial / Total de seguimientos programados a ESE bajo medida"/>
    <s v="Porcentual"/>
    <n v="0.2"/>
    <n v="2"/>
    <n v="2"/>
    <n v="1"/>
    <s v="​La Dirección de Medidas Especiales para Prestadores de Servicios de Salud adelanto 2 seguimientos en campo para el primer trimestre 2025, de acuerdo a la priorización y necesidades de las Entidades en medida especial._x000a_"/>
    <b v="0"/>
    <m/>
    <s v="2025"/>
    <s v="Elemento"/>
    <s v="sites/PlanAnualdeGestin/Lists/REPORTE SEGUIMIENTO PAG"/>
  </r>
  <r>
    <s v="Dirección de Innovación y Desarrollo"/>
    <x v="2"/>
    <x v="40"/>
    <s v="Ejecutar cronograma de actividades diseñado para fortalecer sistema de Gestión de Innovación de la Superintendencia Nacional de Salud"/>
    <s v="Porcentaje de implementación del Sistema de Gestión de Innovación"/>
    <s v="Número de actividades ejecutadas para el fortalecimiento del Sistema de Gestión de Innovación de la Superintendencia Nacional de Salud / Número de actividades definidas para el fortalecimiento del Sistema de Gestión de Innovación de la Superintendencia Nacional de Salud * 100"/>
    <s v="Porcentual"/>
    <n v="0.15"/>
    <n v="15"/>
    <n v="15"/>
    <n v="1"/>
    <s v="​_x000a_Como resultado de la gestión adelantada durante el primer trimestre de la vigencia en curso, y tenieno en cuenta los compromisos adquiridos por la Subdirección de Analítica, se avanzó en: _x000a_1. Diseño, exposición y aprobación por parte del Comité Directivo de la estrategia de transferencia del conocimiento, la cual tiene como objetivo mitigar la fuga del conocimiento con la transición del personal de la entidad; para ser implementada durante este periodo de tiempo de evaluación. _x000a_2. Primera sesión del Equipo Técnico de Apoyo a la Gestión de Inovación y del Conocimiento. _x000a_3. Implementación del formato PEFT52 Transferencia del Conocimiento, para ser diligenciado por parte de todos los colaboradores de la entidad: https://docs.supersalud.gov.co/PortalWeb/planeacion/AdministracionSIG/PEFT52.docx _x000a_4. Elaboración de tablero de control para el análisis de los resultados obtenidos a partir del ejercicio de diligenciamiento del formulario de Transferencia de Conocimiento. _x000a_5. Estructuración de los repositorios de información para cada una de las dependencias y grupos de trabajo, con el fin de consignar los productos finales en éstos. _x000a__x000a_"/>
    <b v="1"/>
    <s v="https://supersalud-my.sharepoint.com/:f:/g/personal/gerson_ruiz_supersalud_gov_co/EndBH3v5g11NuT6YdBqFiTQBRgag_0GhQoHgyd5nHTdsnA?e=UhwEyl"/>
    <s v="2025"/>
    <s v="Elemento"/>
    <s v="sites/PlanAnualdeGestin/Lists/REPORTE SEGUIMIENTO PAG"/>
  </r>
  <r>
    <s v="Dirección de Innovación y Desarrollo"/>
    <x v="2"/>
    <x v="41"/>
    <s v="Diseñar las políticas. instrumentos, guías, metodologías y lineamientos, a partir de las solicitudes y necesidades identificadas y gestionadas"/>
    <s v="Porcentaje de solicitudes gestionadas de políticas, instrumentos, guías, metodologías y lineamientos"/>
    <s v="Número de solicitudes de políticas, instrumentos, guías, metodologías y lineamientos gestionadas / Número de solicitudes de políticas, instrumentos, guías, metodologías y lineamientos identificadas * 100"/>
    <s v="Porcentual"/>
    <n v="1"/>
    <n v="10"/>
    <n v="10"/>
    <n v="1"/>
    <s v="Durante el primer trimestre del año se adelantaron mesas de trabajo orientadas a la construcción y ajuste de metodologías, lineamientos y proyectos de circular. Estas acciones buscan fortalecer la gestión institucional y brindar herramientas claras a los vigilados para el cumplimiento de sus obligaciones. A continuación, se relacionan los documentos que se encuentran en desarrollo o en proceso de ajuste:Expedición Circular de Datos GeneralesExpedición Circular 001 Proyecto Circular FT015Proyecto Circular 011Proyecto Circular ADRESProyecto Circular de AutorizacionesProyecto Circular GAUDIProyecto Circular SIARCMetodologías de Reclamos en SaludPolítica de Vejez - acciones SNS_x000a_Cabe resaltar que estos documentos continúan en proceso de trabajo y ajustes._x000a__x000a__x000a_"/>
    <b v="1"/>
    <s v="https://supersalud-my.sharepoint.com/:f:/g/personal/gerson_ruiz_supersalud_gov_co/Er_snzcPNMtNl5qTOQPILCgBBIGM6okkGAZZ-OWlYQ1mwA?e=axUb9F"/>
    <s v="2025"/>
    <s v="Elemento"/>
    <s v="sites/PlanAnualdeGestin/Lists/REPORTE SEGUIMIENTO PAG"/>
  </r>
  <r>
    <s v="Dirección de Innovación y Desarrollo"/>
    <x v="2"/>
    <x v="42"/>
    <s v="Diseñar el programa de gestión del conocimiento: Ejecutando el cronograma de actividades para la implementación y sostenibilidad de la política de gestión y desempeño de Gestión del Conocimiento y la Innovación:"/>
    <s v="Programa de Gestión del Conocimiento diseñado"/>
    <s v="Avance en el programa de Gestión del Conocimiento diseñado"/>
    <s v="Numérica"/>
    <n v="0.5"/>
    <n v="0.5"/>
    <s v="0.5"/>
    <n v="1"/>
    <s v="Durante el periodo reportado, se avanzó significativamente en el diseño del Programa de Gestión del Conocimiento y de la Innovación para la vigencia 2025, el cual constituye uno de los componentes estratégicos de la Superintendencia Nacional de Salud. Este instrumento articula de manera estructurada las acciones orientadas a la implementación y sostenibilidad de la política de gestión y desempeño institucional en materia de conocimiento e innovación._x000a_Este programa incluye líneas de acción concretas relacionadas con procesos de capacitación técnica y misional, estrategias orientadas al fortalecimiento del desempeño institucional en el marco de la medición FURAG, la formulación y seguimiento de indicadores de innovación, así como el desarrollo de actividades para la articulación interdependencias. Además, se han identificado temáticas prioritarias para la formulación de proyectos que permitan movilizar capacidades internas y aprovechar el conocimiento existente, contribuyendo de forma directa a la mejora continua de la gestión pública en salud._x000a_"/>
    <b v="0"/>
    <m/>
    <s v="2025"/>
    <s v="Elemento"/>
    <s v="sites/PlanAnualdeGestin/Lists/REPORTE SEGUIMIENTO PAG"/>
  </r>
  <r>
    <s v="Dirección de Innovación y Desarrollo"/>
    <x v="2"/>
    <x v="43"/>
    <s v="Actualizar e implementar el Plan Estratégico de Tecnologías de la información (PETI)"/>
    <s v="Porcentaje de avance en el cumplimiento del Plan Estratégico de Tecnologías de la Información y las Comunicaciones PETI._x000a_"/>
    <s v="Número de acciones ejecutadas para actualización e implementación del Plan Estratégico de Tecnologías de la información (PETI) / Número de acciones definidas para la actualización e implementación del Plan Estratégico de Tecnologías de la información (PETI) * 100"/>
    <s v="Porcentual"/>
    <n v="8"/>
    <n v="7"/>
    <n v="8"/>
    <n v="1"/>
    <s v="Porcentaje de avance en el cumplimiento del Plan Estratégico de Tecnologías de la Información y las Comunicaciones PETI._x000a_Para el primer trimestre se tenían programadas 8 actividades de las cuales se cumplieron las 8 actividades. _x000a_Fortalecimiento de los sistemas de información misionales, con un enfoque en la integración e interoperabilidad de datos e informaciónImpulsar la Seguridad digital a través de la adopción del modelo de seguridad y privacidad de la información y de la implementación de un SGSI para la entidad.Fortalecer la seguridad de la información a través de la implementación de controles de seguridad informática y ciberseguridad.Fortalecer la implementación de los controles de protección de datos personales a través de un programa de protección y la adopción de las políticas PDP y privacidad.Fortalecer las funciones de IVC de la SNS a través de la implementación de procedimientos y controles de auditoría a sistemas de información, cadena de custodia y Laboratorio ForenseOptimización de la gestión de la infraestructura tecnológicaFortalecer las capacidades para consolidar iniciativas y alianzas en la Política de Gobierno DigitalImplementación del Plan de formación y capacitación de Tecnologías de la Información y Comunicación (TIC)."/>
    <b v="1"/>
    <s v="https://supersalud-my.sharepoint.com/:f:/r/personal/sindy_lozada_supersalud_gov_co/Documents/mely%20onedrive/MELY%20OTI%20-%202015-%202016/2025/proy%20y%20planes/PAG%202025/REPORTE%20PRIMER%20TRIMESTRE/SOPORTES/PETI?csf=1&amp;web=1&amp;e=erZaeA"/>
    <s v="2025"/>
    <s v="Elemento"/>
    <s v="sites/PlanAnualdeGestin/Lists/REPORTE SEGUIMIENTO PAG"/>
  </r>
  <r>
    <s v="Dirección de Innovación y Desarrollo"/>
    <x v="2"/>
    <x v="44"/>
    <s v="Actualizar e implementar el Plan Estratégico de Tecnologías de la información (PETI)"/>
    <s v="Porcentaje de actividades ejecutadas en cumplimiento del Plan de Seguridad y Privacidad de la Información y Seguridad Digital"/>
    <s v="Total de actividades cumplidas del plan de seguridad y privacidad de la Información de la STI / Total de actividades definidas en el plan de seguridad y privacidad de la Información de la STI"/>
    <s v="Porcentual"/>
    <n v="1"/>
    <n v="1"/>
    <n v="1"/>
    <n v="1"/>
    <s v="Porcentaje de actividades ejecutadas en cumplimiento del Plan de Seguridad y Privacidad de la Información y Seguridad Digital_x000a_Para el primer trimestre se tenía programada 1 actividad la cual se cumplió. _x000a_Socialización de lineamientos y Herramienta - Gestión de Riesgos de Seguridad y privacidad de la Información y Seguridad Digital_x000a_Evidencia: Se adjunta formato DEFT04 con la gestión realizada y los link con los informes realizados para cada actividad"/>
    <b v="1"/>
    <s v="https://supersalud-my.sharepoint.com/:f:/r/personal/sindy_lozada_supersalud_gov_co/Documents/mely%20onedrive/MELY%20OTI%20-%202015-%202016/2025/proy%20y%20planes/PAG%202025/REPORTE%20PRIMER%20TRIMESTRE/SOPORTES/SEGURIDAD?csf=1&amp;web=1&amp;e=Dgdx7t"/>
    <s v="2025"/>
    <s v="Elemento"/>
    <s v="sites/PlanAnualdeGestin/Lists/REPORTE SEGUIMIENTO PAG"/>
  </r>
  <r>
    <s v="Dirección de Innovación y Desarrollo"/>
    <x v="2"/>
    <x v="45"/>
    <s v="Actualizar e implementar el Plan Estratégico de Tecnologías de la información (PETI)"/>
    <s v="Porcentaje de actividades ejecutadas en cumplimiento del Plan de Tratamiento de Riesgos de Seguridad y Privacidad de la Información"/>
    <s v="Total de actividades cumplidas del plan de Tratamientos de Riesgos de seguridad y privacidad de la Información de la STI / Total de actividades definidas en el plan de Tratamientos de Riesgos de seguridad y privacidadad de la Información de la STI"/>
    <s v="Porcentual_x000a_"/>
    <n v="1"/>
    <n v="1"/>
    <n v="8"/>
    <n v="0.125"/>
    <s v="Porcentaje de actividades ejecutadas en cumplimiento del Plan de Tratamiento de Riesgos de Seguridad y Privacidad de la Información_x000a_Para el primer trimestre se tenía programada 1 actividad la cual se cumplió. _x000a_Avanzar en la identificación de activos de información_x000a_Evidencia: Se adjunta formato DEFT04 con la gestión realizada y los link con los informes realizados para cada actividad. "/>
    <b v="1"/>
    <s v="https://supersalud-my.sharepoint.com/:f:/r/personal/sindy_lozada_supersalud_gov_co/Documents/mely%20onedrive/MELY%20OTI%20-%202015-%202016/2025/proy%20y%20planes/PAG%202025/REPORTE%20PRIMER%20TRIMESTRE/SOPORTES/RIESGOS?csf=1&amp;web=1&amp;e=7HnjwH"/>
    <s v="2025"/>
    <s v="Elemento"/>
    <s v="sites/PlanAnualdeGestin/Lists/REPORTE SEGUIMIENTO PAG"/>
  </r>
  <r>
    <s v="Dirección de Innovación y Desarrollo"/>
    <x v="2"/>
    <x v="46"/>
    <s v="Ejecutar acciones orientadas al desarrollo de los programas de Gobernanza y Gestión de Datos y de Información de la SNS"/>
    <s v="Acciones ejecutadas para el desarrollo de los programas de Gobernanza y Gestión de Datos y de Información de la SNS"/>
    <s v="Número total de acciones ejecutada para el desarrollo de los programas de Gobernanza y Gestión de Datos y de Información de la SNS"/>
    <s v="Numérica"/>
    <n v="13"/>
    <n v="13"/>
    <n v="13"/>
    <n v="1"/>
    <s v="Se hace el respectivo cargue que soporta los avances frente al Flujos de Información de la actividad clave de éxito, Gestionar Analítica de Datos e Información._x000a_Igualmente se cargan evidencias frente a la Base única de vigilados, Catálogo de datos abiertos, Medición Indicadores de Calidad,_x000a_Mallas de validación,  Informe UIAF,_x000a_Scripts vigilados, Tablero de salud pública,_x000a_Tablero Fenix, Tableros de cartera actualizados._x000a__x000a_"/>
    <b v="1"/>
    <s v="https://supersalud-my.sharepoint.com/:f:/g/personal/gerson_ruiz_supersalud_gov_co/EpksyX1S38ZGqCwqHBtzSc0Bu2KixC2rBySb2FBUQ6Dxpw?e=a1wKZM"/>
    <s v="2025"/>
    <s v="Elemento"/>
    <s v="sites/PlanAnualdeGestin/Lists/REPORTE SEGUIMIENTO PAG"/>
  </r>
  <r>
    <s v="Dirección de Innovación y Desarrollo"/>
    <x v="2"/>
    <x v="47"/>
    <s v="Ejecutar acciones orientadas al desarrollo de la Política de Gestión de la Información Estadística para la SNS"/>
    <s v="Porcentaje de hitos ejecutados para el desarrollo de la Política de Gestión de la Información Estadística"/>
    <s v="Número de hitos ejecutados para la Gestión de la Información Estadística / Número de hitos definidos en la vigencia 2025 para Gestión de la Información Estadística * 100"/>
    <s v="Porcentual"/>
    <n v="2"/>
    <n v="2"/>
    <n v="10"/>
    <n v="0.2"/>
    <s v="​Se procede con el cargue de evidencias frente a la política de Gestión de Información Estadística, es decir, flujo de actividades versión 1, modelo institucional para el desarrollo de producción estadística, manual para el desarrollo del plan estadístico versión en construcción, que dan cuenta de los avances._x000a_"/>
    <b v="1"/>
    <s v="https://supersalud-my.sharepoint.com/:f:/g/personal/gerson_ruiz_supersalud_gov_co/EnSqhTq7pNVCrS8vROY56AEB7op53bXN1D9yW2F3ft7Z9g?e=wxSfTE"/>
    <s v="2025"/>
    <s v="Elemento"/>
    <s v="sites/PlanAnualdeGestin/Lists/REPORTE SEGUIMIENTO PAG"/>
  </r>
  <r>
    <s v="Dirección Jurídica"/>
    <x v="2"/>
    <x v="48"/>
    <s v="Proyectar contestaciones y ejercer la actividad procesal."/>
    <s v="Porcentaje de acciones contencioso administrativas y ordinarias tramitadas dentro de los términos de ley"/>
    <s v="(Número de acciones contencioso administrativas y ordinarias tramitadas dentro de los términos de ley en el periodo/Total de acciones contencioso administrativas y ordinarias recibidas para trámite en el periodo) x100"/>
    <s v="Porcentual"/>
    <n v="1"/>
    <n v="155"/>
    <n v="155"/>
    <n v="1"/>
    <s v="​En el primer trimestre del año 2025, se recibieron en total 155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Ahora bien, de las 155 demandas radicadas, se notificaron 17 autos admisorios de la demanda por lo que, los abogados del Grupo de Defensa Judicial realizaron la contestación de estas 17 demandas en el término otorgado por la ley, y 138 asuntos judiciales están en trámite de proyección por no haberse notificado a la fecha el auto admisorio de estas demandas; en conclusión se tiene un total de 155 procesos judiciales y un cumplimiento del 100% respecto de las demandas notificadas y contestadas dentro del término legal._x000a_"/>
    <b v="0"/>
    <m/>
    <s v="2025"/>
    <s v="Elemento"/>
    <s v="sites/PlanAnualdeGestin/Lists/REPORTE SEGUIMIENTO PAG"/>
  </r>
  <r>
    <s v="Dirección Jurídica"/>
    <x v="2"/>
    <x v="49"/>
    <s v="Someter los asuntos de competencia al Comité de Conciliación"/>
    <s v="Porcentaje solicitudes de conciliaciones presentadas al Comité de Conciliación"/>
    <s v="(Número de solicitudes de conciliaciones presentadas ante el Comité de conciliación, dentro de los 15 días hábiles a partir de su recibo en la Entidad / Número total de solicitudes de conciliaciones recibidas en la Entidad durante el periodo de reporte) x 100."/>
    <s v="Porcentual"/>
    <n v="1"/>
    <n v="197"/>
    <n v="211"/>
    <n v="0.93364928909952605"/>
    <s v="​En el primer trimestre del año 2025, se recibieron 211 solicitudes de conciliación extrajudicial; de las cuales 197 fueron presentadas y decididas por el Comité de Conciliación, y 14 se encuentran en proyecto para ser presentadas en el próximo comité, para un total de 211 solicitudes, cumpliéndose este indicador en un 93,36%_x000a_"/>
    <b v="0"/>
    <m/>
    <s v="2025"/>
    <s v="Elemento"/>
    <s v="sites/PlanAnualdeGestin/Lists/REPORTE SEGUIMIENTO PAG"/>
  </r>
  <r>
    <s v="Dirección Jurídica"/>
    <x v="2"/>
    <x v="4"/>
    <s v="Ejecutar cronograma de actividades para la implementación y sostenibilidad de la política de gestión y desempeño de Mejora Normativa"/>
    <s v="Actividades ejecutadas en el cronograma de implementación y sostenibilidad de la política de gestión y desempeño de Mejora Normativa"/>
    <s v="Número de actividades ejecutadas en el cronograma de implementación y sostenibilidad de la política de gestión y desempeño de Mejora Normativa."/>
    <s v="Numérica"/>
    <n v="6"/>
    <n v="4"/>
    <n v="6"/>
    <n v="0.66666666666666663"/>
    <s v="​Para el primer trimestre de 2025  fueron efectuadas 4 actualizaciones del normograma según lo pactado en el contrato No. 36 de 2025, sin embargo, al iniciar el contrato a finales de febrero de 2025 no se logró completar las 6 actualizaciones proyectadas para el primer trimestre._x000a_"/>
    <b v="0"/>
    <m/>
    <s v="2025"/>
    <s v="Elemento"/>
    <s v="sites/PlanAnualdeGestin/Lists/REPORTE SEGUIMIENTO PAG"/>
  </r>
  <r>
    <s v="Oficina de Control Interno"/>
    <x v="2"/>
    <x v="50"/>
    <s v="Ejecutar Plan Anual de Seguimientos de Ley a la Gestión Institucional"/>
    <s v="Seguimientos y evaluaciones efectuadas al control institucional"/>
    <s v="Número de seguimientos y evaluaciones realizadas oportunamente dentro de las fechas programadas en el periodo."/>
    <s v="Numérica"/>
    <n v="15"/>
    <n v="15"/>
    <n v="15"/>
    <n v="1"/>
    <s v="De conformidad a la programación establecida en el PAAS para la vigencia 2025 y en atención a la actividad &quot;Ejecutar Programa Anual Seguimiento a la Gestión Institucional&quot;, alusiva al indicador &quot;Seguimientos y evaluaciones efectuadas al control institucional&quot;, la Oficina de Control Interno definió reportar en el mes de abril el cumplimiento correspondiente al primer trimestre de la presente anualidad; de ello, se puede precisar, que fueron ejecutadas las quince (15) actividades programadas._x000a_Por lo anteriormente señalado, el porcentaje de cumplimiento para el período ahora reportado obedece al 100% de ejecución de acuerdo con lo definido en el Plan Anual de Seguimientos de Ley a la Gestión Institucional._x000a_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_x000a_"/>
    <b v="0"/>
    <m/>
    <s v="2025"/>
    <s v="Elemento"/>
    <s v="sites/PlanAnualdeGestin/Lists/REPORTE SEGUIMIENTO PAG"/>
  </r>
  <r>
    <s v="Secretaria General"/>
    <x v="2"/>
    <x v="51"/>
    <s v="Realizar Socializacion, Sensibilización y Asesoria a los funcionarios y contratistas de la Entidad acerca del cuidado y control de los bienes."/>
    <s v="Socializaciones o sensibilizaciones realizadas a los funcionarios o contratistas que tengan bienes asignados de la entidad"/>
    <s v="Número de socializaciones o sensibilizaciones realizadas"/>
    <s v="Numérica"/>
    <n v="2"/>
    <n v="2"/>
    <n v="2"/>
    <n v="1"/>
    <s v="En los meses de enero, febrero y marzo de 2025  el Grupo de Almacen realizó campañas de sensibilizacion y asesoria a los funcionarios y contratistas de la Entidad acerca del cuidado y control de los bienes.   _x000a_Algunas de las evidencias donde despues de la explicacion del manejo en el Aplicativo de Control de Activos ApliCA; sobre como realizar los traslados y reintegros se les envio  correos electronicos de fechas 17/01/2025, 28/02/2025 y 19/03/2025.                                                                                                                                                                                                                                         Esto con el fin de mantener el uso correcto de los mismos y evitar acciones disciplinarias. Como resultado se ha obtenido que los funcionarios tengan el mayor cuidado de los bienes a cargo de cada uno y asi darle el mejor uso para el desarrollo de las funciones._x000a_"/>
    <b v="0"/>
    <m/>
    <s v="2025"/>
    <s v="Elemento"/>
    <s v="sites/PlanAnualdeGestin/Lists/REPORTE SEGUIMIENTO PAG"/>
  </r>
  <r>
    <s v="Secretaria General"/>
    <x v="2"/>
    <x v="52"/>
    <s v="Formular e implementar los planes y programas del componente Sistema de Gestión Ambiental y Carbono Neutro en la Entidad."/>
    <s v="Porcentaje acumulado de avance en la ejecución del cronograma del componente del Sistema de Gestión Ambiental-SGA"/>
    <s v="Número de actividades ejecutadas del cronograma del Sistema de Gestión Ambiental-SGA/Número de actividades programadas del cronograma del Sistema de Gestión Ambiental - SGA"/>
    <s v="Porcentual"/>
    <n v="16"/>
    <n v="16"/>
    <n v="63"/>
    <n v="0.25396825396825401"/>
    <s v="Los funcionarios encargados del componente Ambiental del  Grupo de Recursos Físicos, realizaron el seguimiento y cumplimiento oportuno de las actividades generadas en el cronograma de Hitos ambientales del Sistema de Gestión Ambiental con corte a marzo de 2025, realizando todas las actividades programadas, con el fin de mejorar el rendimiento del Sistema de Gestión Ambiental basado en la ISO 14001:2015. Lo anteior, con el fin de posesionar el sistema de Gestión Ambiental en busca de adherir conocimiento y madures del mismo. _x000a_Se generaron las evidencias correspondientes de las actividades ejecutadas del cronograma._x000a_Se ejecutaron las 16 actividades  programadas generando un avance del 25%  conforme planeación establecida en el cronograma._x000a_"/>
    <b v="1"/>
    <s v="https://supersalud-my.sharepoint.com/:f:/r/personal/ever_cardenas_supersalud_gov_co/Documents/PAG%202025/2%20CRONOGRAMA%20HITOS%20AMB?csf=1&amp;web=1&amp;e=WxOs4x"/>
    <s v="2025"/>
    <s v="Elemento"/>
    <s v="sites/PlanAnualdeGestin/Lists/REPORTE SEGUIMIENTO PAG"/>
  </r>
  <r>
    <s v="Secretaria General"/>
    <x v="2"/>
    <x v="53"/>
    <s v="Realizar el seguimiento a la ejecución del Plan Anual de Adquisiciones a través de informe trimestral"/>
    <s v="Seguimientos al Plan Anual de Adquisiciones"/>
    <s v="Número de seguimientos programados en el Plan Anual de Adquisiciones"/>
    <s v="Numérica"/>
    <n v="3"/>
    <n v="3"/>
    <n v="3"/>
    <n v="1"/>
    <s v="ElPlan Anual de Adquisiciones (PAA) vigencia 2025, a corte marzo, cuenta con 258 líneas programadas y presenta un porcentaje de ejecución del 17,57%, con un avance en recursos de inversión del 16,65% y en recursos de funcionamiento del 24,24%. Se encuentran pendientes por radicar 4 líneas PAA por parte de diferentes dependencias. El PAA ha sido publicado en SECOP II y en la página web de la Superintendencia Nacional de Salud, con una publicación inicial y 7 actualizaciones realizadas en el primer trimestre del año._x000a__x000a_Se ha realizado seguimiento continuo al PAA mediante acciones como revisiones por parte de la Dirección de Contratación, socialización con el ordenador del gasto, reuniones de trabajo con las dependencias y reporte del avance a la Secretaría General, garantizando así el cumplimiento de los lineamientos establecidos._x000a_"/>
    <b v="0"/>
    <m/>
    <s v="2025"/>
    <s v="Elemento"/>
    <s v="sites/PlanAnualdeGestin/Lists/REPORTE SEGUIMIENTO PAG"/>
  </r>
  <r>
    <s v="Secretaria General"/>
    <x v="2"/>
    <x v="54"/>
    <s v="Notificar los actos administrativos producidos por la Entidad"/>
    <s v="Porcentaje de actos administrativos con actuaciones de notificación"/>
    <s v="Total de actos administrativos de notificación o comunicación gestionados en el periodo/ Total de actos administrativos recibidos para notificar o comunicar en el periodo"/>
    <s v="Porcentual"/>
    <n v="0.95"/>
    <n v="1875"/>
    <n v="1927"/>
    <n v="0.97301504929942895"/>
    <s v="Al corte del 31 de marzo de 2025 en la entidad se expidieron 1927 resoluciones las cuales ingresaron en su totalidad al Grupo de Gestion de Notificaciones y Comunicaciones, se gestionaron 1869, dejando en trámite 52 actos administrativos en su gran mayoría expedidos en los últimos días del mes y los cuales por distintos tramites se encuentra en gestion al corte del mes de este reporte. _x000a_"/>
    <b v="0"/>
    <m/>
    <s v="2025"/>
    <s v="Elemento"/>
    <s v="sites/PlanAnualdeGestin/Lists/REPORTE SEGUIMIENTO PAG"/>
  </r>
  <r>
    <s v="Secretaria General"/>
    <x v="2"/>
    <x v="55"/>
    <s v="Incrementar el porcentaje de eficiencia en la correcta asignación de los documentos de entrada radicados a las diferentes  dependencias de la entidad.​."/>
    <s v="Porcentaje de eficiencia en la asignación de los documentos de entrada radicados a las dependencias​"/>
    <s v="Número de documentos radicados  asignados correctamente a las dependencias durante el trimestre / Número de documentos totales radicados  en el trimestre x 100​"/>
    <s v="Porcentual"/>
    <n v="0.98"/>
    <n v="148567"/>
    <n v="149479"/>
    <n v="0.99389880852828805"/>
    <s v="​De 149.479 documentos radicados en el primer trimestre (enero, febrero y marzo) de 2025, se tomó una muestra del 5% lo cual arrojó un resultado de 7.473 documentos radicados que fueron revisados en los cuales se encontraron un total de 7.428 documentos asignados correctamente y que proyectados al total de radicados son 148.567 que cumplen con la asignación correcta a las dependencias; lo que representa un porcentaje de cumplimiento del  99,39% en dicho periodo, teniendo en cuenta que la meta es del 98%, el indicador se cumplió. _x000a_"/>
    <b v="0"/>
    <m/>
    <s v="2025"/>
    <s v="Elemento"/>
    <s v="sites/PlanAnualdeGestin/Lists/REPORTE SEGUIMIENTO PAG"/>
  </r>
  <r>
    <s v="Secretaria General"/>
    <x v="2"/>
    <x v="56"/>
    <s v="Incrementar el porcentaje de eficiencia en la digitalización y cargue  de los documentos  con cumplimiento de las características de calidad dispuestas por la entidad.​"/>
    <s v="Porcentaje de eficiencia en la digitalización de documentos."/>
    <s v="Número de documentos con calidad en la digitalización y cargue al sistema durante el trimestre  / Número Total de documentos digitalizados durante el trimestre x 100.​"/>
    <s v="Porcentual"/>
    <n v="0.99870000000000003"/>
    <n v="149344"/>
    <n v="149479"/>
    <n v="0.99909686310451595"/>
    <s v="​De 149.479 documentos digitalizados en el primer trimestre (enero, febrero y marzo) de 2025, se tomó una muestra del 5% lo cual arrojó un resultado de 7.473 documentos digitalizados que fueron revisados en los cuales se encontraron un total de 7.467 documentos digitalizados correctamente y que proyectados al total de digitalizados son 149.344 que cumplen con la digitalización correcta; lo que representa un porcentaje de cumplimiento del  99,91% en dicho periodo, teniendo en cuenta que la meta es del 99.87%, el indicador se cumplió_x000a_"/>
    <b v="0"/>
    <m/>
    <s v="2025"/>
    <s v="Elemento"/>
    <s v="sites/PlanAnualdeGestin/Lists/REPORTE SEGUIMIENTO PAG"/>
  </r>
  <r>
    <s v="Secretaria General"/>
    <x v="2"/>
    <x v="57"/>
    <s v="Alcanzar el Nivel de madurez en dos (2) componentes en &quot;Básico&quot; y un (1) componente en &quot;Intermedio&quot; - Modelo de Gestión Documental y Administración de Archivos -MGDA- en 2025 -"/>
    <s v="Nivel de madurez de acuerdo con la matriz de cumplimiento del MGDA"/>
    <s v="Total de los productos cumplidos del MGDA en los dos componentes / Total productos del MGDA requeridos en los 3 componentes programados"/>
    <s v="Porcentual"/>
    <n v="9"/>
    <n v="8"/>
    <n v="8"/>
    <n v="1"/>
    <s v="​La falta de ejecución de la actividad relacionada con el Programa de Gestión Documental -PGD-, incluida entre las 9 actividades programadas en el PAG para el 1er. trimestre, se debió a que no se tenía la información de la formulación del proyecto de inversión 2026-2030 -trabajo iniciado desde noviembre 2024 con culminación junio 2025-, y que es imprescindible para el PGD. Por lo anterior, se solicitó a la OAP ajuste, aprobándose para cumplirse en abril._x000a_"/>
    <b v="1"/>
    <s v="https://acortar.link/m4U2Mq"/>
    <s v="2025"/>
    <s v="Elemento"/>
    <s v="sites/PlanAnualdeGestin/Lists/REPORTE SEGUIMIENTO PAG"/>
  </r>
  <r>
    <s v="Secretaria General"/>
    <x v="2"/>
    <x v="58"/>
    <s v="Realizar campañas de socialización sobre el manejo de los procesos del Grupo de Correspondencia"/>
    <s v="Campañas de socialización sobre el manejo de los procesos del Grupo de Correspondencia"/>
    <s v="Número de campañas de socialización sobre el manejo de los procesos del Grupo de Correspondencia"/>
    <s v="Numérica"/>
    <n v="3"/>
    <n v="3"/>
    <n v="3"/>
    <n v="1"/>
    <s v="​En el primer trimestre de 2025 (enero, febrero y marzo) se realizaron tres campañas de comunicaciones. El indicador se cumplió. _x000a_"/>
    <b v="0"/>
    <m/>
    <s v="2025"/>
    <s v="Elemento"/>
    <s v="sites/PlanAnualdeGestin/Lists/REPORTE SEGUIMIENTO PAG"/>
  </r>
  <r>
    <s v="Secretaria General"/>
    <x v="2"/>
    <x v="59"/>
    <s v="Ejecutar cronograma de actividades para la implementación y sostenibilidad de la política Gestión Presupuestal y Eficiencia del Gasto Público"/>
    <s v="Ejecución de cronograma de actividades para la implementación y sostenibilidad de la política Gestión Presupuestal y Eficiencia del Gasto Público"/>
    <s v="Número de actividades ejecutadas para la implementación y sostenibilidad de la política Gestión Presupuestal y Eficiencia del Gasto Público"/>
    <s v="Numérica"/>
    <n v="4"/>
    <n v="4"/>
    <n v="4"/>
    <n v="1"/>
    <s v="​Se llevó a cabo el cumplimiento de las 4 actividades programadas para el primer trimestre de la siguiente manera:                                                                                                                                                Enero:_x000a__x000a_Actividad 1:_x000a__x000a_*Se envió el 4 de febrero de 2025 a través de correo electrónico institucional el Informe de la Ejecución Presupuestal a cada una de las Dependencias junto con los saldos de RP al corte de enero de 2025._x000a__x000a__x000a_*Se realizó Mesa de trabajo el 6 de febrero de 2025 con los enlaces de las dependencias que tienen asignado recursos de funcionamiento e inversión en la vigencia 2025 abordar los siguientes temas:_x000a__x000a__x000a_1.Informar la Ejecución Presupuestal de la entidad y de las dependencias al 31 de Enero 2025_x000a_2.Informar la Ejecución de Tiquetes aéreos al 31 de Enero 2025_x000a_3.Reservas Presupuestales al 31 de Diciembre de 2024 (Ejecutar en 2025)_x000a_4.Lineamientos frente a trámites presupuestales_x000a__x000a__x000a__x000a_Febrero:_x000a__x000a_Actividad 2:_x000a__x000a__x000a_*Se envió el 3 de marzo de 2025 a través de correo electrónico institucional el Informe de la Ejecución Presupuestal a cada una de las Dependencias junto con los saldos de RP al corte de febrero de 2025._x000a__x000a__x000a_*Se realizó Mesa de trabajo el 7 de marzo de 2025 con los enlaces de las dependencias que tienen asignado recursos de funcionamiento e inversión en la vigencia 2025 abordar los siguientes temas:_x000a__x000a__x000a_*Informar la Ejecución Presupuestal de la entidad y de las dependencias al 28 de Febrero 2025 _x000a_*Informar la Ejecución de Tiquetes aéreos al 28 de Febrero 2025 _x000a_*Reservas Presupuestales al 31 de Diciembre de 2024 (Ejecutadas en 2025) _x000a_*Lineamientos frente a trámites presupuestales _x000a__x000a__x000a_Marzo:_x000a__x000a_Actividad 3:_x000a__x000a__x000a_*Se envió el 2 de abril de 2025 a través de correo electrónico institucional el Informe de la Ejecución Presupuestal a cada una de las Dependencias junto con los saldos de RP al corte de marzo de 2025._x000a__x000a__x000a_*Se realizó Mesa de trabajo el 7 de abril de 2025 con los enlaces de las dependencias que tienen asignado recursos de funcionamiento e inversión en la vigencia 2025 abordar los siguientes temas:_x000a__x000a__x000a_•Informar la Ejecución Presupuestal de la entidad y de las dependencias al 31 de marzo 2025_x000a_•Informar la Ejecución de Tiquetes aéreos al 31 de marzo 2025_x000a_•Reservas Presupuestales al 31 de diciembre de 2024 (Ejecutadas en 2025)_x000a_•Lineamientos frente a trámites presupuestales_x000a__x000a__x000a__x000a_Actividad 4:_x000a__x000a_Se realizó la primera capacitación a las dependencias que ejecutan el presupuesto sobre los procedimientos y trámites de gestión presupuestal en la cual se abordo temas como:_x000a_-Programación Presupuestal_x000a_-Ejecución Presupuestal (CDP, Registro Presupuestal, Reserva Presupuestal, (ezago Presupuestal)_x000a_-Traslados Presupuestales y Vigencias Futuras_x000a_-Seguimiento a la Ejecución Presupuestal_x000a__x000a__x000a__x000a_Se adjuntan carpetas con evidencias de las actividades realizadas._x000a__x000a__x000a__x000a_"/>
    <b v="0"/>
    <m/>
    <s v="2025"/>
    <s v="Elemento"/>
    <s v="sites/PlanAnualdeGestin/Lists/REPORTE SEGUIMIENTO PAG"/>
  </r>
  <r>
    <s v="Secretaria General"/>
    <x v="2"/>
    <x v="60"/>
    <s v="Medir y reportar la ejecución total del presupuesto en compromisos."/>
    <s v="Ejecución total del presupuesto en Compromisos"/>
    <s v="(Compromisos total / Apropiación total final)*100"/>
    <s v="Porcentual"/>
    <n v="0.2"/>
    <n v="96859043620"/>
    <n v="326211744691"/>
    <n v="0.29692077368872299"/>
    <s v=" La apropiación asignada a la Superintendencia Nacional de Salud (SNS) para la vigencia 2025 ascendió a $326.211.744.691. De este total, se ejecutaron compromisos por la suma de $96.859.043.620, lo que representa el 29,7% de la apropiación. Este resultado es mayor al 20% al programado en los indicadores de gestión, significa que se cumple a satisfacción el indicador._x000a_En cuanto a la ejecución presupuestal de los recursos de funcionamiento e inversión, se presenta lo siguiente:_x000a_ _x000a_• Recursos de funcionamiento: $67.687.413.848,64, lo que representa el 28,3% de la apropiación vigente de $239.012.900.000._x000a_• Recursos de inversión: $29.171.629.771,44, equivalente al 33,5% de la apropiación vigente de $87.198.844.691_x000a_ _x000a_Es importante resaltar que la ejecución por obligaciones alcanzó los $49.670.956.864,92 lo que representa el 15,2%, y la ejecución por pagos fue de $49.626.084.256,92 equivalente al 15,2%._x000a__x000a_"/>
    <b v="0"/>
    <m/>
    <s v="2025"/>
    <s v="Elemento"/>
    <s v="sites/PlanAnualdeGestin/Lists/REPORTE SEGUIMIENTO PAG"/>
  </r>
  <r>
    <s v="Secretaria General"/>
    <x v="2"/>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122"/>
    <n v="122"/>
    <n v="1"/>
    <s v="Durante el mes de Marzo, se gestionaron  122 cuentas que fueron radicadas en los tiempos estipulados de acuerdo con la Circular Interna 2022920020000026-4 de 2022,asi mismo, los documentos radicados despues del dia 25 calendario se tramitaron en el siguiente mes. Por lo cual, se cumplió con la meta del indicador del 100%, (122/122) habiendo gestionado la totalidad de las cuentas radicadas con un tiempo de gestión de 1,5 dias hábiles. Se adjunta base con relación de cuentas radicadas y gestionadas, asi como el reporte del indicador con la correspondiente gráfica."/>
    <b v="0"/>
    <m/>
    <s v="2025"/>
    <s v="Elemento"/>
    <s v="sites/PlanAnualdeGestin/Lists/REPORTE SEGUIMIENTO PAG"/>
  </r>
  <r>
    <s v="Secretaria General"/>
    <x v="2"/>
    <x v="61"/>
    <s v="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
    <s v="Porcentaje de avance en la ejecución del Plan Estratégico de Desarrollo del Talento Humano"/>
    <s v="(Número de actividades ejecutadas en el periodo / Número de actividades programadas en el cronograma del Plan Estratégico de Desarrollo del Talento Humano en el periodo)*100"/>
    <s v="Porcentual"/>
    <n v="11"/>
    <n v="11"/>
    <n v="11"/>
    <n v="1"/>
    <s v="​_x000a_Para el primer trimestre de la vigencia se consiguió un porcentaje de cumplimiento de 100% de las actividades programadas para el período, para un porcentaje acumulado del 100% del total de las actividades programadas para la vigencia en la actividad_x000a__x000a__x000a__x000a__x000a_"/>
    <b v="1"/>
    <s v="https://supersalud-my.sharepoint.com/:f:/r/personal/camila_jaime_supersalud_gov_co/Documents/SNS/DOCUMENTOS/SEGUIMIENTO%20PAG/2025/PAG%20I%20TRIM/PLAN%20ESTRAT%C3%89GICO%20DE%20TALENTO%20HUMANO?csf=1&amp;web=1&amp;e=2h6FzN"/>
    <s v="2025"/>
    <s v="Elemento"/>
    <s v="sites/PlanAnualdeGestin/Lists/REPORTE SEGUIMIENTO PAG"/>
  </r>
  <r>
    <s v="Secretaria General"/>
    <x v="2"/>
    <x v="62"/>
    <s v="Ejecutar el Cronograma del plan institucional de capacitación (Componente de Gestión del Desarrollo)"/>
    <s v="Porcentaje de avance en la ejecución del Plan institucional de capacitación"/>
    <s v="(Número de actividades ejecutadas en el período / Número de actividades programadas en el cronograma del Plan institucional de capacitación)*100"/>
    <s v="Porcentual"/>
    <n v="1"/>
    <n v="1"/>
    <n v="1"/>
    <n v="1"/>
    <s v="​_x000a_Para el primer trimestre de la vigencia se consiguió un porcentaje de cumplimiento de 100% de las actividades programadas para el período, para un porcentaje acumulado del 100% del total de las actividades programadas para la vigencia en la actividad_x000a__x000a__x000a_"/>
    <b v="1"/>
    <s v="https://supersalud-my.sharepoint.com/:f:/r/personal/camila_jaime_supersalud_gov_co/Documents/SNS/DOCUMENTOS/SEGUIMIENTO%20PAG/2025/PAG%20I%20TRIM/PLAN%20INSTITUCIONAL%20DE%20CAPACITACI%C3%93N?csf=1&amp;web=1&amp;e=BfTYE4"/>
    <s v="2025"/>
    <s v="Elemento"/>
    <s v="sites/PlanAnualdeGestin/Lists/REPORTE SEGUIMIENTO PAG"/>
  </r>
  <r>
    <s v="Secretaria General"/>
    <x v="2"/>
    <x v="63"/>
    <s v="Ejecutar el Cronograma del plan de bienestar social y estímulos (Componente Gestión de la Relaciones Humanas)"/>
    <s v="Porcentaje de avance en la ejecución del Plan de bienestar social y estímulos"/>
    <s v="(Número de actividades ejecutadas en el período / Número de actividades programadas en el cronograma del Plan de bienestar social y estímulos)*100"/>
    <s v="Porcentual"/>
    <n v="14"/>
    <n v="14"/>
    <n v="14"/>
    <n v="1"/>
    <s v="​_x000a_Para el primer trimestre de la vigencia se consiguió un porcentaje de cumplimiento de 100% de las actividades programadas para el período, para un porcentaje acumulado del 100% del total de las actividades programadas para la vigencia en la actividad_x000a__x000a__x000a__x000a__x000a_"/>
    <b v="1"/>
    <s v="https://supersalud-my.sharepoint.com/:f:/r/personal/camila_jaime_supersalud_gov_co/Documents/SNS/DOCUMENTOS/SEGUIMIENTO%20PAG/2025/PAG%20I%20TRIM/PLAN%20DE%20BIENESTAR%20SOCIAL%20E%20INCENTIVOS?csf=1&amp;web=1&amp;e=bNgtVY"/>
    <s v="2025"/>
    <s v="Elemento"/>
    <s v="sites/PlanAnualdeGestin/Lists/REPORTE SEGUIMIENTO PAG"/>
  </r>
  <r>
    <s v="Secretaria General"/>
    <x v="2"/>
    <x v="64"/>
    <s v="Ejecutar el Cronograma del plan Anual de Seguridad y salud en el Trabajo (Componente de Gestión de las Relaciones Humanas)"/>
    <s v="Porcentaje de avance en la ejecución del Plan anual de Seguridad y Salud en el Trabajo"/>
    <s v="(Número de actividades ejecutadas en el periodo / Número de actividades programadas en el cronograma del Plan anual de Seguridad y Salud en el Trabajo) *100"/>
    <s v="Porcentual"/>
    <n v="10"/>
    <n v="10"/>
    <n v="10"/>
    <n v="1"/>
    <s v="​_x000a_Para el primer trimestre de la vigencia se consiguió un porcentaje de cumplimiento de 100% de las actividades programadas para el período, para un porcentaje acumulado del 100% del total de las actividades programadas para la vigencia en la actividad_x000a__x000a__x000a__x000a__x000a_"/>
    <b v="1"/>
    <s v="https://supersalud-my.sharepoint.com/:f:/r/personal/camila_jaime_supersalud_gov_co/Documents/SNS/DOCUMENTOS/SEGUIMIENTO%20PAG/2025/PAG%20I%20TRIM/PLAN%20ANUAL%20DE%20SST?csf=1&amp;web=1&amp;e=9yEL2G"/>
    <s v="2025"/>
    <s v="Elemento"/>
    <s v="sites/PlanAnualdeGestin/Lists/REPORTE SEGUIMIENTO PAG"/>
  </r>
  <r>
    <s v="Secretaria General"/>
    <x v="2"/>
    <x v="65"/>
    <s v="Ejecutar el cronograma para la implementación de la Política de integridad del Modelo Integrado de Gestión. ( Componente de Gestión de las Relaciones Humanas)"/>
    <s v="Porcentaje acumulado de avance en la ejecución del cronograma para la implementación de la política de integridad"/>
    <s v="(Número de actividades ejecutadas en el periodo / Número de actividades programadas en el cronograma para la implementación de la política de integridad)*100"/>
    <s v="Porcentual"/>
    <n v="1"/>
    <n v="1"/>
    <n v="1"/>
    <n v="1"/>
    <s v="Para el primer trimestre de la vigencia se consiguió un porcentaje de cumplimiento de 100% de las actividades programadas para el período, para un porcentaje acumulado del 100% del total de las actividades programadas para la vigencia en la actividad_x000a__x000a__x000a__x000a_"/>
    <b v="1"/>
    <s v="https://supersalud-my.sharepoint.com/:f:/r/personal/camila_jaime_supersalud_gov_co/Documents/SNS/DOCUMENTOS/SEGUIMIENTO%20PAG/2025/PAG%20I%20TRIM/PLAN%20DE%20IMPLEMENTACI%C3%93N%20INTEGRIDAD?csf=1&amp;web=1&amp;e=YGuebq"/>
    <s v="2025"/>
    <s v="Elemento"/>
    <s v="sites/PlanAnualdeGestin/Lists/REPORTE SEGUIMIENTO PAG"/>
  </r>
  <r>
    <s v="Delegatura para Entidades Territoriales y Generadores y Recaudadores y Administradores de Recursos del SGSSS"/>
    <x v="3"/>
    <x v="66"/>
    <s v="Realizar auditorías para verificar el cumplimiento de las funciones y obligaciones de los vigilados de la Delegada."/>
    <s v="Auditorías de Inspección y Vigilancia realizadas por la Delegada de Entidades territoriales"/>
    <s v="Número de Auditorías realizadas"/>
    <s v="Numérica"/>
    <n v="7"/>
    <n v="4"/>
    <n v="7"/>
    <n v="0.57142857142857095"/>
    <s v="​Se realizaron 4 auditorías en el cuatrimestre._x000a_ Dos de estas auditorías fueron compartidas con la Delegada de Aseguramiento quien ordenó las mismas, sin embargo, como puede evidenciarse en los autos, funcionarios de la Delegada para Entidades Territoriales trabajaron como auditores en tales auditorías junto con funcionarios de la Delegada de Aseguramiento._x000a__x000a_Las auditorías fueron en: * Departamento delQuindío, Secretaría Departamental de Salud_x000a_* CAJA DECOMPENSACIÓN FAMILIAR DEL ORIENTE COLOMBIANO “COMFAORIENTE EPSS” (Compartida)_x000a_* Municipio de Neiva, Secretaría de Salud._x000a_* Mutual Ser (Compartida)_x000a__x000a__x000a_La meta no se cumplió puesto que desde la delegada para entidades territoriales surgieron otras actividades de Inspección y vigilancia que requirieron atención inmediata.  Además, se tiene planeado realizar en los próximos meses, las auditorías que no se lograron en este cuatrimestre, con lo que la Delegada se pondrá al día en este indicador en próximos períodos._x000a__x000a__x000a_"/>
    <b v="0"/>
    <m/>
    <s v="2025"/>
    <s v="Elemento"/>
    <s v="sites/PlanAnualdeGestin/Lists/REPORTE SEGUIMIENTO PAG"/>
  </r>
  <r>
    <s v="Delegatura para Entidades Territoriales y Generadores y Recaudadores y Administradores de Recursos del SGSSS"/>
    <x v="3"/>
    <x v="20"/>
    <s v="Realizar seguimiento y verificación de las auditorias realizadas"/>
    <s v="Seguimientos a las auditorías de Inspección y Vigilancia Realizadas"/>
    <s v="Numero de Seguimientos realizados"/>
    <s v="Numérica"/>
    <n v="4"/>
    <n v="4"/>
    <n v="4"/>
    <n v="1"/>
    <s v="​_x000a_Se realizan los 4 seguimientos programados para el período.  Estos se realizaron a:_x000a__x000a_* Dosquebradas_x000a__x000a_* Villavicencio_x000a__x000a_* Puerto Asís_x000a_* Amazonas.  _x000a__x000a_Se adjuntan los Oficios que se radicaron a los respectivos secretarios de salud._x000a_Frente al Oficio de Amazonas, debe tenerse en cuenta que si bien el asunto es &quot;_x000a__x000a__x000a__x000a_&quot;Convocatoria Mesa de Inspección y Vigilancia al Departamento de Amazonas– Secretaría Departamental de Salud.&quot;, esta mesa se hace con el propósito de &quot;_x000a__x000a__x000a__x000a_hacer seguimiento a los incumplimientos identificados en el marco de auditoría específica y mesa de trabajo realizada frente a los componentes de salud pública, financiamiento, acceso y garantía de la calidad, y análisis y evaluación. &quot;  _x000a_Es decir, es una mesa de inspección y vigilancioa cuyo objeto es hacer seguimiento a una auditoría._x000a_Igualmente en los otros oficios también puede evidenciarse que se hacen los respectivos seguimeintos a las auditorías.  _x000a_Los oficios muestran que se realizaron los seguimientos.  Si se desea revisar todos los adjuntos de los mismos, esto puede hacerse en super argo con los numeros de radicado.      _x000a__x000a_"/>
    <b v="0"/>
    <m/>
    <s v="2025"/>
    <s v="Elemento"/>
    <s v="sites/PlanAnualdeGestin/Lists/REPORTE SEGUIMIENTO PAG"/>
  </r>
  <r>
    <s v="Delegatura para Entidades Territoriales y Generadores y Recaudadores y Administradores de Recursos del SGSSS"/>
    <x v="3"/>
    <x v="67"/>
    <s v="Realizar mesas internas de apropiación y aplicabilidad del Sistema Integrado de Gestión a los funcionarios de la Delegada."/>
    <s v="Mesas ejecutadas para la apropiación del Sistema Integrado de Gestión al interior de la Delegada."/>
    <s v="Número de mesas ejecutadas para la apropiación del Sistema Integrado de Gestión al interior de la Delegada realizadas"/>
    <s v="Numérica"/>
    <n v="4"/>
    <n v="4"/>
    <n v="4"/>
    <n v="1"/>
    <s v="​Se realizaron las 4 mesas de apropiación del SIG programadas._x000a__x000a_En el marco de las autoevaluaciones generalmente se refuerza la aprehensión del SIG y se diseñan presentaciones especialmente para esto._x000a__x000a_Así las cosas, en Febrero, Marzo y Abril, en el marco de las mencionadas reunones, se realizó también apropiación del SIG como consta en las actas y en las presentaciones adjuntas.  Se hizo eénfasis en los procesos , en especial Seguimiento y evaluación al vigilado, y se dieron TIPS sobre gestión de calidad como puede verse en las 3 presentaciones de los menses mencionados._x000a__x000a_En el mes de enero también se realizó una mesa de aprehensión del SIG, esta vez dirigida por la Regional Andina, la cual pertenece a nuestra Delegada de acuerdo al decreto 1080 de 2021.  Esta mesa se enfocó en el sistema de gestión ambiental, el cual es un componente muy importante del SIG._x000a__x000a__x000a_"/>
    <b v="0"/>
    <m/>
    <s v="2025"/>
    <s v="Elemento"/>
    <s v="sites/PlanAnualdeGestin/Lists/REPORTE SEGUIMIENTO PAG"/>
  </r>
  <r>
    <s v="Delegatura para Entidades Territoriales y Generadores y Recaudadores y Administradores de Recursos del SGSSS"/>
    <x v="3"/>
    <x v="68"/>
    <s v="Realizar mesas técnicas de fortalecimiento de competencias dirigidas a los sujetos vigilados de la Delegada de acuerdo a su competencia."/>
    <s v="Mesas Técnicas para el fortalecimiento de competencias"/>
    <s v="Número de Mesas Técnicas realizadas"/>
    <s v="Numérica"/>
    <n v="6"/>
    <n v="6"/>
    <n v="6"/>
    <n v="1"/>
    <s v="​Se realizaron las 6 mesas de fortalecimiento de competencias de la siguiente manera:_x000a__x000a_* 3 Mesas de Fortalecimiento de competencias en el aplicativo / Guía de Auditoría GAUDI a todas las Entidades territoriales Se hacen 3 mesas ya que se dividen las entidades territoriales en 3 grupos como se ve en la evidencia adjunta._x000a__x000a_* 1 mesa de fortalecimiento de competencias en circular 030 en el chocó_x000a_* 1 mesa de fortalecimiento de competencias en Rentas cedidas en el departamento del quindío.  Se aclara que dentro de la mesa de inspección y vigilancia, también se realizó fortalecimiento de competencias a los vigilados en este tema._x000a__x000a_* 1 mesa de fortalecimiento de competencias en Fiscalización de rentas cedidas para el departamento del Vichada.  Se aclara que dentro de la mesa de inspección y vigilancia, también se realizó fortalecimiento de competencias a los vigilados en este tema._x000a_"/>
    <b v="0"/>
    <m/>
    <s v="2025"/>
    <s v="Elemento"/>
    <s v="sites/PlanAnualdeGestin/Lists/REPORTE SEGUIMIENTO PAG"/>
  </r>
  <r>
    <s v="Delegatura para Entidades Territoriales y Generadores y Recaudadores y Administradores de Recursos del SGSSS"/>
    <x v="3"/>
    <x v="69"/>
    <s v="Ejecutar las actividades de apoyo a las Delegadas y Oficinas de la SNS por parte de las direcciones regionales conforme a los Acuerdos de nivel de servicio"/>
    <s v="Porcentaje de acciones ejecutadas en el marco de los ANS con las Dependencias de la Entidad"/>
    <s v="Número acciones ejecutadas / Número de acciones que sean requeridas"/>
    <s v="Porcentual"/>
    <n v="1"/>
    <n v="514"/>
    <n v="514"/>
    <n v="1"/>
    <s v="​En indicador es a demanda de acuerdo a las necesidades de articulación con las delegadas para apoyar el IV con los respectivos actores del sistema._x000a__x000a_En este período se realizaron a demanda 514 acciones de apoyo a las Delegadas en territorio, tal como se muestran en la base de datos en excel que se adjunta._x000a__x000a_También se adjunta un enlace donde están las evidencias que se listan en el mencionado excel._x000a__x000a_Se anexan las evidencias correspondientes dentro del URL adjunto,  ya que hay evidencias de todas las regionales y estas son muy pesadas para ser cargadas aquí.  Se han concedido algunos permisos para este URL. ( Mónica Liliana Salazar, Gloria Rocío PEreira, Peter William VArgas, Johana Patricia Orjuela).  Si Alguien mas de la OAP o de la OCI requiere ingresar al URL, solicitarlo a Rafael Enrique García Cadavid._x000a_"/>
    <b v="1"/>
    <s v="https://supersalud-my.sharepoint.com/:f:/r/personal/rafael_garcia_supersalud_gov_co/Documents/EVIDENCIAS%20PEI%20DET/ACTORES%20DEL%20SISTEMA?csf=1&amp;web=1&amp;e=kJqLJg"/>
    <s v="2025"/>
    <s v="Elemento"/>
    <s v="sites/PlanAnualdeGestin/Lists/REPORTE SEGUIMIENTO PAG"/>
  </r>
  <r>
    <s v="Delegatura para Entidades Territoriales y Generadores y Recaudadores y Administradores de Recursos del SGSSS"/>
    <x v="3"/>
    <x v="70"/>
    <s v="Realizar mesas de Inspección y Vigilancia a los sujetos vigilados de la Delegada conforme a la priorización realizada."/>
    <s v="Ejecución de las mesas de Inspección y Vigilancia programadas."/>
    <s v="Mesas de Inspección y Vigilancia realizadas"/>
    <s v="Numérica"/>
    <n v="14"/>
    <n v="14"/>
    <n v="14"/>
    <n v="1"/>
    <s v="​Se realizaron las 14 Mesas de Inspección y Vigilancia Programadas._x000a__x000a_Estas se desarrollaron en:_x000a_* Cáceres_x000a_* Marmato_x000a_* Neira_x000a_* González - Cesar_x000a_* Bagadó_x000a_* El Tarra Norte de Santander_x000a_* Sabanagrande_x000a_* Villanueva_x000a_* Vichada_x000a_* Tolima_x000a_* Eje Cafetero_x000a_* Huila_x000a_* Putumayo_x000a_* Dolores_x000a__x000a__x000a_"/>
    <b v="0"/>
    <m/>
    <s v="2025"/>
    <s v="Elemento"/>
    <s v="sites/PlanAnualdeGestin/Lists/REPORTE SEGUIMIENTO PAG"/>
  </r>
  <r>
    <s v="Delegatura para Entidades Territoriales y Generadores y Recaudadores y Administradores de Recursos del SGSSS"/>
    <x v="3"/>
    <x v="71"/>
    <s v="Realizar acciones Integrales en Territorio"/>
    <s v="Territorios con acciones Integrales"/>
    <s v="Número de Acciones Integrales en territorio Ejecutadas"/>
    <s v="Numérica"/>
    <n v="4"/>
    <n v="4"/>
    <n v="4"/>
    <n v="1"/>
    <s v="​Se realizan las 4 acciones integrales en territorio programadas._x000a__x000a_Estas se ejecutaron en:_x000a_* Amazonas_x000a__x000a_* Cáceres_x000a__x000a_* Huila_x000a_* Territorios de la Regional Andina_x000a_Tener en cuenta que la Acción integral en territorio de Amazonas (AIT) Comienza con un acta de inspección y vigilancia para la acción integral en territorio como se puede constatar en el cuerpo de la misma._x000a__x000a__x000a_"/>
    <b v="0"/>
    <m/>
    <s v="2025"/>
    <s v="Elemento"/>
    <s v="sites/PlanAnualdeGestin/Lists/REPORTE SEGUIMIENTO PAG"/>
  </r>
  <r>
    <s v="Delegatura para Entidades Territoriales y Generadores y Recaudadores y Administradores de Recursos del SGSSS"/>
    <x v="3"/>
    <x v="27"/>
    <s v="Realizar Mesas de Gobernanza desde las direcciones regionales"/>
    <s v="Mesas de Gobernanza realizadas en las direcciones regionales."/>
    <s v="Mesas de Gobernanza Realizadas"/>
    <s v="Numérica"/>
    <n v="6"/>
    <n v="6"/>
    <n v="6"/>
    <n v="1"/>
    <s v="​Se realizan actividades derivadas de mesas de Gobernanza en las siguientes Entidades Territoriales:_x000a__x000a_* Chiquinquirá_x000a__x000a_* Villa de Leyva_x000a_* Garagoa_x000a__x000a_* Tunja_x000a_* Soatá_x000a_* Sogamoso_x000a__x000a_En los exceles adjuntos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_x000a_"/>
    <b v="0"/>
    <m/>
    <s v="2025"/>
    <s v="Elemento"/>
    <s v="sites/PlanAnualdeGestin/Lists/REPORTE SEGUIMIENTO PAG"/>
  </r>
  <r>
    <s v="Delegatura para Operadores Logísticos de Tecnologías en Salud y Gestores Farmacéuticos"/>
    <x v="3"/>
    <x v="72"/>
    <s v="Tramitar los reclamos en salud trasladados por la Delegada de Protección al Usuario a la Delegada para Operadores Logísticos de Tecnologías en Salud y Gestores Farmacéuticos"/>
    <s v="Porcentaje de reclamos en salud trasladados por la Delegada para la Protección al Usuario a la DOLTS-GF finalizados tramitados"/>
    <s v="(Sumatoria del número de reclamos en salud trasladados por DPU finalizados / Número de reclamos en salud trasladados por DPU) * 100"/>
    <s v="Porcentual"/>
    <n v="0.96"/>
    <n v="155"/>
    <n v="160"/>
    <n v="0.96875"/>
    <s v="​En  el periodo de enero a   abril del 2025, el 96,88% (155) de los     reclamos en salud que fueron trasladados por la Delegada de Protección   al Usuario a la Delegada para Operadores Logísticos de Tecnologías en Salud y   Gestores Farmacéuticos  fueron   tramitados y finalizados y el 3,12% (5)    se encuentran en desarrollo.   _x000a__x000a__x000a_"/>
    <b v="0"/>
    <m/>
    <s v="2025"/>
    <s v="Elemento"/>
    <s v="sites/PlanAnualdeGestin/Lists/REPORTE SEGUIMIENTO PAG"/>
  </r>
  <r>
    <s v="Delegatura para Operadores Logísticos de Tecnologías en Salud y Gestores Farmacéuticos"/>
    <x v="3"/>
    <x v="73"/>
    <s v="Gestionar las solicitudes de información y/ reclamos en salud presentados por los grupos de valor o de interés a la Delegada para Operadores Logísticos de Tecnologías en Salud y Gestores Farmacéuticos"/>
    <s v="Porcentaje de solicitudes de información y/ reclamos en salud gestionados finalizados tramitados a los grupos de valor o de interés de la SNS presentados a la DOLTS-GF"/>
    <s v="(Sumatoria del número de solicitudes de información y/ reclamos en salud finalizados / Número de solicitudes de información y/ reclamos en salud interpuestos por los grupos de valor o de interés) * 100"/>
    <s v="Porcentual"/>
    <n v="0.96"/>
    <n v="828"/>
    <n v="919"/>
    <n v="0.900979325353645"/>
    <s v="​En  el periodo de enero a   abril del 2025, el  90,10% (828)  de los tramites presentados por los grupos   de valor o de interés a la Delegada para Operadores Logísticos de Tecnologías   en Salud y Gestores Farmacéuticos    fueron tramitados  y  finalizados y  el    9,9 % (91)  se encuentran en   desarrollo._x000a__x000a_     Es importante indicar que aunque no se cumplio con el objetivo, la   DOLTS_GF, para el primer cuatrimestres del 2025 presento un incremento de 439   reclamos en comparación con el año anterior    y  asi mismo el número de   funcioarios se encuentra disminuido con respecto al año anterior_x000a__x000a__x000a_"/>
    <b v="0"/>
    <m/>
    <s v="2025"/>
    <s v="Elemento"/>
    <s v="sites/PlanAnualdeGestin/Lists/REPORTE SEGUIMIENTO PAG"/>
  </r>
  <r>
    <s v="Delegatura para Operadores Logísticos de Tecnologías en Salud y Gestores Farmacéuticos"/>
    <x v="3"/>
    <x v="74"/>
    <s v="Gestionar solicitudes de información y/ reclamos en salud presentados por falta de oportunidad en la entrega o entrega incompleta de Tecnologías en salud presentados por los grupos de valor o interés a la Delegada para Operadores Logísticos de Tecnologías en Salud y Gestores Farmacéuticos"/>
    <s v="Porcentaje de solicitudes de información y/ reclamos en salud finalizados por falta de oportunidad en la entrega o entrega incompleta de tecnologías en salud tramitados a los grupos de valor o interés de la SNS presentados a la DOLTS-GF"/>
    <s v="(Sumatoria del número de solicitudes de información y/ reclamos en salud finalizados por falta de oportunidad en la entrega o entrega incompleta de tecnologías en salud en el periodo / Número de solicitudes de información y/ reclamos en salud interpuestos por los grupos de valor o interés por falta de oportunidad en la entrega o entrega incompleta de tecnologías en salud) * 100"/>
    <s v="Porcentual"/>
    <n v="0.96"/>
    <n v="102"/>
    <n v="106"/>
    <n v="0.96226415094339601"/>
    <s v="​En  el periodo de enero a   abril del 2025,  el 96,23% (102) de   los   reclamos en salud relacionados   con  falta de oportunidad en la entrega   o entrega incompleta de Tecnologías en salud    fueron  tramitados y  finalizados y el 3,77% (4)  se encuentran en desarrollo.   _x000a__x000a__x000a_"/>
    <b v="0"/>
    <m/>
    <s v="2025"/>
    <s v="Elemento"/>
    <s v="sites/PlanAnualdeGestin/Lists/REPORTE SEGUIMIENTO PAG"/>
  </r>
  <r>
    <s v="Delegatura para Operadores Logísticos de Tecnologías en Salud y Gestores Farmacéuticos"/>
    <x v="3"/>
    <x v="35"/>
    <s v="Realizar actividades de socialización, asistencia técnica, mesas de trabajo o acompañamiento a los actores del SGSSS respecto a la operación de los Gestores Farmacéuticos Gestores Farmacéuticos y/u Operadores Logísticos de Tecnologías en Salud"/>
    <s v="Actividades de socialización, asistencia técnica, mesas de trabajo o acompañamiento a los actores del SGSSS respecto a la operación de los GF y/u OLTS"/>
    <s v="Número de actividades de socialización, asistencia técnica, mesas de trabajo o acompañamiento a los actores del SGSSS respecto a la operación de los GF y/u OLTS"/>
    <s v="Numérica"/>
    <n v="1"/>
    <n v="1"/>
    <n v="1"/>
    <n v="1"/>
    <s v="​En el marco  PMU sobre medicamentos que lidera la Defensoria del Pueblo para el Departamento de Caldas, se desarrollo socialización y participación por parte del Grupo Tecnico cientifico de la Delegada para Operadores Logisticos de Tecnologias en Salud y Gestores Farmaceuticos, en la actividad participaron 15 asistentes y se desarrollo en la ciudad de Manizalez, de esta manera se da cumplimiento al 100% de lo propuesto en el PAG para el mes de abril 2025_x000a_"/>
    <b v="0"/>
    <m/>
    <s v="2025"/>
    <s v="Elemento"/>
    <s v="sites/PlanAnualdeGestin/Lists/REPORTE SEGUIMIENTO PAG"/>
  </r>
  <r>
    <s v="Delegatura para Operadores Logísticos de Tecnologías en Salud y Gestores Farmacéuticos"/>
    <x v="3"/>
    <x v="36"/>
    <s v="Realizar acompañamiento a las Direcciones Regionales en actividades de IVC a los Operadores Logísticos de Tecnologías en Salud y/o Gestores Farmacéuticos de su jurisdicción"/>
    <s v="Actividades de acompañamiento a las Direcciones Regionales en actividades de IVC a los Operadores Logísticos de Tecnologías en Salud y/o Gestores Farmacéuticos de su jurisdicción"/>
    <s v="Número de actividades de acompañamiento a las Direcciones Regionales en actividades de IVC a los Operadores Logísticos de Tecnologías en Salud y/o Gestores Farmacéuticos de su jurisdicción"/>
    <s v="Numérica"/>
    <n v="2"/>
    <n v="2"/>
    <n v="2"/>
    <n v="1"/>
    <s v="​Se realizaron 2 actividades de acompañamiento a las Direcciones Regionales en actividades de IVC a los Gestores Farmacéuticos  Discolmets y Audifarma en la ciudad de Duitama, perteneciente a la regional Nororiental   estas acciones son fundamentales en el cumplimiento de las funciones de IVC de nuestra Delegada, se da cumplimiento al 100% de lo planteado en el PAG para abril 2025._x000a_"/>
    <b v="1"/>
    <s v="https://supersalud-my.sharepoint.com/:f:/r/personal/angelica_castro_supersalud_gov_co/Documents/APOYO%20REGIONALES?csf=1&amp;web=1&amp;e=yY2xXN"/>
    <s v="2025"/>
    <s v="Elemento"/>
    <s v="sites/PlanAnualdeGestin/Lists/REPORTE SEGUIMIENTO PAG"/>
  </r>
  <r>
    <s v="Dirección de Innovación y Desarrollo"/>
    <x v="3"/>
    <x v="75"/>
    <s v="Generar estrategia para la caracterización de grupos de interés y de valor para la SNS"/>
    <s v="Porcentaje de cumplimiento de la estrategia definida para la caracterización"/>
    <s v="Número de actividades ejecutadas para generar la estrategia para la caracterización de grupos de interés y de valor para la SNS / Número de actividades ejecutadas para generar la estrategia para la caracterización de grupos de interés y de valor para la SNS * 100"/>
    <s v="Porcentual"/>
    <n v="0.33300000000000002"/>
    <n v="0.33"/>
    <n v="1"/>
    <n v="0.33"/>
    <s v="En el marco de las acciones orientadas al fortalecimiento de la caracterización de los grupos de interés y de valor, y en concordancia con las funciones asignadas a la Dirección de Innovación y Desarrollo, se adjudicó un contrato al señor Jaiver Estupiñán. Esta contratación es resultado de la hackatón realizada en 2024, y tiene como objeto la actualización y automatización de las fichas de caracterización de tres grupos de vigilados._x000a_El contrato inició su ejecución en la vigencia actual, y se anexa a este reporte el acta de inicio, el plan de trabajo y el acta del evento de kick-off, como evidencia del avance en la implementación._x000a_"/>
    <b v="0"/>
    <m/>
    <s v="2025"/>
    <s v="Elemento"/>
    <s v="sites/PlanAnualdeGestin/Lists/REPORTE SEGUIMIENTO PAG"/>
  </r>
  <r>
    <s v="Dirección Jurídica"/>
    <x v="3"/>
    <x v="3"/>
    <s v="Realizar actividades tendientes a la consolidación y publicación del boletín jurídico"/>
    <s v="Publicación trimestral del boletín jurídico en la página web de la Entidad"/>
    <s v="Número de boletines publicados en el periodo"/>
    <s v="Numérica"/>
    <n v="1"/>
    <n v="1"/>
    <n v="1"/>
    <n v="1"/>
    <s v="​En el boletín jurídico del primer trimestre del año 2025, se realizó una publicación de conceptos de interés para el publico en general como las oficinas de atención al usuario, la cobertura del SOAT y el manual de identidad de la Superintendencia _x000a_"/>
    <b v="0"/>
    <m/>
    <s v="2025"/>
    <s v="Elemento"/>
    <s v="sites/PlanAnualdeGestin/Lists/REPORTE SEGUIMIENTO PAG"/>
  </r>
  <r>
    <s v="Dirección Jurídica"/>
    <x v="3"/>
    <x v="4"/>
    <s v="Ejecutar cronograma de actividades para la implementación y sostenibilidad de la política de gestión y desempeño de Mejora Normativa"/>
    <s v="Actividades ejecutadas en el cronograma de implementación y sostenibilidad de la política de gestión y desempeño de Mejora Normativa"/>
    <s v="Número de actividades ejecutadas en el cronograma de implementación y sostenibilidad de la política de gestión y desempeño de Mejora Normativa."/>
    <s v="Numérica"/>
    <n v="1"/>
    <n v="1"/>
    <n v="1"/>
    <n v="1"/>
    <s v="​Para el mes de abril de 2025 se llevo a cabo 1 reunió entre la Dirección Jurídica y la Dirección de Innovación y Desarrollo respecto de la implementación de la politica de mejora normativa al interior de la Superintendencia, en la cual se continuo abordando el tema del ciclo de gobernanza relacionado, entre otras, con la emisión de una circular conjunta con el MSPS sobre la prohibición de intermediación del paciente  o usuario en la autorización de servicios_x000a_"/>
    <b v="0"/>
    <m/>
    <s v="2025"/>
    <s v="Elemento"/>
    <s v="sites/PlanAnualdeGestin/Lists/REPORTE SEGUIMIENTO PAG"/>
  </r>
  <r>
    <s v="Oficina Asesora de Comunicaciones"/>
    <x v="3"/>
    <x v="76"/>
    <s v="Realizar seguimiento a través de la herramienta metodológica del comportamiento de los canales digitales de la entidad"/>
    <s v="Informes de seguimiento sobre el comportamiento de canales digitales elaborados."/>
    <s v="Número de informes de seguimiento sobre el comportamiento de canales digitales elaborados."/>
    <s v="Numérica"/>
    <n v="1"/>
    <n v="1"/>
    <n v="1"/>
    <n v="1"/>
    <s v="​En el link adjunto se evidencia el avance y seguimiento de la gestión digital en nuestros canales de comunicación establecidos. Tal es el caso del aumento de seguidores, visualización de conteenidos e interacción de mensajes institucionales._x000a_"/>
    <b v="1"/>
    <s v="https://supersalud.sharepoint.com/:x:/t/OFICINAASESORADECOMUNICACIONESESTRATEGICASEIMAGENINSTITUCIONAL/Ec3reuETaS9Pjr0PlBj578oBH0R36tlKaN0lceybUaYvsQ?e=JHHct6"/>
    <s v="2025"/>
    <s v="Elemento"/>
    <s v="sites/PlanAnualdeGestin/Lists/REPORTE SEGUIMIENTO PAG"/>
  </r>
  <r>
    <s v="Oficina Asesora de Comunicaciones"/>
    <x v="3"/>
    <x v="77"/>
    <s v="Realizar campañas institucionales en el marco de posicionar la imagen de la Superintendencia Nacional de Salud y mejorar la gestión de la reputación institucional."/>
    <s v="Campañas institucionales realizadas"/>
    <s v="Número de campañas institucionales socializadas"/>
    <s v="Numérica"/>
    <n v="1"/>
    <n v="1"/>
    <n v="1"/>
    <n v="1"/>
    <s v="Se realizaon distintas campañas institucionales en el marco de posicionar la imagen de la Superintendencia Nacional de Salud y mejorar la gestión de la reputación institucional._x000a_"/>
    <b v="0"/>
    <m/>
    <s v="2025"/>
    <s v="Elemento"/>
    <s v="sites/PlanAnualdeGestin/Lists/REPORTE SEGUIMIENTO PAG"/>
  </r>
  <r>
    <s v="Oficina Asesora de Comunicaciones"/>
    <x v="3"/>
    <x v="77"/>
    <s v="Realizar campañas institucionales en el marco de posicionar la imagen de la Superintendencia Nacional de Salud y mejorar la gestión de la reputación institucional."/>
    <s v="Campañas institucionales realizadas"/>
    <s v="Número de campañas institucionales socializadas"/>
    <s v="Numérica"/>
    <n v="1"/>
    <n v="1"/>
    <n v="1"/>
    <n v="1"/>
    <s v="​Ante la emergencia sanitaria generada por el brote de fiebre amarilla en Colombia, la Superintendencia Nacional de Salud, en articulación con el Ministerio de Salud y Protección Social, desarrolló una campaña comunicacional orientada a informar y orientar a la ciudadanía, y a reforzar las acciones del sector salud para contener la propagación del virus en las zonas afectadas._x000a_"/>
    <b v="0"/>
    <m/>
    <s v="2025"/>
    <s v="Elemento"/>
    <s v="sites/PlanAnualdeGestin/Lists/REPORTE SEGUIMIENTO PAG"/>
  </r>
  <r>
    <s v="Oficina Asesora de Planeación"/>
    <x v="3"/>
    <x v="78"/>
    <s v="Mejorar la ejecución presupuestal de los gastos de inversión (obligaciones sobre lo comprometido"/>
    <s v="Porcentaje de cumplimiento de los recursos de inversión."/>
    <s v="(Recursos de inversión obligados / Recursos de inversión comprometidos)* 100%"/>
    <s v="Porcentual"/>
    <n v="0.1"/>
    <n v="9919710465"/>
    <n v="87198844691"/>
    <n v="0.11375965473111201"/>
    <s v="​_x000a_A 30 de abril la ejecución (obligaciones) de los recursos de inversión de la entidad fue del 11,38%:_x000a_Obligaciones:       $9.919.710.465_x000a_Total inversión:  $87.198.844.691_x000a_Evidencia: Reporte SIIF nación a 30 de abril de 2025;_x000a_ _x000a_A 30 de abril, del total de los recursos de inversión asignados para la presente vigencia, se han comprometido $34.211.236.392 equivalente al 39,23%, de los cuales se han generado obligaciones por un total de $9.919.710.465 lo que equivale al 11,38% del total de los recursos asignados. De las 18 dependencias ejecutoras de los proyectos de inversión,  8  lograron o superaron la meta planteada del 10% de ejecución sobre las obligaciones: Delegada para la Protección al Usuario, Delegada para Operadores Logísticos, Delegada para la Función Jurisdiccional  y de Conciliación, Delegada para Prestadores de Servicios de Salud, Delegada para Entidades Territoriales, Delegada para Entidades de Aseguramiento en Salud,  Dirección Jurídica, y la Dirección Administrativa-Grupo de Gestión Documental._x000a_Desde la Oficina Asesora de Planeación y la Secretaria General, se han planteado acciones conjuntas que permitan realizar un seguimiento estricto a la ejecución de los gastos de la entidad, que permita generar alertas y la toma de decisiones oportunas para mejorar el nivel de ejecución de las apropiaciones de la presente vigencia fiscal.  Dentro de las acciones encontramos:Seguimiento periodo a la ejecución del Plan Anual de Adquisiciones y generación de alertas por parte de la Dirección de ContrataciónSeguimiento periódico a la ejecución presupuestal de la entidad a través de Comité Institucional de Gestión y DesempeñoSeguimiento a la ejecución presupuestal a través del Comité Directivo._x000a_ _x000a_De igual manera se coloca a disposición de los ejecutores de los proyectos de inversión, y de los funcionarios de la entidad, la ejecución presupuestal desagregada a nivel de proyecto, dependencia, y actividad (formato powerBI.  A la fecha del presente reporte, se encuentra actualizada la información a 31 de marzo, la cual puede ser consultada a trabes de:_x000a_Página web, en la siguiente ruta: Nuestra entidad, Planeación, Proyectos de inversión, Seguimiento_x000a_Intranet, en la siguiente ruta: Tramites y Servicios – Reportes (Ejecución de recursos de inversión)_x000a_ _x000a__x000a_"/>
    <b v="1"/>
    <s v="https://www.supersalud.gov.co/es-co/nuestra-entidad/planeaci%C3%B3n/proyectos-de-inversion"/>
    <s v="2025"/>
    <s v="Elemento"/>
    <s v="sites/PlanAnualdeGestin/Lists/REPORTE SEGUIMIENTO PAG"/>
  </r>
  <r>
    <s v="Oficina de Liquidaciones"/>
    <x v="3"/>
    <x v="79"/>
    <s v="Realizar las acciones para el seguimiento y monitoreo a los vigilados de las liquidaciones Ordenadas por la Superintendencia Nacional de Salud"/>
    <s v="Visitas de seguimiento de las liquidaciones Ordenadas por la Superintendencia Nacional de Salud"/>
    <s v="Número de visitas generadas por la adopción, seguimiento y monitoreo a vigilados en proceso de liquidación en el periodo"/>
    <s v="Numérica"/>
    <n v="1"/>
    <n v="1"/>
    <n v="1"/>
    <n v="1"/>
    <s v="Mediante AUTO N° 2025130000000090-7 DE 27-01-2025 se ordenó realizar el  seguimiento en campo a la EMPRESA PROMOTORA DE SALUD EPSS CONVIDA EN LIQUIDACIÓN, identificada con NIT 899.999.107-9_x000a_"/>
    <b v="0"/>
    <m/>
    <s v="2025"/>
    <s v="Elemento"/>
    <s v="sites/PlanAnualdeGestin/Lists/REPORTE SEGUIMIENTO PAG"/>
  </r>
  <r>
    <s v="Secretaria General"/>
    <x v="3"/>
    <x v="80"/>
    <s v="Fortalecer el conocimiento de los servidores públicos de la SNS en materia disciplinaria, respecto de la nueva normatividad y sus modificaciones, parámetros de trabajo unificados, con el fin de afianzar los valores institucionales y buenas prácticas, garantizando una adecuada prestación del servicio y por ende salvaguardando la función pública."/>
    <s v="Porcentaje de Capacitaciones, Autocapacitaciones y Charlas de Sensibilización y preservación del orden interno en materia disciplinaria"/>
    <s v="(Número de Capacitaciones, Autocapacitaciones y Charlas de Sensibilización y de preservación del orden interno, sobre acciones preventivas disciplinarias y normatividad vigente realizadas en el periodo/ Número de Capacitaciones, Autocapacitaciones y Charlas de Sensibilización y de preservación del orden interno, sobre acciones preventivas disciplinarias y normatividad vigente a realizar en el periodo)*100"/>
    <s v="Porcentual"/>
    <n v="0.15"/>
    <n v="4"/>
    <n v="4"/>
    <n v="1"/>
    <s v="En el primer cuatrimestre (Enero-Abril) de 2025 la Oficina de Control Disciplinario realizo cuatro (4) capacitaciones, charlas en materia disciplinaria, con las siguientes temáticas y participantes: 1) 18/02/2025 (Supervisión y su responsabilidad disciplinaria) 176 participantes  (Virtuales 168 y 8 presencial); 2) 28/02/2025 (Corrupción Publica; Deberes etc CGD  - 45 participantes (presencial); 3) 31/03/2025 (charla sobre derecho de petición y sus consecuencias disciplinarias) -   114 participantes (Virtual); 4) 25/04/2025 (Incompatibilidades y conflicto de intereses código general disciplinario – participantes 75  (Virtual)  -  Total participantes = 430 funcionarios.                         FebreroMarzoAbril_x000a_Total participantes: 176  (Virtuales 168 y 8 presencial)   - Primera 18/02/2025 (Supervisión)_x000a__x000a_Total participantes: 45  (presencial)  - Segunda 28/02/2025 (Corrupción Publica; Deberes etc CGD)_x000a_Total participantes: 114  (Virtual) _x000a_Realizada: 31/03/2025 (charla sobre derecho de petición y sus consecuencias disciplinarias)_x000a_Total participantes: 75  (Virtual) _x000a_Realizada: 25/04/2025 (Incompatibilidades y conflicto de intereses código general disciplinario_x000a__x000a_"/>
    <b v="0"/>
    <m/>
    <s v="2025"/>
    <s v="Elemento"/>
    <s v="sites/PlanAnualdeGestin/Lists/REPORTE SEGUIMIENTO PAG"/>
  </r>
  <r>
    <s v="Secretaria General"/>
    <x v="3"/>
    <x v="6"/>
    <s v="Evaluar y/o calificar los asuntos (NRCD) sobre los cuales se adopte decisión de Inhibitorio, Remisión por Competencia, Indagación Previa y/o Investigación Disciplinaria en etapa de instrucción en el orden en que hayan ingresado a la Oficina de Control Disciplinario Interno, salvo prelación legal o urgencia manifiesta."/>
    <s v="Porcentaje de asuntos (NRCD) sobre los cuales se adopte decisión en la Oficina de Control Disciplinario Interno en etapa de instrucción"/>
    <s v="(Número de asuntos (NRCD) con decisión adoptada en el período/Número total de asuntos (NRCD) recibidos) * 100"/>
    <s v="Porcentual"/>
    <n v="0.3"/>
    <n v="101"/>
    <n v="101"/>
    <n v="1"/>
    <s v="​De las (101) noticias disciplinarias (Quejas, informe de servidor público o de oficio) recibidas en el segundo bimestre de 2025 (Marzo - Abril), se adelantaron las siguientes actuaciones: 17 (17%) Aperturas de indagación Previa; 70 (71%) Autos Inhibitorios; 7 (7%) Traslados por competencia y 6 (6%) Aperturas de Investigación Disciplinaria, profiriendo igual número de autos por el Coordinador del Grupo de Instrucción Disciplinaria en el periodo._x000a_"/>
    <b v="0"/>
    <m/>
    <s v="2025"/>
    <s v="Elemento"/>
    <s v="sites/PlanAnualdeGestin/Lists/REPORTE SEGUIMIENTO PAG"/>
  </r>
  <r>
    <s v="Secretaria General"/>
    <x v="3"/>
    <x v="1"/>
    <s v="Calcular el porcentaje de pagos realizados en los tiempos establecidos en la circular vigente."/>
    <s v="Porcentaje en la oportunidad en la gestión de pagos._x000a_"/>
    <s v="Número de cuentas gestionadas en termino igual o menor a 5 días / Numero de cuentas recibidas para pago en el mes"/>
    <s v="Porcentual"/>
    <n v="1"/>
    <n v="146"/>
    <n v="146"/>
    <n v="1"/>
    <s v="​Durante el mes de Abril, se gestionaron  146 cuentas que fueron radicadas en los tiempos estipulados de acuerdo con la Circular Interna 2022920020000026-4 de 2022,asi mismo, los documentos radicados despues del dia 25 calendario se tramitaron en el siguiente mes. Por lo cual, se cumplió con la meta del indicador del 100%, (146/146) habiendo gestionado la totalidad de las cuentas radicadas con un tiempo de gestión de 1,8 dias hábiles. Se adjunta base con relación de cuentas radicadas y gestionadas, asi como el reporte del indicador con la correspondiente gráfica_x000a_"/>
    <b v="0"/>
    <m/>
    <s v="2025"/>
    <s v="Elemento"/>
    <s v="sites/PlanAnualdeGestin/Lists/REPORTE SEGUIMIENTO PAG"/>
  </r>
  <r>
    <s v="Secretaria General"/>
    <x v="3"/>
    <x v="81"/>
    <s v="Gestionar dentro del término legal establecido las excepciones al mandamiento de pago y las solicitudes de facilidades de pago que cumplan con los requisitos para su otorgamiento."/>
    <s v="Porcentaje de solicitudes de excepciones al mandamiento de pagos y facilidades de pago."/>
    <s v="(número excepciones al mandamiento de pago y facilidades de pago resueltas oportunamente / número excepciones al mandamiento de pago y facilidades de pago solicitadas con cumplimiento de requisitos) *100."/>
    <s v="Porcentual"/>
    <n v="1"/>
    <n v="11"/>
    <n v="11"/>
    <n v="1"/>
    <s v="​Teniendo en cuenta el indicador Plan Anual de Gestión (PAG) correspondiente al Grupo de Cobro Persuasivo y Jurisdicción Coactiva de cara a resolver en el término establecido por la Ley excepciones a Mandamientos de Pago y Facilidades de pago, cuya solicitud cumpla con las condiciones establecidas, se entiende que durante el primer cuatrimestre del año 2025, se recibieron 6 facilidades de pago y 5 excepciones a mandamiento de pago, todas estas solicitudes cumplían con las condiciones necesarias para iniciar el trámite correspondiente, por lo que las 11 fueron atendidas dentro del plazo legal, alcanzando así un cumplimiento del 100%. _x000a_"/>
    <b v="0"/>
    <m/>
    <s v="2025"/>
    <s v="Elemento"/>
    <s v="sites/PlanAnualdeGestin/Lists/REPORTE SEGUIMIENTO PAG"/>
  </r>
  <r>
    <s v="Secretaria General"/>
    <x v="3"/>
    <x v="82"/>
    <s v="Medir la razonabilidad de la cartera sin proceso concursal de la SNS"/>
    <s v="Porcentaje de conciliación de cartera y diferencias reciprocas de SNS con Entidades sin proceso concursal"/>
    <s v="Total de Entidades conciliadas / total Entidades priorizadas de la cartera y diferencias reciprocas reportadas al cierre del año inmediatamente anterior."/>
    <s v="Porcentual"/>
    <n v="1"/>
    <n v="8"/>
    <n v="8"/>
    <n v="1"/>
    <s v="​Durante el primer cuatrimestre de la vigencia 2025, se logró la conciliación de cartera con 8 entidades sin proceso concursal, enlistadas a continuación: Departamento del Cesar; Gobierno Departamental del Tolima; Municipio de Piedras; Empresa Social del Estado Hospital Sagrado Corazón; Dental Solution Limitada; Empresa Social del Estado Hospital San Juan de Dios Floridablanca; Municipio de Planeta Rica; Empresa Social del Estado Hospital de Ponedora. Logrando cumplir la meta del 100%._x000a_"/>
    <b v="0"/>
    <m/>
    <s v="2025"/>
    <s v="Elemento"/>
    <s v="sites/PlanAnualdeGestin/Lists/REPORTE SEGUIMIENTO PAG"/>
  </r>
  <r>
    <s v="Delegatura para Entidades Territoriales y Generadores y Recaudadores y Administradores de Recursos del SGSSS"/>
    <x v="4"/>
    <x v="20"/>
    <s v="Realizar seguimiento y verificación de las auditorias realizadas"/>
    <s v="Seguimientos a las auditorías de Inspección y Vigilancia Realizadas"/>
    <s v="Numero de Seguimientos realizados"/>
    <s v="Numérica"/>
    <n v="5"/>
    <n v="5"/>
    <n v="5"/>
    <n v="1"/>
    <s v="​Durante el mes de mayo, la Superintendencia Delegada para Entidades Territoriales y Generadores, Recaudadores y Administradores de Recursos del SGSSS realizó desde sus diferentes direcciones y grupos de trabajo cinco (5) seguimientos a auditorías ejecutadas, siendo estos: _x000a_1. Departamento de Tolima (Auto Nro. 2024590010000924-7 del 14-08-2024): primer seguimiento._x000a_2. Instituto Departamental de Salud de Nariño (Auto Nro. 2024500010000937-7 del 16 de agosto del 2024): primer seguimiento._x000a_3. Municipio deEl Líbano - Tolima (Auto No. 2024580000000840-7 de 16-07-2024): segundo seguimiento._x000a_4. Departamento del Amazonas (Auto2024500010000814-7 de 8 de julio de 2024) : segundo seguimiento._x000a_5. Empresa Industrial y Comercial del Estado Administradora del Monopolio Rentístico de los Juegos de Suerte y Azar, denominada-COLJUEGOS (2024590000000580-7): primer seguimiento."/>
    <b v="1"/>
    <s v="https://supersalud.sharepoint.com/:f:/r/sites/DelegadaparaETyGRARdelSGSSS/Documentos%20compartidos/Gesti%C3%B3n%20de%20la%20Calidad%20-%20DET/PAG/2025/MAYO/2_Sto-Verificaci%C3%B3n-Auditor%C3%ADas?csf=1&amp;web=1&amp;e=A8qdP8"/>
    <s v="2025"/>
    <s v="Elemento"/>
    <s v="sites/PlanAnualdeGestin/Lists/REPORTE SEGUIMIENTO PAG"/>
  </r>
  <r>
    <s v="Delegatura para Entidades Territoriales y Generadores y Recaudadores y Administradores de Recursos del SGSSS"/>
    <x v="4"/>
    <x v="27"/>
    <s v="Realizar Mesas de Gobernanza desde las direcciones regionales"/>
    <s v="Mesas de Gobernanza realizadas en las direcciones regionales."/>
    <s v="Mesas de Gobernanza Realizadas"/>
    <s v="Numérica"/>
    <n v="7"/>
    <n v="4"/>
    <n v="7"/>
    <n v="0.57142857142857095"/>
    <s v="​Durante el mes de mayo, la Superintendencia Delegada para Entidades Territoriales y Generadores, Recaudadores y Administradores de Recursos del SGSSS realizó cuatro (4) Mesas de Gobernanza así:_x000a_1. Huila (responsabilidades frente a la atención de emergencia por brote de Fiebre Amarilla en el territorio.)_x000a_2. Casanare._x000a_3. Meta._x000a_4. Tolima._x000a__x000a_Es importante mencionar, que esta Delegada ha concentrado sus esfuerzos en el proceso de organización y cierre de las acciones de inspección y vigilancia que se encontraban en curso, con el fin de garantizar la adecuada entrega de productos y actividades a cargo antes de la transición de personal derivada del concurso de méritos._x000a_Esta situación administrativa prioritaria limitó la disponibilidad de personal de las Direcciones Regionales para la realización de las mesas de gobernanza, razón por la cual no fue posible ejecutar la totalidad de las acciones programadas para este indicador. No obstante, se tiene previsto retomar esta actividad en el mes de junio._x000a_"/>
    <b v="0"/>
    <m/>
    <s v="2025"/>
    <s v="Elemento"/>
    <s v="sites/PlanAnualdeGestin/Lists/REPORTE SEGUIMIENTO PAG"/>
  </r>
  <r>
    <s v="Delegatura para Operadores Logísticos de Tecnologías en Salud y Gestores Farmacéuticos"/>
    <x v="4"/>
    <x v="2"/>
    <s v="Realizar auditorías a los Operadores Logísticos de Tecnologías en Salud y/o Gestores Farmacéuticos objeto de supervisión"/>
    <s v="Auditorías realizadas a los Operadores Logísticos de Tecnologías en Salud y/o Gestores Farmacéuticos"/>
    <s v="Número de auditorías realizadas a los Operadores Logísticos de Tecnologías en Salud y/o Gestores Farmacéuticos"/>
    <s v="Numérica"/>
    <n v="1"/>
    <n v="1"/>
    <n v="1"/>
    <n v="1"/>
    <s v="​Se realizó auditoria integral  en al Gestor Farmacéutico  GENHOSPI SAS en el departamento de Nariño , del 28 al 30 de mayo  ordenada a través de Auto 2025600030000695-7, las auditorias son fundamentales en el desarrollo de las acciones de IVC a nuestros vigilados y el cumplimiento al Programa de Auditorias. Se da cumplimiento al 100% de lo propuesto para el mes de mayo._x000a_"/>
    <b v="0"/>
    <m/>
    <s v="2025"/>
    <s v="Elemento"/>
    <s v="sites/PlanAnualdeGestin/Lists/REPORTE SEGUIMIENTO PAG"/>
  </r>
  <r>
    <s v="Delegatura para Operadores Logísticos de Tecnologías en Salud y Gestores Farmacéuticos"/>
    <x v="4"/>
    <x v="35"/>
    <s v="Realizar actividades de socialización, asistencia técnica, mesas de trabajo o acompañamiento a los actores del SGSSS respecto a la operación de los Gestores Farmacéuticos Gestores Farmacéuticos y/u Operadores Logísticos de Tecnologías en Salud"/>
    <s v="Actividades de socialización, asistencia técnica, mesas de trabajo o acompañamiento a los actores del SGSSS respecto a la operación de los GF y/u OLTS"/>
    <s v="Número de actividades de socialización, asistencia técnica, mesas de trabajo o acompañamiento a los actores del SGSSS respecto a la operación de los GF y/u OLTS"/>
    <s v="Numérica"/>
    <n v="1"/>
    <n v="1"/>
    <n v="1"/>
    <n v="1"/>
    <s v="​_x000a_Se realizó mesa de trabajo con el Gestor Farmacéutico Colsubsidio y la EPS Sura en la ciudad de Medellín ,la cual tuvo como objetivos fundamentales:Presentación de la información por parte del Gestor Farmacéutico.Presentación de la información por parte de la EAPB.Acuerdo y suscripción de los compromisos en el acta acta._x000a_Lo cual es fundamental para el cumplimiento de las acciones de IV de la DOLTS-GF, de esta manera se da cumplimiento al 100% de lo propuesto en el PAG para Mayo 2025._x000a__x000a__x000a_"/>
    <b v="0"/>
    <m/>
    <s v="2025"/>
    <s v="Elemento"/>
    <s v="sites/PlanAnualdeGestin/Lists/REPORTE SEGUIMIENTO PAG"/>
  </r>
  <r>
    <s v="Delegatura para Operadores Logísticos de Tecnologías en Salud y Gestores Farmacéuticos"/>
    <x v="4"/>
    <x v="36"/>
    <s v="Realizar acompañamiento a las Direcciones Regionales en actividades de IVC a los Operadores Logísticos de Tecnologías en Salud y/o Gestores Farmacéuticos de su jurisdicción"/>
    <s v="Actividades de acompañamiento a las Direcciones Regionales en actividades de IVC a los Operadores Logísticos de Tecnologías en Salud y/o Gestores Farmacéuticos de su jurisdicción"/>
    <s v="Número de actividades de acompañamiento a las Direcciones Regionales en actividades de IVC a los Operadores Logísticos de Tecnologías en Salud y/o Gestores Farmacéuticos de su jurisdicción"/>
    <s v="Numérica"/>
    <n v="2"/>
    <n v="2"/>
    <n v="2"/>
    <n v="1"/>
    <s v="​Se realizaron 2 actividades de acompañamiento a las Direcciones Regionales en actividades de IVC a los Gestores Farmacéuticos ,  COHAN Y CAFAM, en la regional Andina de la ciudad de Medellín  estas acciones son fundamentales en el cumplimiento de las funciones de IVC de nuestra Delegada, se da cumplimiento al 100% de lo planteado en el PAG para mayo de 2025._x000a_"/>
    <b v="0"/>
    <m/>
    <s v="2025"/>
    <s v="Elemento"/>
    <s v="sites/PlanAnualdeGestin/Lists/REPORTE SEGUIMIENTO PAG"/>
  </r>
  <r>
    <s v="Delegatura para Operadores Logísticos de Tecnologías en Salud y Gestores Farmacéuticos"/>
    <x v="4"/>
    <x v="83"/>
    <s v="Realizar actividades de IVC a los Operadores Logísticos de Tecnologías en Salud y/o Gestores Farmacéuticos objeto de supervisión en el marco del proceso de operación"/>
    <s v="Actividades de IVC a los OLTS y/o GF objeto de supervisión en el marco del proceso de operación inicial de la Supervisión Basada en Riesgos"/>
    <s v="Número de actividades de IVC a los OLTS y/o GF objeto de supervisión en el marco del proceso de operación inicial de la Supervisión Basada en Riesgos"/>
    <s v="Numérica"/>
    <n v="1"/>
    <n v="0"/>
    <n v="1"/>
    <n v="0"/>
    <s v="​ Para dar cumplimiento a la Actividades de IVC a Gestores Farmacéuticos objeto de supervisión en el marco del proceso de operación inicial de la Supervisión Basada en Riesgos se programó para los días 28 y 29 de mayo en la ciudad de Bucaramanga, en el contexto de la Mesa Técnica para los departamentos de Santander y Norte de Santander. Teniendo en cuenta la convocatoria de Paro Nacional anunciada por las Centrales Obreras para los días 28 y 29 de mayo, esta actividad será reprogramada._x000a_"/>
    <b v="0"/>
    <m/>
    <s v="2025"/>
    <s v="Elemento"/>
    <s v="sites/PlanAnualdeGestin/Lists/REPORTE SEGUIMIENTO PAG"/>
  </r>
  <r>
    <s v="Oficina Asesora de Planeación"/>
    <x v="4"/>
    <x v="84"/>
    <s v="Gestionar el cumplimiento del plan de actualización documental del Sistema integrado de gestión, como estrategia de gestión del conocimiento institucional."/>
    <s v="Porcentaje de documentos actualizados o elaborados en el SIG"/>
    <s v="Número de documentos elaborados o actualizados /Total de documentos priorizados por la vigencia"/>
    <s v="Porcentual"/>
    <n v="0.1"/>
    <n v="77"/>
    <n v="77"/>
    <n v="1"/>
    <s v="Al 30 de abril de 2025, se registraron un total de 77 solicitudes documentales en el Sistema Integrado de Gestión, correspondientes a los 15 procesos institucionales. De estas solicitudes, el 32.5% (25) correspondieron a la creación de nuevos documentos, el 54.5% (42) a la actualización de documentos existentes y el 9.1% (7) a la eliminación de documentos. Estos datos evidencian que la mayoría de las gestiones se centraron en la actualización documental, seguida por la creación de nuevos documentos y, en menor proporción, la eliminación de documentos._x000a_La información fue obtenida del SharePoint de Formalización Documental, donde los líderes de cada proceso registran sus solicitudes. El acceso a este registro está disponible en el siguiente enlace:https://supersalud.sharepoint.com/sites/SIG/Lists/Formalizacion%20documental/AllItems.aspx_x000a_ _x000a__x000a_"/>
    <b v="0"/>
    <m/>
    <s v="2025"/>
    <s v="Elemento"/>
    <s v="sites/PlanAnualdeGestin/Lists/REPORTE SEGUIMIENTO PAG"/>
  </r>
  <r>
    <s v="Oficina Asesora de Planeación"/>
    <x v="4"/>
    <x v="5"/>
    <s v="Liderar el cumplimiento de metas y compromisos del Plan Estratégico Institucional y Plan Anual de Gestión."/>
    <s v="Porcentaje de avance en el cumplimiento de actividades formuladas en PEI y PAG"/>
    <s v="(Número de actividades realizadas / Número de actividades formuladas en los planes)*100"/>
    <s v="Porcentual"/>
    <n v="0.98"/>
    <n v="0.97"/>
    <n v="1"/>
    <n v="0.97"/>
    <s v="Durante el primer trimestre se elaboró el informe de seguimiento de los planes institucionales (PND, PES, PEI y PAG), evidenciando que el 97% de las metas establecidas por las dependencias fueron cumplidas. Estos resultados reflejan un avance significativo hacia el logro de los objetivos propuestos por la entidad.&quot;_x000a_"/>
    <b v="0"/>
    <m/>
    <s v="2025"/>
    <s v="Elemento"/>
    <s v="sites/PlanAnualdeGestin/Lists/REPORTE SEGUIMIENTO PAG"/>
  </r>
  <r>
    <s v="Secretaria General"/>
    <x v="4"/>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140"/>
    <n v="100"/>
    <n v="1"/>
    <s v="_x000a__x000a_Durante el mes de Mayo, se gestionaron 140 cuentas que fueron radicadas en los tiempos estipulados_x000a_de acuerdo con la Circular Interna 2022920020000026- 4 de 2022,asi mismo, los documentos radicados después del día 25 calendario se tramitaron en el siguiente mes. Por lo cual, se cumplió con la meta_x000a_del indicador del 100%, (140/140) habiendo gestionado la totalidad de las cuentas radicadas con un_x000a_tiempo de gestión de 1,8 días hábiles. Se adjunta base con relación de cuentas radicadas y gestionadas, así como el reporte del indicador con la correspondiente gráfica._x000a__x000a__x000a_"/>
    <b v="0"/>
    <m/>
    <s v="2025"/>
    <s v="Elemento"/>
    <s v="sites/PlanAnualdeGestin/Lists/REPORTE SEGUIMIENTO PAG"/>
  </r>
  <r>
    <s v="Delegatura de Investigaciones Administrativas"/>
    <x v="5"/>
    <x v="85"/>
    <s v="Determinar las solcitudes de investagaciones aceptadasque cumplen con los lineamientos establecidos en los Ans del proceso de la delegada."/>
    <s v="Porcentaje de solicitudes de investigación aceptadas tras cumplir ANS"/>
    <s v="(Número de solicitudes de investigación aceptadas) / Número de solicitudes de investigación recibidas  en el semestre de reporte)*100"/>
    <s v="Porcentual"/>
    <n v="1"/>
    <n v="189"/>
    <n v="376"/>
    <n v="0.50265957446808496"/>
    <s v="INDICADOR A DEMANDA _x000a_Solicitudes aceptadas por ANS: 189 en el semestre _x000a_Solicitudes recibidas​ en el semestre  376_x000a__x000a_Ante el alto porcentaje de devoluciones a las areas proveedores, durante el segundo trimestre de 2025 se adelantaron mesas de actualización de ANS con todos los proveedores del proceso administrativo sancionatorio, en donde se recordaron los acuerdos a las areas y se resolvieron dudas, con el fin de reducir estas devolciones a la luz de los acuerdos de nivel de servicio_x000a__x000a__x000a__x000a__x000a__x000a__x000a_"/>
    <b v="0"/>
    <m/>
    <s v="2025"/>
    <s v="Elemento"/>
    <s v="sites/PlanAnualdeGestin/Lists/REPORTE SEGUIMIENTO PAG"/>
  </r>
  <r>
    <s v="Delegatura de Investigaciones Administrativas"/>
    <x v="5"/>
    <x v="7"/>
    <s v="Implementar la política sancionatoria reformulada y la metodología desarrollada para la priorización de casos de relevancia nacional"/>
    <s v="Porcentaje de procesos con aplicación de la politica sancionatoria reformulada a metodologia desarrollada para la priorizacion de casos de relevancia nacional, sobre el total de expedientes"/>
    <s v="(Numero de procesos iniciados con aplicación de la política sancionatoria y priorización de casos / Total de expedientes tramitados en el semestre)*100"/>
    <s v="Porcentual"/>
    <n v="1"/>
    <n v="87"/>
    <n v="1"/>
    <n v="10.875"/>
    <s v="​INDICADOR A DEMANDA_x000a__x000a_Durante el TRIMESTRE se expidieron con apertura/improcedencia /investigación preliminar 87 procesos de los cuales 8 fueron por  criterio de priorización _x000a_"/>
    <b v="0"/>
    <m/>
    <s v="2025"/>
    <s v="Elemento"/>
    <s v="sites/PlanAnualdeGestin/Lists/REPORTE SEGUIMIENTO PAG"/>
  </r>
  <r>
    <s v="Delegatura de Investigaciones Administrativas"/>
    <x v="5"/>
    <x v="8"/>
    <s v="Expedir los actos administrativos de la DIA en el marco del proceso administrativo sancionatorio"/>
    <s v="Porcentaje de actos administrativos expedidos"/>
    <s v="(Número de actos administrativos expedidos) / Número de solicitudes de investigación aceptadas en el semestre de reporte)*100"/>
    <s v="Porcentual"/>
    <n v="1"/>
    <n v="464"/>
    <n v="65"/>
    <n v="7.1384615384615389"/>
    <s v="​INDICADOR A DEMANDA_x000a__x000a__x000a__x000a_Total de actos administrativos expedidos en el semestre a demanda _x000a__x000a_* por Direcciones _x000a_1) Dirección de aseguramiento: De abril a junio de 2025 : 167 y en total en el semestre 513 _x000a__x000a_2) Dirección de prestadores : De abril a junio de 2025: 90 y en total en el semestre 169_x000a__x000a_3) Dirección de OLFERGART: De abril a junio de 2025 : 55 y en total en el semestre 103_x000a__x000a_Total de actos expedidos en el trimestre: 167+90+55: 312_x000a__x000a_Total de actos expedidos en el semestre : 785_x000a__x000a__x000a__x000a_Numero de solicitudes aceptadas en el semestre: _x000a__x000a_1) Dirección de aseguramiento : 54_x000a_2) Dirección de Prestadores: 61_x000a__x000a_3) Dirección OLFERGART: 74_x000a__x000a__x000a_total 189_x000a__x000a__x000a_aplicación de formula 189/1785*100_x000a__x000a__x000a__x000a_"/>
    <b v="0"/>
    <m/>
    <s v="2025"/>
    <s v="Elemento"/>
    <s v="sites/PlanAnualdeGestin/Lists/REPORTE SEGUIMIENTO PAG"/>
  </r>
  <r>
    <s v="Delegatura de Investigaciones Administrativas"/>
    <x v="5"/>
    <x v="9"/>
    <s v="Gestionar con decisión de fondo (sanción, cierre y archivo y caducidad) las investigaciones administrativas con riesgo de caducidad 2025"/>
    <s v="Porcentaje de  decisión de fondo de  las investigaciones administrativas con riesgo de caducidad 2025"/>
    <s v="(Número de investigaciones administrativas con riesgo de caducidad 2025, que hayan sido objeto de decisión dentro del trimestre de reporte / Número de investigaciones con caducidad 2025)*100"/>
    <s v="Porcentual"/>
    <n v="0.25"/>
    <n v="136"/>
    <n v="441"/>
    <n v="0.30839002267573701"/>
    <s v="​INDICADOR A DEMANDA_x000a__x000a_INFORMACION POR TRIMESTRE_x000a_Para 2025 se identificaron 441 procesos administrativos con riesgo de caducidad 2025 , en el primer trimestre se reportaron como expedidas 166 decisiones equivalentes al 37.6%_x000a_Para el segundo trimestre de 2025 se profirieron 136 decisiones con riesgo 2025 equivalente al 30,83%_x000a_Por lo anterior se entiende que para el 30 de junio de 2025 se ha realizado un avance del 68.43 % , dando cumplimiento al indicador _x000a__x000a__x000a__x000a_"/>
    <b v="0"/>
    <m/>
    <s v="2025"/>
    <s v="Elemento"/>
    <s v="sites/PlanAnualdeGestin/Lists/REPORTE SEGUIMIENTO PAG"/>
  </r>
  <r>
    <s v="Delegatura de Investigaciones Administrativas"/>
    <x v="5"/>
    <x v="10"/>
    <s v="Gestionar las solicitudes de investigación, procesos en trámite, decisiones, recursos y demás actos relacionados con los procesos administrativos sancionatorios con riesgo de caducidad, relacionados con las vigencias 2025-2029."/>
    <s v="Ejecución presupuestal de recursos solicitados y asignados para el presupuesto para el Mejoramiento en la ejecución de las acciones de supervisión y control frente a la gestión en el SGSSS de los vigilados de la Supersalud Nacional"/>
    <s v="Obligaciones totales/ Apropiación total asignada"/>
    <s v="Porcentual"/>
    <n v="0.25"/>
    <n v="599023035"/>
    <n v="731506000"/>
    <n v="0.81889011846792803"/>
    <s v="​  Total por rubro de funcionamoento $ 731.506.000_x000a_Total, ejecución acumulada:   = $599.023.035_x000a_Saldo pendiente por ejecutar:_x000a_Saldo restante: $731.506.000 – $599.023.035 = $132.482.965_x000a_ Resultado del avance 81 % _x000a__x000a_se avanzo en mas del 50% en el semestre dando cumplimiento al presupuesto presentado a la Delegatura , se adjunta panatallazo de ejecución por areas entregado por en equipo de seguimiento presupuestal de la entidad y cdp expedidos en el trimestre "/>
    <b v="0"/>
    <m/>
    <s v="2025"/>
    <s v="Elemento"/>
    <s v="sites/PlanAnualdeGestin/Lists/REPORTE SEGUIMIENTO PAG"/>
  </r>
  <r>
    <s v="Delegatura Entidades Aseguramiento en Salud"/>
    <x v="5"/>
    <x v="11"/>
    <s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
    <s v="Auditorias realizadas a las entidades de aseguramiento en salud y otras entidades de aseguramiento"/>
    <s v="Número de auditorías ejecutadas / Número total de auditorías proyectadas en el periodo de acuerdo con el Programa Anual de Auditorías de la Delegada."/>
    <s v="Porcentual"/>
    <n v="0.85"/>
    <n v="16"/>
    <n v="11"/>
    <n v="1.4545454545454499"/>
    <s v="​Durante el segundo trimestre de 21025 se realizaron 16 auditorias del 11 programdas, con el fn de subsanar las 5 auditorias que no se realizaron en el primer trimestre de 2025.  Es así que ala fecha se han ejecutado el 100% de las acutorías programadas para el segundo semestre de 2025._x000a_"/>
    <b v="0"/>
    <m/>
    <s v="2025"/>
    <s v="Elemento"/>
    <s v="sites/PlanAnualdeGestin/Lists/REPORTE SEGUIMIENTO PAG"/>
  </r>
  <r>
    <s v="Delegatura Entidades Aseguramiento en Salud"/>
    <x v="5"/>
    <x v="12"/>
    <s v="Realizar seguimiento a las EPS a las entidades bajo medida y a la gestión de los agentes interventores y contralores designados por la Superintendencia Nacional de Salud."/>
    <s v="Porcentaje de avance en la actualización de la información de las fichas productos de los seguimientos"/>
    <s v="Fichas técnicas con información actualizadas / Número de entidades en medida*100"/>
    <s v="Porcentual"/>
    <n v="0.85"/>
    <n v="8"/>
    <n v="11"/>
    <n v="0.72727272727272696"/>
    <s v="​Teniendo en cuena la contingencia de requerimientos realizada en el segundo trimestre de 2025 a la Dirección de Medidas Especiales de EPS E.A., se evidenció la actualización de 8 fichas de seguimiento de 11 entidades en medida._x000a_"/>
    <b v="0"/>
    <m/>
    <s v="2025"/>
    <s v="Elemento"/>
    <s v="sites/PlanAnualdeGestin/Lists/REPORTE SEGUIMIENTO PAG"/>
  </r>
  <r>
    <s v="Delegatura Entidades Aseguramiento en Salud"/>
    <x v="5"/>
    <x v="13"/>
    <s v="Realizar el seguimiento a las Entidades sujetas a vigilancia de la Delegada de Entidades de Aseguramiento en Salud - EAS y auxiliares de justicia"/>
    <s v="Seguimiento y monitoreo a entidades en medida de vigilancia."/>
    <s v="Numero de seguimientos en campo a las entidades en medida especial"/>
    <s v="Numérica"/>
    <n v="2"/>
    <n v="2"/>
    <n v="2"/>
    <n v="1"/>
    <s v="​Se ejecutaron los dos seguimiento programados para el segundo trimestre de 2025._x000a_"/>
    <b v="0"/>
    <m/>
    <s v="2025"/>
    <s v="Elemento"/>
    <s v="sites/PlanAnualdeGestin/Lists/REPORTE SEGUIMIENTO PAG"/>
  </r>
  <r>
    <s v="Delegatura Entidades Aseguramiento en Salud"/>
    <x v="5"/>
    <x v="14"/>
    <s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
    <s v="Porcentaje de EPS y otras EAS con acciones de Inspección y vigilancia por parte de la Delegada de EAS"/>
    <s v="(mediana de los porcentajes de cobertura (# de vigilados a los que se efectúo la acción de IV / # de vigilados objeto o susceptibles de la acción))"/>
    <s v="Porcentual"/>
    <n v="0.8"/>
    <n v="0.49"/>
    <n v="1"/>
    <n v="0.49"/>
    <s v="​Durante el segundo trimestre de 2025 la Delegada para Entidades de Aseguramiento en Salud, ejjecutó 51 mesas técnicas, respondiendo a las necesidades identificadas durante el periodo. Dentro de las cuales se logro una mediana de 49%_x000a_"/>
    <b v="0"/>
    <m/>
    <s v="2025"/>
    <s v="Elemento"/>
    <s v="sites/PlanAnualdeGestin/Lists/REPORTE SEGUIMIENTO PAG"/>
  </r>
  <r>
    <s v="Delegatura Entidades Aseguramiento en Salud"/>
    <x v="5"/>
    <x v="15"/>
    <s v="Resolver o gestionar las solicitudes de los vigilados en los tiempos establecidos en el proceso"/>
    <s v="Emitir los estudios de viabilidad o recomendación al Superintendente en 140 días o menos, a partir de la completitud de la información radicada por la entidad solicitante"/>
    <s v="(Cantidad de trámites con estudio de viabilidad o recomendación gestionados en 140 días o menos / Total de trámites gestionados en el periodo)*100"/>
    <s v="Porcentual"/>
    <n v="0.85"/>
    <n v="11"/>
    <n v="14"/>
    <n v="0.78571428571428603"/>
    <s v="​Se presentaron demoras en el proceso de gestión debido a la falta de contratación oportuna de los actuarios necesarios la vigencia. La ausencia de personal especializado afectó la eficiencia en el trámite. Sin embargo, en este trimestre se dio celeridad a estos trámites vencidos _x000a_"/>
    <b v="0"/>
    <m/>
    <s v="2025"/>
    <s v="Elemento"/>
    <s v="sites/PlanAnualdeGestin/Lists/REPORTE SEGUIMIENTO PAG"/>
  </r>
  <r>
    <s v="Delegatura Función Jurisdiccional y de Conciliación"/>
    <x v="5"/>
    <x v="86"/>
    <s v="Realizar las Pre jornadas de la función de conciliación con el fin de dirimir los conflictos entre los actores del SGSS con informes de resultados."/>
    <s v="Pre jornadas de la función de conciliación con informes de resultados"/>
    <s v="Número de Pre jornadas de la función de conciliación con informes de resultados"/>
    <s v="Numérica"/>
    <n v="7"/>
    <n v="7"/>
    <n v="7"/>
    <n v="1"/>
    <s v="​SE REALIZARON CON EXITO LAS SIGUIENTES PREJORNADAS :_x000a_1. PRE-JORNADA BOLÍVAR – CÓRDOBA Y SUCRE_x000a_2. PRE-JORNADA GUAJIRA Y CESAR_x000a_3. PRE-JORNADA ATLÁNTICO – MAGDALENA Y SAN ANDRÉS _x000a_4. PRE-JORNADA META – AMAZONAS – GUAVIARE – VAUPÉS – VICHADA Y GUAINÍA. _x000a_5. PRE-JORNADA CAUCA _x000a_ 6. PRE-JORNADA BOYACÁ _x000a_ 7. PRE-JORNADA ANTIOQUIA Y CHOCÓ. "/>
    <b v="0"/>
    <m/>
    <s v="2025"/>
    <s v="Elemento"/>
    <s v="sites/PlanAnualdeGestin/Lists/REPORTE SEGUIMIENTO PAG"/>
  </r>
  <r>
    <s v="Delegatura Función Jurisdiccional y de Conciliación"/>
    <x v="5"/>
    <x v="87"/>
    <s v="Realizar las jornadas de la función de conciliación con el fin de dirimir los conflictos entre los actores del SGSS con informes de resultados."/>
    <s v="Jornadas de la función de conciliación con informes de resultados"/>
    <s v="Numero de jornadas de la función de conciliación con informes de resultados"/>
    <s v="Numérica"/>
    <n v="7"/>
    <n v="7"/>
    <n v="7"/>
    <n v="1"/>
    <s v="SE PROGRAMAN 7 JORNADAS FORMALMENTE CON LOS ACTORES DEL SGSSS EN EL PRIMER SEMESTRE; SE REALIZAN POR TIEMPOS DE AGENDA SEGUN LAS SEMANAS QUE TIENEN DIAS FESTIVOS DENTRO DE LOS MESES DE ENERO A JUNIO Y  LA ULTIMA JORNADA POR LO ANTERIOR SE MATERIALIZA LA PRIMERA SEMANA DEL MES DE JULIO; ESTA JORNADA SE REALIZA EN ANTIOQUIA (MEDELLIN ) _x000a__x000a_1.​JORNADA BOLÍVAR – CÓRDOBA Y SUCRE _x000a_2. JORNADA GUAJIRA Y CESAR _x000a_3. JORNADA ATLÁNTICO – MAGDALENA Y SAN ANDRÉS_x000a_4. JORNADA META – AMAZONAS – GUAVIARE – VAUPÉS – VICHADA  Y GUAINÍA. _x000a_5. JORNADA CAUCA _x000a_ 6. JORNADA BOYACÁ  "/>
    <b v="0"/>
    <m/>
    <s v="2025"/>
    <s v="Elemento"/>
    <s v="sites/PlanAnualdeGestin/Lists/REPORTE SEGUIMIENTO PAG"/>
  </r>
  <r>
    <s v="Delegatura Función Jurisdiccional y de Conciliación"/>
    <x v="5"/>
    <x v="16"/>
    <s v="Realizar las audiencias de conciliación admitidas de la red pública y privada como actores del SGSS propendiendo por el animo conciliatorio"/>
    <s v="Porcentaje de Audiencias de Conciliación de la función de conciliación"/>
    <s v="Número de audiencias de conciliación realizadas en el período / Total de solicitudes de conciliación a petición de parte admitidas"/>
    <s v="Porcentual"/>
    <n v="1"/>
    <n v="2125"/>
    <n v="2125"/>
    <n v="1"/>
    <s v="EL NUMERO DE AUDIENCIAS REALIZADAS EN EL PERIODO  FUE DE 2125 Y EL TOTAL DE SOLICITUDES DE CONCILIACIÓN A PETICIÓN DE PARTE  ADMITIDAS FUERON DE 2125  EN EL SEGUNDO TRIMESTRE DEL 2025_x000a_"/>
    <b v="0"/>
    <m/>
    <s v="2025"/>
    <s v="Elemento"/>
    <s v="sites/PlanAnualdeGestin/Lists/REPORTE SEGUIMIENTO PAG"/>
  </r>
  <r>
    <s v="Delegatura Función Jurisdiccional y de Conciliación"/>
    <x v="5"/>
    <x v="17"/>
    <s v="Realizar seguimiento al cumplimiento de los acuerdos de conciliación suscritos ante la Delegada que sean exigibles, y reportar su incumplimiento a la Delegada competente."/>
    <s v="Porcentaje de acuerdos de conciliación con seguimiento que sean exigibles"/>
    <s v="Número de acuerdos conciliatorios con seguimientos realizados / Número de acuerdos conciliatorios suscritos que sean exigibles"/>
    <s v="Porcentual"/>
    <n v="1"/>
    <n v="87"/>
    <n v="87"/>
    <n v="1"/>
    <s v="​Se informa que el número de acuerdos conciliatorios con seguimientos  realizados fueron 87; a su vez , el  número de acuerdos conciliatorios suscritos que sean exigibles fueron tambien 87 , cunpliendose la regla establecida en el indicador _x000a_"/>
    <b v="0"/>
    <m/>
    <s v="2025"/>
    <s v="Elemento"/>
    <s v="sites/PlanAnualdeGestin/Lists/REPORTE SEGUIMIENTO PAG"/>
  </r>
  <r>
    <s v="Delegatura Función Jurisdiccional y de Conciliación"/>
    <x v="5"/>
    <x v="18"/>
    <s v="Conocer y gestionar los procesos jurisdiccionales de asuntos relacionados con Glosas y Devoluciones"/>
    <s v="Providencias Jurisdiccionales de Glosas y Devoluciones gestionados"/>
    <s v="Número de autos y sentencias Jurisdiccionales de Glosas y Recobros gestionados en el periodo de reporte"/>
    <s v="Numérica"/>
    <n v="45"/>
    <n v="45"/>
    <n v="45"/>
    <n v="1"/>
    <s v="​Durante el periodo del segundo trimestre , la verificacion de medicion de esta actividad , se evidencio el cumplimiento de este indicador segun la meta establecida , fueron gestionados 45 providencias de glosas y devoluciones ; se ha disminuido notablemente el numero de expedientes que habia en represamiento y hasta el momento ya el año 2024 esta siendo terminado en su totalidad quedando pendientes cerca de 34 expedientes ._x000a_"/>
    <b v="0"/>
    <m/>
    <s v="2025"/>
    <s v="Elemento"/>
    <s v="sites/PlanAnualdeGestin/Lists/REPORTE SEGUIMIENTO PAG"/>
  </r>
  <r>
    <s v="Delegatura Función Jurisdiccional y de Conciliación"/>
    <x v="5"/>
    <x v="19"/>
    <s v="Conocer y gestionar los procesos jurisdiccionales de asuntos relacionados con Reconocimiento Económico"/>
    <s v="Procesos Jurisdiccionales de reconocimiento economico gestionados"/>
    <s v="Número de procesos Jurisdiccionales de Reconocimiento Económico gestionados."/>
    <s v="Numérica"/>
    <n v="140"/>
    <n v="140"/>
    <n v="140"/>
    <n v="1"/>
    <s v="El Indicador correspondiente al numero de Providencias gestionadas y finalizadas por el Grupo de reconocimiento económico en el segundo trimestre del año 2025, correspondieron a un total de 140 providencias, proyectos que se ingresaron al despacho para aprobación  firma del Delegado durante el periodo comprendido entre abril a junio de 2025. Es de anotar que se ha logrado disminuir el numero de providencias represadas del año 2024 hasta lograr llegar a 34 providencias pendientes de dicho periodo , mejorando ostensiblemente la gestion . _x000a_"/>
    <b v="0"/>
    <m/>
    <s v="2025"/>
    <s v="Elemento"/>
    <s v="sites/PlanAnualdeGestin/Lists/REPORTE SEGUIMIENTO PAG"/>
  </r>
  <r>
    <s v="Delegatura Función Jurisdiccional y de Conciliación"/>
    <x v="5"/>
    <x v="88"/>
    <s v="Conocer y gestionar el proceso de Cobertura de servicios incluidos en el Plan de Beneficios de Salud - PBS, Cobertura de servicios NO incluidos en el PBS, Multiafiliación y Libre Elección y Movilidad conforme a la Ley 1949 de 2019 //"/>
    <s v="Porcentaje de demandas gestionadas en el semestre"/>
    <s v="Número de demandas gestionadas en el semestre / Totalidad de las demandas radicadas en igual período"/>
    <s v="Porcentual"/>
    <n v="1"/>
    <n v="643"/>
    <n v="643"/>
    <n v="1"/>
    <s v="​El número de demandas gestionadas en el semestre fueron de 643; la totalidad de las demandas radicadas en igual período fueron en total 643 y se gestionaron la totalidad , es decir el 100% y fueron a demanda regular en la Delegada. _x000a_"/>
    <b v="0"/>
    <m/>
    <s v="2025"/>
    <s v="Elemento"/>
    <s v="sites/PlanAnualdeGestin/Lists/REPORTE SEGUIMIENTO PAG"/>
  </r>
  <r>
    <s v="Delegatura Función Jurisdiccional y de Conciliación"/>
    <x v="5"/>
    <x v="89"/>
    <s v="Realizar socialización de las funciones jurisdiccional y de conciliación a los usuarios y actores del S.G.S.S.S para el efectivo acceso a la justicia."/>
    <s v="Socialización de las funciones jurisdiccional y de conciliación a los usuarios y actores del S.G.S.S.S."/>
    <s v="Numero de socializaciones de las funciones jurisdiccional y de conciliación a los usuarios y actores del S.G.S.S.S."/>
    <s v="Numérica"/>
    <n v="7"/>
    <n v="7"/>
    <n v="7"/>
    <n v="1"/>
    <s v="​Se cumple con el numero de socializaciones de las funciones y actuvidades de la DFJC a los actores del SGSSS establecidas para el semestre , se anexan los informes , certificaciones y evidencias de asistencia tanto de los funcinarios como los actores del SGSSS. _x000a_"/>
    <b v="0"/>
    <m/>
    <s v="2025"/>
    <s v="Elemento"/>
    <s v="sites/PlanAnualdeGestin/Lists/REPORTE SEGUIMIENTO PAG"/>
  </r>
  <r>
    <s v="Delegatura para Entidades Territoriales y Generadores y Recaudadores y Administradores de Recursos del SGSSS"/>
    <x v="5"/>
    <x v="20"/>
    <s v="Realizar seguimiento y verificación de las auditorias realizadas"/>
    <s v="Seguimientos a las auditorías de Inspección y Vigilancia Realizadas"/>
    <s v="Numero de Seguimientos realizados"/>
    <s v="Numérica"/>
    <n v="5"/>
    <n v="16"/>
    <n v="5"/>
    <n v="3.2"/>
    <s v="​En razón a la necesidad de avcanzar con el cierre de procesos de auditoría en curso, se efectuaron 16 seguimientos asi:_x000a_En abril: Belalcázar, Dosquebradas, Morales (Bolívar)._x000a_     En mayo: Dabeiba, Tunja, Puerto Boyacá_x000a_     En junio: Frontino, Pitalito_x000a_     Desde la Dirección Regional Occidental, se realizaron tres (3) seguimientos   a auditorías: El Dovio - Valle del Cauca, Timbiquí - Cauca y Florida - Valle   del Cauca. _x000a_     Desde la Dirección de Generadores, Recaudadroes y Administradores de   Recursos del SGSSS, se relaizaron los siguientes seguimientos:_x000a_     * A las entidades territoriales de Santander, Meta y Chocó._x000a_     * A los generadores de recursos de las loterías de Santander, Medellín y   Bogotá y a la Unidad de Licores del Meta._x000a_     * Al recaudador y administrador de recursos Coljuegos._x000a__x000a_"/>
    <b v="1"/>
    <s v="https://supersalud.sharepoint.com/:f:/s/DelegadaparaETyGRARdelSGSSS/EuYlAo7PExRJmXFJw-PkivwBCBHSHiy28BwRqtIuyyxbQg?e=tEtt3v"/>
    <s v="2025"/>
    <s v="Elemento"/>
    <s v="sites/PlanAnualdeGestin/Lists/REPORTE SEGUIMIENTO PAG"/>
  </r>
  <r>
    <s v="Delegatura para Entidades Territoriales y Generadores y Recaudadores y Administradores de Recursos del SGSSS"/>
    <x v="5"/>
    <x v="21"/>
    <s v="Implementar la red de Controladores en los territorios del país."/>
    <s v="Redes de Controladores departamentales activadas"/>
    <s v="Número de departamentos con red de Controladores activadas"/>
    <s v="Numérica"/>
    <n v="2"/>
    <n v="4"/>
    <n v="2"/>
    <n v="2"/>
    <s v="Durante el periodo se activaron cuatro (4) redes de controladores, en razón a alertas en aalgunos territorios, por lo que se superó la meta programada, así:_x000a_1. El   16 de abril de 2025 a pedido del Procurador Regional y el defensor del Pueblo   Regional del Vichada, se realizó la activación de la Red de Controladores del   Sector Salud del departamento del Vichada, donde se trató la problemática de   desnutrición, desabastecimiento de medicamentos, referencia y   contrareferencia entre otros._x000a_     2. Se llevo a cabo el 4 de junio del año en curso la activación de la Red   de Controladores del Sector Salud del departamento del Huila, la cual se   desarrolló para ver la problemática de salud del Departamento, y a su vez   para ver como estaban preparados para realizar las fiestas en una emergencia   de Fiebre Amarilla. Se revisaron los planes de contingencia presentados por   el CRUE._x000a_     3. El 12 de junio de 2025 se activó la Red de Controladores del Sector   Salud del departamento del Putumayo, lo anterior debido a la cantidad de   casos de Epizootias y posibles casos de Fiebre Amarilla reportados por el   Instituto Nacional de Salud en el departamento._x000a_     4. Con fecha 18 de junio se llevo a cabo la activación   de la Red de Controladores del Sector Salud del departamento de Bolívar, con   énfasis en la problemática presentada por la Caja de Previsión de la   Universidad de Cartagena. Se asistió con el acompañamiento de la delegatura   de DEAS._x000a_     5. Entre el 25, 26 y 27 de junio se realizó el seguimiento a los   compromisos generados de la Red de Controladores del Sector Salud de los   departamentos del Eje Cafetero (Caldas, Quindío y Risaralda), donde se   citaron a las EPS intervenidas, con el fin de levantar un acta de compromisos   por parte de ellos y la Entidades Territoriales de cada departamento."/>
    <b v="1"/>
    <s v="https://supersalud.sharepoint.com/:f:/s/DelegadaparaETyGRARdelSGSSS/EvHG6XFHAR9OtTMU6C0qmfwBzlvid4skxcPtXVNj3ozoxw?e=XQL3YJ"/>
    <s v="2025"/>
    <s v="Elemento"/>
    <s v="sites/PlanAnualdeGestin/Lists/REPORTE SEGUIMIENTO PAG"/>
  </r>
  <r>
    <s v="Delegatura para Entidades Territoriales y Generadores y Recaudadores y Administradores de Recursos del SGSSS"/>
    <x v="5"/>
    <x v="22"/>
    <s v="Ampliar el campo de acción de las Direcciones Regionales respecto de los actores del sistema, a través de la definición de acuerdos con las demás Delegadas para la desconcentración de acciones de inspección y vigilancia"/>
    <s v="Porcentaje del total de Actores del sistema con acciones de inspección y vigilancia por parte de la Dirección Regional"/>
    <s v="(Número de categoría de Actores del sistema con acciones de inspección y vigilancia por parte de la Direcciones regional / 09 categorías de actores del sistema sujeto de acciones de inspección y vigilancia de la SNS)*100"/>
    <s v="Porcentual"/>
    <n v="0.55000000000000004"/>
    <n v="5"/>
    <n v="9"/>
    <n v="0.55555555555555602"/>
    <s v="Para   este primer trimestre se avanzó en la implementación de acciones con   prestadores de servicios de salud en las Direcciones Regionales._x000a__x000a_     Sumando los 4 actores iniciales más el 100% del nuevo   actor (prestadores) y comparándolos con los 9 para el cuatrienio, se tiene un   alcance de 5 actores de 9 previstos, alcanzando el 55% programado para junio   de 2025, lo que además, representa un avance importante rumbo a la meta de   66% propuesta para 2025._x000a__x000a_     El indicador representa un buen avance para el segundo trimestre, dado que   se vienen generando más acciones que dan cuenta de esta de este   abordaje._x000a__x000a_     A continuación se relacionan las acciones adelantadas durante el trimestre,   asl cuales corresponden al monitoreo de referencia y contrareferencia en   coordinación con la Superintendencia Delegada para Prestadores de Servicios   de Salud:_x000a_     Dirección Regional Caribe:_x000a_     2/04/2025 - La Guajira - Maicao: Hospital San José de Maicao_x000a_     7/04/2025 - La Guajira - San Juan del Cesar: Hospital San Rafael de San   Juan Cesar_x000a_     28/05/2025 - Magdalena - Santa Marta: ESE   Alejandro Próspero Reverend_x000a_     25/06/2025 - Cesar - Valledupar: Hospital Eduardo Arrendondo Daza_x000a_     Dirección Regional Norte:_x000a_     1/04/2025 - Bolívar - Cartagena: _x000a_     28/04/2025 - Sucre - Sincelejo: ESE Hospital Universitario de Sincelejo   Sucre_x000a_     26/05/2025 - Córdoba - Montería: ESE Hospital San Jeronimo de   Montería_x000a_     Dirección Regional Occidental: _x000a_     21/05/2025 - Cauca - Popayán: _x000a_     Dirección Regional Sur:_x000a_     19/06/2025 - Ibague - Tolima: Hospital Federico   LLeras_x000a_     26/06/2025 - Ibague - Tolima: Hospital Federico Lleras_x000a_     _x000a_     Se precisa que fue emitida el el 13 de mayo de 2025 fue emitida la Circular   interna 2025500000000007-4 de 2025, bajo la cual se imparten instrucciones   para mejorar la capacidad resolutiva de las Direcciones Regionales de la   Superintendencia Nacional de Salud. En esta circular, se definen acciones   dirigidas a los sujetos vigilados de la SNS y que podrán ser adelantadas por   las Direcciones Regionales, en articulación y coordinación con el nivel   central. Esto favorece ampliar el campo de acción en territorio._x000a_"/>
    <b v="1"/>
    <s v="https://supersalud.sharepoint.com/:f:/s/DelegadaparaETyGRARdelSGSSS/ElKDT0V-de5LoVcKm6doT4gBqLq-7CaTzPF1n9S211KqJw?e=LfXZEC"/>
    <s v="2025"/>
    <s v="Elemento"/>
    <s v="sites/PlanAnualdeGestin/Lists/REPORTE SEGUIMIENTO PAG"/>
  </r>
  <r>
    <s v="Delegatura para Entidades Territoriales y Generadores y Recaudadores y Administradores de Recursos del SGSSS"/>
    <x v="5"/>
    <x v="23"/>
    <s v="Supervisar las alertas interpuestas a los Generadores, Recaudadores y Administradores de Recursos del SGSSSS mediante acciones de IV"/>
    <s v="Porcentaje de alertas generadas en desarrollo de las acciones de IV a generadores, recaudadores y administradores de recursos del SGSSS con acciones de gestión sobre el total de alertas"/>
    <s v="(Número de alertas generadas en el informe del trimestre anterior con acciones de gestión / Total de alertas encontradas en el informe del trimestre anterior)*100"/>
    <s v="Porcentual"/>
    <n v="1"/>
    <n v="23"/>
    <n v="23"/>
    <n v="1"/>
    <s v="Se   realiza informe de seguimiento a las alertas generadas en las acciones de   Inspección y Vigilancia a Generadores, Recaudadores y Administradores de   recursos del SGSSS._x000a__x000a_     En el informe, frente a cada alerta que se encuentra abierta, se relacionan   las acciones que se han realizado para su seguimiento o supervisión._x000a__x000a_     Puede evidenciarse que para cada una de las 23 alertas   encontradas hay acciones de supervisión o   seguimiento generadas, es decir, se tiene el 100% de cumplimiento._x000a__x000a_     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_x000a__x000a_     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
    <b v="1"/>
    <s v="https://supersalud.sharepoint.com/:f:/s/DelegadaparaETyGRARdelSGSSS/EryyTX7tkO9Dk82YvHUccFQB1_8hei4pjiIzO6wHy81_LQ?e=R01HNK"/>
    <s v="2025"/>
    <s v="Elemento"/>
    <s v="sites/PlanAnualdeGestin/Lists/REPORTE SEGUIMIENTO PAG"/>
  </r>
  <r>
    <s v="Delegatura para Entidades Territoriales y Generadores y Recaudadores y Administradores de Recursos del SGSSS"/>
    <x v="5"/>
    <x v="24"/>
    <s v="Efectuar seguimiento y evaluación a la gestión de las Direcciones Regionales de conformidad con las directrices y lineamientos formulados por la Superintendencia Delegada."/>
    <s v="Seguimiento a las actividades de las Direcciones regionales."/>
    <s v="Número de seguimientos realizados"/>
    <s v="Numérica"/>
    <n v="8"/>
    <n v="8"/>
    <n v="8"/>
    <n v="1"/>
    <s v="En el   marco de la estrategia de Plan Padrino / madrina, se realizaron 7   seguimientos a las siguientes sedes regionales:_x000a_     1. Dirección Regional Andina_x000a_     2. Dirección Regional Caribe_x000a_     3. Dirección Regional Chocó_x000a_     4. Dirección Regional Norte_x000a_     5. Dirección Regional Occidental_x000a_     6. Dirección Regional Orinoquía_x000a_     7. Sede Agualongo_x000a_     8. Sede Insular"/>
    <b v="1"/>
    <s v="https://supersalud.sharepoint.com/:f:/s/DelegadaparaETyGRARdelSGSSS/ElbX_a2LmvdCjFtOfGpcVP4BkDyJ570PydgjoQeKIsIf4g?e=qUe7UC"/>
    <s v="2025"/>
    <s v="Elemento"/>
    <s v="sites/PlanAnualdeGestin/Lists/REPORTE SEGUIMIENTO PAG"/>
  </r>
  <r>
    <s v="Delegatura para Entidades Territoriales y Generadores y Recaudadores y Administradores de Recursos del SGSSS"/>
    <x v="5"/>
    <x v="25"/>
    <s v="Implementar acciones de inspección y vigilancia en nuevos territorios que han carecido de ellas de manera adecuada._x000a_"/>
    <s v="Porcentaje de Nuevos territorios (Departamentos, Municipios o Distritos) impactados con acciones de IV por parte de las Direcciones Regionales sobre el total de Nuevos Territorios programados."/>
    <s v="(Número de nuevos territorios impactados con Acciones de IV / Número de Nuevos territorios programados por la Direcciones Regionales para intervenir)*100"/>
    <s v="Porcentual"/>
    <n v="1"/>
    <n v="23"/>
    <n v="23"/>
    <n v="1"/>
    <s v="Durante   el segundo trimestre se abordaron un total de 23 nuevos territorios por parte   de las Direcciones Regionales, así:_x000a_     Dirección Regional Andina (5 nuevos territorios):   Se impactaron los territorios con mesas IV en Marmato y Neira en Caldas y   Guarne en Antioquia._x000a_     Con Jornadas de Atención al usuario a Villa María y Filadelfia en   Caldas._x000a_     Dirección Regional Norte (2 nuevos territorios): Se efectuó jornada de atención al usuario en los   corregimientos de Bayunca y La Boquilla en Cartagena._x000a_     Dirección Regional Sur (4 nuevos territorios): Teniendo en cuenta la declaratoria de emergencia por fiebre   amarilla se realizaron mesas de IV en los municipios de Ataco, Coyaima,   Icononzo y Melgar (Tolima) con el fin, de garantizar que los municipios de   alto riesgo dieran cumplimiento a la reglamentación vigente en pro de   disminuir el indicadore del evento._x000a_     Dirección Regional Nororiental (4 nuevos   territorios): _x000a_     - JAU en el municipio de Chitagá, Norte de Santander el 08 de abril de   2025._x000a_     - Mesa IV Sotaquirá, Boyacá el 05 y 06 de mayo de 2025._x000a_     - Mesa IV Chitagá, Norte de Santander el 12 y 13 de mayo de 2025._x000a_     - Mesa IV Chitaraque, Boyacá el 26 y 27 de junio de 2025._x000a_     Dirección Regional Caribe (3 nuevos   territorios):_x000a_     - 1 mesa de IV en el Municipio de Gonzalez   -Cesar._x000a_     - 2 Auditorias específicas en los municipios de Gamarra – Cesar y El Piñon   -Magdalena._x000a_     Dirección Regional Occidental (5 nuevos   territorios):_x000a_     - Mesa de IV: Timbiquí Cauca, Piendamó Cauca,  López de Micay Cauca_x000a_     - Jornada de atención al usuario: Chachagüi Nariño_x000a_     - Acción Integral en el Territorio: Olaya Herrera Nariño"/>
    <b v="1"/>
    <s v="https://supersalud.sharepoint.com/:f:/s/DelegadaparaETyGRARdelSGSSS/EhJpvZzld2ZPjEHkCxCT4awB9diV0UEtUqr8dV-Fm3BvIA?e=BakjiN"/>
    <s v="2025"/>
    <s v="Elemento"/>
    <s v="sites/PlanAnualdeGestin/Lists/REPORTE SEGUIMIENTO PAG"/>
  </r>
  <r>
    <s v="Delegatura para Entidades Territoriales y Generadores y Recaudadores y Administradores de Recursos del SGSSS"/>
    <x v="5"/>
    <x v="26"/>
    <s v="Realizar asistencia y seguimientos a las mesas de saneamiento de cartera de Circular Conjunta 030 de 2013"/>
    <s v="Seguimientos a Circular 030"/>
    <s v="Numero de Seguimientos realizados - Circular 030"/>
    <s v="Numérica"/>
    <n v="20"/>
    <n v="20"/>
    <n v="20"/>
    <n v="1"/>
    <s v="Se   realizaron 22 asistencias al desarrollo de mesas de saneamiento de cartera de   Circular Conjunta 030 de 2013, de las siguientes ET: Antioquia, Arauca,   Barranquilla, Bogotá, Boyacá, Caldas, Cali, Casanare, Cauca, Cesar, Chocó,   Córdoba, Huila, Meta, Nariño, Norte de Santander, Risaralda, San Andrés,   Santa Marta, Santander, Sucre y Tolima._x000a_     Estas asistencias se soportan a través de informes de resultados del   ejercicio de acompañamiento._x000a__x000a_"/>
    <b v="1"/>
    <s v="https://supersalud.sharepoint.com/:f:/s/DelegadaparaETyGRARdelSGSSS/Emum5LaTBYJElydLHVEtIIIB8YiaUEktMcWSGl-ffvt3dg?e=YNsRUG"/>
    <s v="2025"/>
    <s v="Elemento"/>
    <s v="sites/PlanAnualdeGestin/Lists/REPORTE SEGUIMIENTO PAG"/>
  </r>
  <r>
    <s v="Delegatura para Entidades Territoriales y Generadores y Recaudadores y Administradores de Recursos del SGSSS"/>
    <x v="5"/>
    <x v="27"/>
    <s v="Realizar Mesas de Gobernanza desde las direcciones regionales"/>
    <s v="Mesas de Gobernanza realizadas en las direcciones regionales."/>
    <s v="Mesas de Gobernanza Realizadas"/>
    <s v="Numérica"/>
    <n v="7"/>
    <n v="2"/>
    <n v="7"/>
    <n v="0.28571428571428598"/>
    <s v="Durante   el mes de junio se efectuaron dos (2) mesas de gobernanza así:_x000a_     1. En Chinácota - Norte de Santander del 25 al 27 de junio de 2025_x000a_     2. En Duitama - Boyacá del 18 al 21 de junio de 2025_x000a__x000a_Es de anotar que, no se logró efectuar el total de mesas de gobernanza   programadas, en razón a que fue necesario atender otras actividades   relacionadas con el proceso de transición de planta de personal, como es el   cierre de informes y procesos de inspección y vigilancia pendientes, por   parte de los funcionarios vinculados en provisionalidad."/>
    <b v="1"/>
    <s v="https://supersalud.sharepoint.com/:f:/s/DelegadaparaETyGRARdelSGSSS/EuhKxioynclGunzV2LGjqFUBLnP2APOqmhJZwtudpoGerQ?e=gBRAzJ"/>
    <s v="2025"/>
    <s v="Elemento"/>
    <s v="sites/PlanAnualdeGestin/Lists/REPORTE SEGUIMIENTO PAG"/>
  </r>
  <r>
    <s v="Delegatura para la Protección al Usuario"/>
    <x v="5"/>
    <x v="28"/>
    <s v="Realizar auditorías de inspección y vigilancia a los vigilados relacionadas con el Sistema de Información y Atención al Usuario - SIAU, mecanismos de Participación Ciudadana y sistema PQRD"/>
    <s v="Auditorías realizadas a los vigilados por parte de la Delegada de Protección al Usuario"/>
    <s v="Número de auditorías ejecutadas"/>
    <s v="Numérica"/>
    <n v="38"/>
    <n v="33"/>
    <n v="38"/>
    <n v="0.86842105263157898"/>
    <s v="​Se realizaron 30 auditorías a los vigilados relacionadas con el Sistema de Información y Atención al Usuario - SIAU, mecanismos de Participación Ciudadana y comportamiento de reclamos en salud, en cumplimiento al PAG aprobado para la vigencia._x000a__x000a_Y Se realizaron 3 auditorías a los vigilados relacionadas con el Sistema de PQRD propio de las EPS, en cumplimiento al PAG aprobado para la vigencia_x000a_"/>
    <b v="1"/>
    <s v="https://acortar.link/5G6aKf"/>
    <s v="2025"/>
    <s v="Elemento"/>
    <s v="sites/PlanAnualdeGestin/Lists/REPORTE SEGUIMIENTO PAG"/>
  </r>
  <r>
    <s v="Delegatura para la Protección al Usuario"/>
    <x v="5"/>
    <x v="90"/>
    <s v="Realizar capacitaciones en derechos y deberes en salud y mecanismos de participación ciudadana en territorios incluidos en el Programa de Desarrollo con Enfoque Territorial PDET."/>
    <s v="Capacitaciones realizadas en  territorios cobijados por los programas de desarrollo con enfoque territorial PDET"/>
    <s v="Número de capacitaciones realizadas en territorios cobijados por los programas de desarrollo con enfoque territorial PDET"/>
    <s v="Numérica"/>
    <n v="7"/>
    <n v="7"/>
    <n v="7"/>
    <n v="1"/>
    <s v="​Durante el semestre se realizaron 7 capacitaciones en derechos y deberes y mecanismos de participacion ciudadana en municipios PDET con un total de 962 asistentes _x000a_"/>
    <b v="0"/>
    <m/>
    <s v="2025"/>
    <s v="Elemento"/>
    <s v="sites/PlanAnualdeGestin/Lists/REPORTE SEGUIMIENTO PAG"/>
  </r>
  <r>
    <s v="Delegatura para la Protección al Usuario"/>
    <x v="5"/>
    <x v="29"/>
    <s v="Medir la percepción de los usuarios respecto a la atención telefónica y canal presencial de la Superintendencia Nacional de Salud"/>
    <s v="Medición de la percepción en canal telefonico y presencial de la SNS."/>
    <s v="Total de respuestas con calificación favorable (bueno y excelente) del instrumento de medición aplicado"/>
    <s v="Porcentual"/>
    <n v="0.85"/>
    <n v="96046"/>
    <n v="111133"/>
    <n v="0.86424374398243498"/>
    <s v="Se presenta información con corte a mayo 2025, en virtud de que el periodo de reporte de insumos es 5 días hábiles mes vencido. _x000a_Aclarado lo anterior se presenta el resultado de la aplicación de la encuesta de satisfacción realizada en el canal telefonico y presencial (Regionales, Puntos de Atención y CAC). _x000a_Entre abril y mayo 2025 se recibieron 96.046 respuestas con calificación buena y exelente de un total de 111.133 respuestas las cuales correponden a un 86.42% de satisfacción_x000a__x000a_"/>
    <b v="0"/>
    <m/>
    <s v="2025"/>
    <s v="Elemento"/>
    <s v="sites/PlanAnualdeGestin/Lists/REPORTE SEGUIMIENTO PAG"/>
  </r>
  <r>
    <s v="Delegatura para la Protección al Usuario"/>
    <x v="5"/>
    <x v="30"/>
    <s v="Radicar los reclamos en salud recibidos en el multicanal"/>
    <s v="Porcentaje de reclamos en salud radicados y gestionados a través del multicanal"/>
    <s v="Número de reclamos en salud radicados y gestionadas en el trimestre*"/>
    <s v="Porcentual"/>
    <n v="1"/>
    <n v="432616"/>
    <n v="432616"/>
    <n v="1"/>
    <s v="​Entre abril y junio se radicaron y trasladaron al responsable del aseguramiento a travez de una orden de inmediato y obligatorio cumplimiento 432.616 reclamos en salud recibidos por multicanal (escrito, web, telefonico, chat y redes sociales)_x000a_"/>
    <b v="1"/>
    <s v="https://acortar.link/KKmiL8"/>
    <s v="2025"/>
    <s v="Elemento"/>
    <s v="sites/PlanAnualdeGestin/Lists/REPORTE SEGUIMIENTO PAG"/>
  </r>
  <r>
    <s v="Delegatura para la Protección al Usuario"/>
    <x v="5"/>
    <x v="31"/>
    <s v="Promover los derechos y deberes en salud y mecanismos de participación ciudadana en salud"/>
    <s v="Promoción de los derechos y deberes en salud y mecanismos de participación ciudadana en salud a la ciudadanía."/>
    <s v="Número de actividades que promueven el ejercicio de derechos y deberes y mecanismos de participación ciudadana en salud para ciudadanía en general desarrollados en el periodo.."/>
    <s v="Numérica"/>
    <n v="70"/>
    <n v="70"/>
    <n v="70"/>
    <n v="1"/>
    <s v="​Durante el Segundo trimestre del 2025 los eventos reportados para promover los derechos y deberes en salud y mecanismos de participación ciudadana en salud fueron 70 entre jornadas de atención, capacitaciones, seminarios y acompañamientos a diferentes entidades estatales._x000a_"/>
    <b v="1"/>
    <s v="https://acortar.link/YT5eJy"/>
    <s v="2025"/>
    <s v="Elemento"/>
    <s v="sites/PlanAnualdeGestin/Lists/REPORTE SEGUIMIENTO PAG"/>
  </r>
  <r>
    <s v="Delegatura para la Protección al Usuario"/>
    <x v="5"/>
    <x v="32"/>
    <s v="Seguimiento a los reclamos en salud presentados por la ciudadanía que asiste a los Diálogos con la Supersalud que no fueron cerrados por los vigilados en el evento"/>
    <s v="Porcentajes de reclamos en salud con seguimiento"/>
    <s v="Reclamos en salud con seguimiento / total de reclamos no cerrados por el vigilados* 100 ."/>
    <s v="Porcentual"/>
    <n v="1"/>
    <n v="0"/>
    <s v="0.55"/>
    <n v="0"/>
    <s v="​Entre abril y junio 2025 NO se han realizado diálogos, por este motivo no se cuenta con informacionn para este reporte. El último dialogo realizado fue en marzo 2025. _x000a_"/>
    <b v="0"/>
    <m/>
    <s v="2025"/>
    <s v="Elemento"/>
    <s v="sites/PlanAnualdeGestin/Lists/REPORTE SEGUIMIENTO PAG"/>
  </r>
  <r>
    <s v="Delegatura para la Protección al Usuario"/>
    <x v="5"/>
    <x v="33"/>
    <s v="Ejecutar actividades para la implementación de la política de Servicio al Ciudadano"/>
    <s v="Actividades desarrolladas en el ámbito de la política de servicio al ciudadano"/>
    <s v="Número total de actividades desarrolladas en el periodo."/>
    <s v="Numérica"/>
    <n v="10"/>
    <n v="11"/>
    <n v="10"/>
    <n v="1.1000000000000001"/>
    <s v="​Se entregan 11 actividades que desde la política de Servicio al Ciudadano se desarrollaron en el segundo trimestre de la presente anualidad,                                                                          _x000a_* Desarrollar de los escenarios de relacionamiento (ferias, festivales, jornadas itinerantes, etc.) 5 actividades                     _x000a_* Gestionar los espacios de encuentros sectoriales del Ministerio de Salud y Protección Social para el seguimiento e implementación del MISC. 2 actividades                                          _x000a_* Implementar acciones para articular con las dependencias  para el mejoramiento del relacionamiento. 2 actividades           _x000a_* Realizar talleres y charlas sobre el Lenguaje Claro dirigidas a las servidoras y servidores públicos de la entidad. 2 actividades_x000a_"/>
    <b v="1"/>
    <s v="https://acortar.link/TKrRyQ"/>
    <s v="2025"/>
    <s v="Elemento"/>
    <s v="sites/PlanAnualdeGestin/Lists/REPORTE SEGUIMIENTO PAG"/>
  </r>
  <r>
    <s v="Delegatura para la Protección al Usuario"/>
    <x v="5"/>
    <x v="34"/>
    <s v="Radicar los reclamos en salud recibidos en el canal presencial"/>
    <s v="Porcentaje de reclamos en salud radicados y gestionados a través del canal presencial"/>
    <s v="Número de reclamos en salud radicados y gestionadas en el trimestre*"/>
    <s v="Porcentual"/>
    <n v="1"/>
    <n v="87742"/>
    <n v="87742"/>
    <n v="1"/>
    <s v="​Entre abril a junio se radicaron y trasladaron al responsable del aseguramiento a travez de una orden de inmediato y obligatorio cumplimiento 87.742 reclamos en salud recibidos por el canal presencial_x000a_"/>
    <b v="1"/>
    <s v="https://acortar.link/VISX52"/>
    <s v="2025"/>
    <s v="Elemento"/>
    <s v="sites/PlanAnualdeGestin/Lists/REPORTE SEGUIMIENTO PAG"/>
  </r>
  <r>
    <s v="Delegatura para Operadores Logísticos de Tecnologías en Salud y Gestores Farmacéuticos"/>
    <x v="5"/>
    <x v="83"/>
    <s v="Realizar actividades de IVC a los Operadores Logísticos de Tecnologías en Salud y/o Gestores Farmacéuticos objeto de supervisión en el marco del proceso de operación"/>
    <s v="Actividades de IVC a los OLTS y/o GF objeto de supervisión en el marco del proceso de operación inicial de la Supervisión Basada en Riesgos"/>
    <s v="Número de actividades de IVC a los OLTS y/o GF objeto de supervisión en el marco del proceso de operación inicial de la Supervisión Basada en Riesgos"/>
    <s v="Numérica"/>
    <n v="1"/>
    <n v="1"/>
    <n v="1"/>
    <n v="1"/>
    <s v="​_x000a_Se realizó actividad de IV con el Gestor Farmacéutico COHAN y  representantes de FOMAG en la ciudad de Quibdo  la cual tuvo como objetivos fundamental:Presentación de la información por parte del Gestor Farmacéutico.Presentación de la información por parte de la EAPB.Lo cual es fundamental para el cumplimiento de las acciones de IV de la DOLTS-GF, de esta manera se da cumplimiento al 100% de lo propuesto en el PAG para mayo 2025._x000a__x000a__x000a_"/>
    <b v="0"/>
    <m/>
    <s v="2025"/>
    <s v="Elemento"/>
    <s v="sites/PlanAnualdeGestin/Lists/REPORTE SEGUIMIENTO PAG"/>
  </r>
  <r>
    <s v="Delegatura para Operadores Logísticos de Tecnologías en Salud y Gestores Farmacéuticos"/>
    <x v="5"/>
    <x v="91"/>
    <s v="Caracterizar a los nuevos Gestores Farmacéuticos identificados en los años 2023 y 2024 respecto del componente financiero."/>
    <s v="Caracterización individual de los nuevos Gestores Farmacéuticos identificados por la Dirección de Innovación y Desarrollo los años 2023 y 2024,respecto del componente financiero."/>
    <s v="Número de caracterizaciones realizadas a los Gestores Farmacéuticos Identificados respecto del componente financiero."/>
    <s v="Numérica"/>
    <n v="65"/>
    <n v="65"/>
    <n v="65"/>
    <n v="1"/>
    <s v=" En cumplimiento de las metas programadas por la DOLTS_GF SNS en el cronograma de actividades del Plan Anual de Gestión - PAG del mes junio de 2025, donde se incluyeron sesenta y cinco (65) caracterizaciones individuales de los “nuevos” Gestores Farmacéuticos identificados por la Dirección de Innovación y Desarrollo de los años 2023 y 2024, se anaxan las evidencias documentales de las actuaciones adelantadas por el Grupo Interno Financiero de esta Delegatura. De esta manera se da cumpliemiento al 100% de lo propuesto para el mes de junio 2025._x000a_"/>
    <b v="1"/>
    <s v="https://supersalud-my.sharepoint.com/:f:/r/personal/lilia_torres_supersalud_gov_co/Documents/2025?csf=1&amp;web=1&amp;e=Z2j28e"/>
    <s v="2025"/>
    <s v="Elemento"/>
    <s v="sites/PlanAnualdeGestin/Lists/REPORTE SEGUIMIENTO PAG"/>
  </r>
  <r>
    <s v="Delegatura Prestadores de Servicios en Salud"/>
    <x v="5"/>
    <x v="37"/>
    <s v="Realizar auditorías a los Prestadores de Servicios en Salud (PSS) para verificar el cumplimiento de las normas que regulan el Sistema de Salud y la gestión de los riesgos inherentes del sistema."/>
    <s v="Auditorías realizadas a los Prestadores de Servicios en Salud (PSS) en cumplimiento del Programa Anual de Auditoría de la Delegada"/>
    <s v="Número de auditorías realizadas a los Prestadores de Servicios en Salud (PSS)"/>
    <s v="Numérica"/>
    <n v="17"/>
    <n v="18"/>
    <n v="17"/>
    <n v="1.0588235294117601"/>
    <s v="Para el segundo trimestre de 2025, la Dirección de Inspección y Vigilancia para Prestadores de Servicios de Salud, programó 17 auditorias, de la siguiente manera:_x000a_En el mes de abril, se programaron 10 auditorias de las cuales se ejecutaron 10._x000a_En el mes de mayo se programaron 2 auditorias de las cuales se ejecutaron 2._x000a_En el mes de junio, aunque, se programaron 5 auditorias, se ejecutaron 6. Esta auditoria adicional, tuvo alcance específico, debido a situaciones presentadas en el sistema, que requirieron atención inmediata del Equipo IV de Salud._x000a__x000a__x000a_Por lo anterior, para el II trimestre de 2025, se presenta una ejecución del 105%, correspondiente a la ejecución de 18 auditorías, de 17 programadas para dicho periodo._x000a__x000a_"/>
    <b v="0"/>
    <m/>
    <s v="2025"/>
    <s v="Elemento"/>
    <s v="sites/PlanAnualdeGestin/Lists/REPORTE SEGUIMIENTO PAG"/>
  </r>
  <r>
    <s v="Delegatura Prestadores de Servicios en Salud"/>
    <x v="5"/>
    <x v="38"/>
    <s v="Realizar análisis a los Planes de Mejoramiento suscritos por los Prestadores de Servicios de Salud durante el periodo de evaluación."/>
    <s v="Porcentaje de Planes de Mejoramiento evaluados"/>
    <s v="Número de Planes de Mejoramiento evaluados al corte / Número de Planes de Mejoramiento gestionados en el periodo"/>
    <s v="Porcentual"/>
    <n v="1"/>
    <n v="75"/>
    <n v="77"/>
    <n v="0.97402597402597402"/>
    <s v="En el segundo trimestre de 2025 se evaluaron 24 planes de mejoramiento en su primera revisión y 8 en su segunda revisión para aprobación. Asimismo, se llevó a cabo el análisis y la evaluación de los soportes y evidencias de ejecución de 43 planes de mejoramiento, para un total de 75 planes de mejoramiento evaluados de 77 gestionados en el periodo, lo cual corresponde al 97% de ejecución._x000a__x000a__x000a__x000a_Cabe señalar que dos (2) planes radicados para primera revisión fueron evaluados posterior al plazo establecido._x000a_"/>
    <b v="0"/>
    <m/>
    <s v="2025"/>
    <s v="Elemento"/>
    <s v="sites/PlanAnualdeGestin/Lists/REPORTE SEGUIMIENTO PAG"/>
  </r>
  <r>
    <s v="Delegatura Prestadores de Servicios en Salud"/>
    <x v="5"/>
    <x v="92"/>
    <s v="Realizar seguimiento a la gestión de promotores designados en la promoción de acuerdos de reestructuración de pasivos que se encuentran en etapa de celebración del acuerdo"/>
    <s v="Porcentaje de acciones de seguimiento a promotores de acuerdos de reestructuración de pasivos hasta la etapa de celebración del acuerdo respectivo"/>
    <s v="Número de acciones de seguimiento a la gestión de promotores de acuerdos de reestructuración de pasivos realizadas / Número de acciones de seguimiento a la gestión de promotores de acuerdos de reestructuración de pasivos programadas"/>
    <s v="Porcentual"/>
    <n v="1"/>
    <n v="1"/>
    <n v="1"/>
    <n v="1"/>
    <s v="​Para el I semestre de 2025, se realizó una (1) visita de seguimiento programada a la ESE Hospital San Diego de Cereté del departemento de Cordoba, la cual tuvo como objetivo, participar en la reunion convocada en el marco de acuerdo de reestructuración de pasivos, dando cumplimiento a la meta establecida del 100%._x000a_"/>
    <b v="0"/>
    <m/>
    <s v="2025"/>
    <s v="Elemento"/>
    <s v="sites/PlanAnualdeGestin/Lists/REPORTE SEGUIMIENTO PAG"/>
  </r>
  <r>
    <s v="Delegatura Prestadores de Servicios en Salud"/>
    <x v="5"/>
    <x v="93"/>
    <s v="Realizar eventos de difusión y socialización a los Agentes Especiales Interventores y Contralores respecto a los fines, acciones y cumplimiento de las medidas especiales"/>
    <s v="Eventos de difusión, socialización y capacitación realizados en relación con las acciones y medidas especiales adoptadas a los Prestadores de Servicios de Salud-PSS de la Superintendencia Nacional de Salud"/>
    <s v="Número de Eventos de difusión, socialización y capacitación realizados/Número de Eventos de difusión, socialización y capacitación programados"/>
    <s v="Porcentual"/>
    <n v="1"/>
    <n v="3"/>
    <n v="3"/>
    <n v="1"/>
    <s v="​Para el I semestre de la vigencia 2025, la Delegada para Prestadores de Servicios de Salud, realizó dos (2) eventos de socialización y uno (1) de concertacion con EPS, para un total de tres (3) eventos en relación con las acciones y medidas especiales adoptadas a los Prestadores de Servicios de Salud-PSS, dando cumplimiento a la meta establecida del 100%_x000a_"/>
    <b v="0"/>
    <m/>
    <s v="2025"/>
    <s v="Elemento"/>
    <s v="sites/PlanAnualdeGestin/Lists/REPORTE SEGUIMIENTO PAG"/>
  </r>
  <r>
    <s v="Delegatura Prestadores de Servicios en Salud"/>
    <x v="5"/>
    <x v="39"/>
    <s v="Realizar seguimiento en campo a las ESE bajo medida con el fin de hacer seguimiento a la gestión de agentes interventores, contralores, gerentes y revisores fiscales"/>
    <s v="Porcentaje de cumplimiento de seguimientos en campo a ESE bajo medida"/>
    <s v="Numero de seguimientos en campo realizados a los Prestadores de Servicios de Salud (PSS) bajo acción o medida especial / Total de seguimientos programados a ESE bajo medida"/>
    <s v="Porcentual"/>
    <n v="0.3"/>
    <n v="11"/>
    <n v="11"/>
    <n v="1"/>
    <s v="​Para el II trimestre de 2025, La Dirección de Medidas Especiales para Prestadores de Servicios de Salud realizó 11 seguimientos programados a los Prestadores de Servicios de Salud (PSS) bajo medida especial, de la siguiente manera: Nueva ESE Hospital Dptal San Francisco de Asís, Subred integrada de servicios de salud Centro Oriente (2), ESE Hospital San Rafael de Leticia, E.S.E Hospital Local Cartagena de Indias, Hospital San Andrés ESE – Tumaco, ESE Hospital San José de Maicao, Hospital Regional San Andrés E.S.E - Chiriguaná, Hospital Regional Magdalena Medio – Barrancabermeja, ESE Hospital Rosario Pumarejo de López y ESE Hospital de Nazareth_x000a_"/>
    <b v="0"/>
    <m/>
    <s v="2025"/>
    <s v="Elemento"/>
    <s v="sites/PlanAnualdeGestin/Lists/REPORTE SEGUIMIENTO PAG"/>
  </r>
  <r>
    <s v="Delegatura Prestadores de Servicios en Salud"/>
    <x v="5"/>
    <x v="94"/>
    <s v="Realizar monitoreo y verificación al cumplimiento de las ordenes impartidas por la SNS a agentes interventores, contralores, gerentes y revisores fiscales de las ESE bajo medida, mediante acciones como mesas de trabajo, análisis reporte resultados indicadores mínimos de gestión y avance plan de acción del agente interventor."/>
    <s v="Porcentaje de acciones de monitoreo y verificación adelantadas a agentes interventores, contralores, gerentes y revisores fiscales de los Prestadores de Servicios en Salud - PSS con medida adoptada"/>
    <s v="Número de acciones de monitoreo y verificación realizadas a los Prestadores de Servicios de Salud- PSS con medida adoptada / Número de acciones de monitoreo y verificación a los prestadores de servicios de salud PSS bajo medida programadas."/>
    <s v="Porcentual"/>
    <n v="1"/>
    <n v="148"/>
    <n v="148"/>
    <n v="1"/>
    <s v="​Para el I semestre de 2025, la Dirección de Medidas Especiales para Prestadores de Servicios de Salud realizó 148 acciones de monitoreo y verificación a los Prestadores de Servicios de Salud- PSS con medida, de las cuales 28 corresponden a fichas, 14 a bullets, 9 a conceptos, 11 a seguimimientos en campo, 46 a Fenix y 40 a informes de gestion ante el superintendente, dando cumplimiento a la meta programada del 100%._x000a_"/>
    <b v="0"/>
    <m/>
    <s v="2025"/>
    <s v="Elemento"/>
    <s v="sites/PlanAnualdeGestin/Lists/REPORTE SEGUIMIENTO PAG"/>
  </r>
  <r>
    <s v="Delegatura Prestadores de Servicios en Salud"/>
    <x v="5"/>
    <x v="95"/>
    <s v="Adelantar seguimiento a la gestión del Programa de Mejoramiento Institucional - PMI"/>
    <s v="Porcentaje de seguimiento a la ejecución del Programa de Mejoramiento Institucional"/>
    <s v="(La formula del indicador quedaría de la siguiente manera: Número de seguimientos adelantados a los PMI / Numero de PMI reportados a la Dirección IV para PSS)*100_x000a_"/>
    <s v="Porcentual"/>
    <n v="1"/>
    <n v="30"/>
    <n v="30"/>
    <n v="1"/>
    <s v="En el primer semestre de 2025 se realizaron en total 30 seguimientos a Programas de Mejoramiento Institucional suscritos por 15 Empresas Sociales del Estado, correspondientes a la ejecución de los compromisos para el III y IV trimestre de la vigencia 2024._x000a__x000a_Por lo anterior, para el I semestre de 2025, se da cumplimiento a meta establecida del 100%._x000a_"/>
    <b v="0"/>
    <m/>
    <s v="2025"/>
    <s v="Elemento"/>
    <s v="sites/PlanAnualdeGestin/Lists/REPORTE SEGUIMIENTO PAG"/>
  </r>
  <r>
    <s v="Delegatura Prestadores de Servicios en Salud"/>
    <x v="5"/>
    <x v="96"/>
    <s v="Realizar seguimiento a la implementación del Programa de Equipos Básicos en Salud desde la estrategia de Atención Primaria en Salud desplegada por el Ministerio de Salud y Protección Social."/>
    <s v="Porcentaje de seguimiento a los recursos asignados para la implementación de los equipos basicos en Salud en las ESE"/>
    <s v="Número de seguimientos efectuados / Total de ESE con asignación de recursos para el Programa de Equipos Básicos en Salud, conocidas por la Supersalud."/>
    <s v="Porcentual"/>
    <n v="1"/>
    <n v="935"/>
    <n v="935"/>
    <n v="1"/>
    <s v="Dando continuidad a las acciones de IV relacionadas con la asignación y ejecución de recursos a la ESE por equipos básicos en salud, se efectuó el envío de un comunicado masivo a 935 ESE registradas como activas en REPS, con el fin de obtener información al corte a 31 de mayo de 2025._x000a__x000a_Dado que a la fecha se están realizando acciones de articulación con el Ministerio de Salud y Protección Social para identificar la totalidad de ESE con asignación efectiva de recursos, el masivo se remitió a 935 ESE, no obstante los beneficiarios de giro pudiesen ser menos; información que se encuentra en depuración en la actualidad de conformidad con los insumos que entregue el citado Ministerio._x000a_"/>
    <b v="0"/>
    <m/>
    <s v="2025"/>
    <s v="Elemento"/>
    <s v="sites/PlanAnualdeGestin/Lists/REPORTE SEGUIMIENTO PAG"/>
  </r>
  <r>
    <s v="Delegatura Prestadores de Servicios en Salud"/>
    <x v="5"/>
    <x v="97"/>
    <s v="Monitorear los riesgos y su gestión a los prestadores de servicios de salud priorizados conforme a las herramientas definidas en la Dirección de Inspección y Vigilancia para Prestadores."/>
    <s v="Total de acciones de Inspección y Vigilancia para el monitoreo de los riesgos"/>
    <s v="Numero total de acciones de Inspección y Vigilancia para el monitoreo de los riesgos"/>
    <s v="Numérica"/>
    <n v="1"/>
    <n v="1"/>
    <n v="1"/>
    <n v="1"/>
    <s v="Para el I semestre de la vigencia 2025, se realizó una (1) acción de IV relacionada con monitoreo de riesgos- (Requerimiento de información al vigilado CENTRO DERMATOLOGICO FEDERICO LLERAS ACOSTA E.S.E, teniendo en cuenta los siguientes antecedentes:_x000a_*El 7 de febrero de 2025, se recibió traslado por parte de la Contraloría General de la República a través del radicado nro. 20259300400720912, mediante el cual informaron dos (2) hallazgos identificados en el marco de la auditoría de Cumplimiento al CENTRO DERMATOLOGICO FEDERICO LLERAS ACOSTA E.S.E de las vigencias 2022 y 2023, los cuales quedaron registrados en el informe CGR-CDSS 033 de diciembre 6 de 2024 y se citan a continuación:_x000a_&quot;Hallazgo 10. Consulta previa de Sistema de Administración de Riesgos de Lavado de Activos y Financiación del Terrorismo (SARLAFT) y de listas restrictivas y de control internacionales y nacionales. (A-D-OI).&quot;_x000a_&quot;Hallazgo 16. Mayores valores pagados a Proveedores por Medicamentos, Insumos o Productos vigencias 2022 y 2023. (A-D-OI-IP).&quot;_x000a_A tal efecto, en el desarrollo de dichas acciones, se verificaron las evidencias allegadas por la Contraloría en lo relacionado al Subsistema de Administración del Riesgo de Lavado de Activos, Financiación del Terrorismo y Financiación de la Proliferación de Armas de Destrucción Masiva._x000a_*El 25/02/2025 se realizó el primer requerimiento a través del radicado nro. 20254100000392221, el vigilado da respuesta 28/02/2025 mediante el radicado nro.20259300404316142._x000a_*El 20/04/2025 se realizó el primer requerimiento a través del radicado nro. 20254100000856901, el 19/05/2025 se realizó reiteración a través del radicado nro. 20254100001084001, el vigilado da respuesta 21/05/2025 mediante el radicado nro.20259300411249152._x000a_*El 6/06/2025 se realizó el primer requerimiento a través del radicado nro.20254100001232821, el vigilado da respuesta 11/06/2025 mediante el radicado nro. 20259300413165572._x000a__x000a_En virtud de lo anterior, se elaboró informe con los incumplimientos evidenciados._x000a_Por lo anterior, se da cumplimiento a la meta establecida para el I semestre de la vigencia 2025 de realizar una acción de monitoreo de riesgos a un vigilado priorizado para tal fin._x000a_"/>
    <b v="0"/>
    <m/>
    <s v="2025"/>
    <s v="Elemento"/>
    <s v="sites/PlanAnualdeGestin/Lists/REPORTE SEGUIMIENTO PAG"/>
  </r>
  <r>
    <s v="Delegatura Prestadores de Servicios en Salud"/>
    <x v="5"/>
    <x v="98"/>
    <s v="Generar alertas a partir del monitoreo de los riesgos financieros en las Empresas Sociales del Estado priorizadas, que les permitan establecer controles y anticipen la afectación que se pueda ocasionar en la atención de los usuarios por una inadecuada gestión de los recursos."/>
    <s v="Alertas identificadas y gestionadas en el monitoreo y vigilancia de los recursos financieros a 25 ESE durante la vigencia 2025, respecto de 4 indicadores financieros."/>
    <s v="Número alertas gestionadas en las ESE"/>
    <s v="Numérica"/>
    <n v="40"/>
    <n v="40"/>
    <n v="40"/>
    <n v="1"/>
    <s v="Desde las acciones realizadas por la Delegada para Prestadores de Servicios de Salud, se monitorea el resultado de cuatro (4) indicadores calculados a partir de la información financiera reportada por las ESE al cierre de la vigencia anterior (2024), los cuales contemplan variables relacionadas con cartera, pasivos especialmente al talento humano en salud, pérdidas operacionales y generación de recaudo frente a ingresos causados. _x000a__x000a__x000a_Como meta se estableció el seguimiento y realización de acciones de inspección y vigilancia sobre 25 Empresas Sociales del Estado distribuidas así: _x000a_• Diez (10) durante el primer semestre _x000a_• Quince (15) durante el segundo semestre _x000a__x000a__x000a_Lo anterior con el fin de verificar en campo el comportamiento y fallas que se pudieran identificar frente a los resultados obtenidos en los indicadores. Producto de estas acciones, se generan los respectivos informes de auditoría y traslados a entidades a las autoridades competentes. _x000a__x000a__x000a_En este sentido, para efectos de obtener el resultado del indicador, se multiplica el número de Empresas Sociales del Estado priorizadas por el número cuatro (4) que equivale a la cantidad de indicadores verificados desde el componente financiero a partir de la información financiera, como se indicó anteriormente._x000a__x000a__x000a_Es decir, que para el I semestre de la vigencia 2025, se realizaron acciones de IV a diez (10) ESE multiplicado por 4 indicadores financieros, para un total de 40 alertas identificadas y gestionadas en el monitoreo y vigilancia de los recursos financieros._x000a__x000a__x000a__x000a_"/>
    <b v="0"/>
    <m/>
    <s v="2025"/>
    <s v="Elemento"/>
    <s v="sites/PlanAnualdeGestin/Lists/REPORTE SEGUIMIENTO PAG"/>
  </r>
  <r>
    <s v="Delegatura Prestadores de Servicios en Salud"/>
    <x v="5"/>
    <x v="99"/>
    <s v="Brindar apoyo técnico científico, jurídico, financiero y admistrativo para el seguimiento y monitoreo de los vigilados a cargo de la Oficina de Liquidaciones"/>
    <s v="Orientaciones técnicas a los Prestadores de Servicios en Salud ejecutadas"/>
    <s v="Número de orientaciones técnicas realizadas a los prestadores de servicios de salud"/>
    <s v="Numérica"/>
    <n v="5"/>
    <n v="7"/>
    <n v="5"/>
    <n v="1.4"/>
    <s v="Para el I semestre de la vigencia 2025, la Dirección de Inspección y Vigilancia para Prestadores de Servicios de Salud, si bien realizó la programación de 5 orientaciones técnicas, se ejecutaron 7, lo que corresponde a un cumplimiento del 140% vs la meta establecida._x000a__x000a__x000a__x000a__x000a_En ese orden de ideas, las dos (2) orientaciones técnicas que se realizaron adicional a las programadas para este periodo, se enfocaron en:_x000a__x000a__x000a__x000a__x000a_La situación de alerta y emergencia en todo el territorio nacional por fiebre amarilla específicamente en el Departamento del Tolima, por lo que en el marco de la Circular Externa 0018 de 2024, mediante la cual el Ministerio de Salud y Protección Social emite directrices para la preparación, organización y respuesta ante este evento de interés en salud pública. Este despacho consideró relevante generar un espacio para la realización de orientación técnica con los Prestadores de Servicios de Salud del Tolima, con el fin de afianzar el deber del prestador como Unidad Primaria Generadora de Datos - UPGD, así como de reiterar la responsabilidad que les asiste en el cumplimiento de las características del Sistema General de Seguridad Social en Salud, como accesibilidad, oportunidad, seguridad, pertinencia y continuidad._x000a__x000a__x000a__x000a__x000a_Teniendo en cuenta que el Chocó se encuentra entre los Departamentos con mayor número de casos de desnutrición aguda en menores de 5 años (evento 113), morbilidad materna extrema (evento 549) y mortalidad materna (550), se realizó jornada de seguimiento a los planes de mejora de los prestadores priorizados ante los eventos de Interés en Salud Pública desnutrición y morbimortalidad materna y perinatal, con el objetivo de verificar el cumplimiento efectivo del plan de mejora generado por parte de los ocho (8) prestadores de servicios de salud priorizados, frente a la atención de los menores de edad de 0 a 59 meses, las gestante y neonatos en los territorios de influencia de cada uno de ellos con el propósito disminuir la desnutrición y la morbimortalidad materno perinatal._x000a__x000a_"/>
    <b v="0"/>
    <m/>
    <s v="2025"/>
    <s v="Elemento"/>
    <s v="sites/PlanAnualdeGestin/Lists/REPORTE SEGUIMIENTO PAG"/>
  </r>
  <r>
    <s v="Delegatura Prestadores de Servicios en Salud"/>
    <x v="5"/>
    <x v="100"/>
    <s v="Analizar y tramitar las solicitudes para la promoción de acuerdos de reestructuración de pasivos presentadas ante la Superintendencia Nacional de Salud por los prestadores de servicios de salud públicos, determinando las causales de aceptación o rechazo según corresponda"/>
    <s v="Porcentaje de solicitudes de promoción de acuerdos de restructuración de pasivos tramitadas"/>
    <s v="Número de solicitudes de acuerdos de restructuración de pasivos evaluados en el periodo/ Número de acuerdos de restructuración de pasivos solicitados con vencimiento del término."/>
    <s v="Porcentual"/>
    <n v="1"/>
    <n v="1"/>
    <n v="1"/>
    <n v="1"/>
    <s v="​Para el I semestre del año 2025, no se presentaron solicitudes para la promoción de acuerdo de reestructuración de pasivos, por lo que no se hizo necesaria la validación de cumplimiento de requisitos establecidos en el articulo 6 de la ley 550 de 1999_x000a_"/>
    <b v="0"/>
    <m/>
    <s v="2025"/>
    <s v="Elemento"/>
    <s v="sites/PlanAnualdeGestin/Lists/REPORTE SEGUIMIENTO PAG"/>
  </r>
  <r>
    <s v="Delegatura Prestadores de Servicios en Salud"/>
    <x v="5"/>
    <x v="101"/>
    <s v="Resolver o gestionar las solicitudes de los vigilados relacionadas con las Reformas Estatutarias de IPS conforme a los descrito en la normatividad vigente."/>
    <s v="Porcentaje de solicitudes gestionadas de los vigilados relacionados con reformas estatutarias"/>
    <s v="Número de solicitudes de reformas estatutarias gestionadas/Número de solicitudes de reformas estatutarias recibidas para trámite en la vigencia."/>
    <s v="Porcentual"/>
    <n v="1"/>
    <n v="10"/>
    <n v="10"/>
    <n v="1"/>
    <s v="Para el I semestre de 2025, se gestionaron 10 solicitudes de reformas estatutarias de 10 recibidas para trámite en la Dirección IV para Prestadores de Servicios de Salud, de las cuales, 2 finalizaron con resolución, 1 finalizó con oficio y 7 gestionadas con análisis de SARLAFT, análisis financiero y requerimiento al vigilado._x000a__x000a__x000a_Por lo anterior, se da cumplimiento a la meta establecida del 100% para el periodo evaluado._x000a__x000a_"/>
    <b v="0"/>
    <m/>
    <s v="2025"/>
    <s v="Elemento"/>
    <s v="sites/PlanAnualdeGestin/Lists/REPORTE SEGUIMIENTO PAG"/>
  </r>
  <r>
    <s v="Delegatura Prestadores de Servicios en Salud"/>
    <x v="5"/>
    <x v="102"/>
    <s v="Resolver los recursos de apelación por evaluación de gerentes y evaluación no satisfactoria por no presentación de proyecto de plan de gestión o de informe de cumplimiento de plan de gestión de las Empresas Sociales del Estado."/>
    <s v="Porcentaje de recursos de apelación por evaluación de gerentes y evaluación no satisfactoria por no presentación del plan de gestión."/>
    <s v="Número de recursos de apelación por evaluación de gerentes y evaluación no satisfactoria por no presentación del plan de gestión, gestionadas en los tiempos establecidos/ Número de recursos de apelación por evaluación de gerentes y evaluación no satisfactoria por no presentación del plan de gestión recibidas."/>
    <s v="Porcentual"/>
    <n v="1"/>
    <n v="1"/>
    <n v="1"/>
    <n v="1"/>
    <s v="​Para el I semestre de 2025, se recibió un recurso de apelación por evaluación de gerente, el cual fue gestionado en el término establecido, dando cumplimiento a la meta proyectada del 100%._x000a_"/>
    <b v="0"/>
    <m/>
    <s v="2025"/>
    <s v="Elemento"/>
    <s v="sites/PlanAnualdeGestin/Lists/REPORTE SEGUIMIENTO PAG"/>
  </r>
  <r>
    <s v="Dirección de Innovación y Desarrollo"/>
    <x v="5"/>
    <x v="40"/>
    <s v="Ejecutar cronograma de actividades diseñado para fortalecer sistema de Gestión de Innovación de la Superintendencia Nacional de Salud"/>
    <s v="Porcentaje de implementación del Sistema de Gestión de Innovación"/>
    <s v="Número de actividades ejecutadas para el fortalecimiento del Sistema de Gestión de Innovación de la Superintendencia Nacional de Salud / Número de actividades definidas para el fortalecimiento del Sistema de Gestión de Innovación de la Superintendencia Nacional de Salud * 100"/>
    <s v="Porcentual"/>
    <n v="0.5"/>
    <n v="50"/>
    <n v="100"/>
    <n v="1"/>
    <s v="​Para el periodo de tiempo reportado, con relación a la implementación de la Política GESCO+I y con relación al cronograma definido, se adelantaron las siguientes acciones: _x000a__x000a_Actividades: _x000a_1. Formular estrategias para programa de habilidades blandas para fortalecer la cultura de la innovación_x000a_2. Identificar, analizar y evaluar planes, proyectos e ideas que se generen del SGI_x000a_3. Fomentar la generación de foros y espacios de innovación abierta con otras entidades y grupos de interés._x000a_Evidencias:_x000a_A) Actividades: 1,2 y 3. Durante los meses de mayo y junio, se realizaron WORKSHOPS TERRITORIALES en las Direcciones regionales Andina y Occidente, con el fin de identificar técnicamente necesidades y proyectos que aporten a la innovación, así como capacitar y fortalecer habilidades sobre innovación y gestión del conocimiento. Se adjunta presentación con los resultados y análisis._x000a__x000a_B) Actividad 3: Durante el mes de junio se adelantó acercamiento con el HUBiEX de la Universidad el Bosque, en el marco del MOU que se tiene con esta organización. Lo anterior, para dar inicio a un proyecto que le permita a la entidad automatizar el proceso de PQRS mediante Inteligencia Artificial. Se adjunta video SUPERMAGZINE en el cual se refleja esta actividad. _x000a_C) Adicionalmente, se implementó estrategia de Gestión del Conocimiento con el fin de mitigar la fuga del conocimiento. Se crearon repositorios de información (link adjunto) yse creó el primer mapa del conocimiento de la entidad. Teniendo en cuenta que la información contenida en este espacio tiene una clasificación y reserva no se puede adjuntar, para verificar la información se puede administrar acceso posterior a la solicitud. _x000a__x000a__x000a__x000a_"/>
    <b v="1"/>
    <s v="https://supersalud.sharepoint.com/teams/Gestiondelconocimiento/Shared%20Documents/Forms/AllItems.aspx"/>
    <s v="2025"/>
    <s v="Elemento"/>
    <s v="sites/PlanAnualdeGestin/Lists/REPORTE SEGUIMIENTO PAG"/>
  </r>
  <r>
    <s v="Dirección de Innovación y Desarrollo"/>
    <x v="5"/>
    <x v="41"/>
    <s v="Diseñar las políticas. instrumentos, guías, metodologías y lineamientos, a partir de las solicitudes y necesidades identificadas y gestionadas"/>
    <s v="Porcentaje de solicitudes gestionadas de políticas, instrumentos, guías, metodologías y lineamientos"/>
    <s v="Número de solicitudes de políticas, instrumentos, guías, metodologías y lineamientos gestionadas / Número de solicitudes de políticas, instrumentos, guías, metodologías y lineamientos identificadas * 100"/>
    <s v="Porcentual"/>
    <n v="1"/>
    <n v="14"/>
    <n v="14"/>
    <n v="1"/>
    <s v="​Teniendo en cuenta que este indicador es a demanda, durante el segundo trimestre, se gestionaron las seiguientes actividades y documentos: _x000a__x000a_1. Circular externa de liquidaciones con la actualización de los formatos FT015 Y FT012  _x000a_2. Circular 030 de 2013 _x000a_3. Formulario de reclamos realizado con la DID -DPU - DGFOLTS _x000a_4. Metodología de reclamos en Salud I1 _x000a_5. Metodología para el calculo de los IOSC. _x000a_6. Circular externa para actualizar archivos de la 006 de 2018 con ADRES_x000a_7. Sentencia T760 _x000a_8. Circular 011 _x000a_9. Capacidad técnica, para agente interventor , liquidador o contralor . _x000a_10. Circular externa 001 de 2020 _x000a_11. ABC- Reclamos en Salud. _x000a_12. Metodología SOAT _x000a_13. Circular SIARC_x000a_14. Metodología Siniestralidad_x000a__x000a__x000a_"/>
    <b v="1"/>
    <s v="https://supersalud.sharepoint.com/:f:/g/DID/PeI/EraW8l1GC9lOiIW8IcCjEMcBq89Sx23QXqVNhLcpRzRHEg?e=ZYcmDm"/>
    <s v="2025"/>
    <s v="Elemento"/>
    <s v="sites/PlanAnualdeGestin/Lists/REPORTE SEGUIMIENTO PAG"/>
  </r>
  <r>
    <s v="Dirección de Innovación y Desarrollo"/>
    <x v="5"/>
    <x v="103"/>
    <s v="Diseñar el Marco Integral de Supervisión y generar estrategias de uso y apropiación"/>
    <s v="Porcentaje de avance en el diseño e implementación de estrategias de uso y apropiación del Marco Integral de Supervisión."/>
    <s v="Número de productos términados del Marco Integral de Supervisión / Número total de productos programados para el diseño del Marco Integral de Supervisión"/>
    <s v="Numérica"/>
    <n v="0.5"/>
    <n v="2"/>
    <n v="4"/>
    <n v="0.5"/>
    <s v="​_x000a_En cumplimiento del objetivo de diseñar el Marco Integral de Supervisión y promover su apropiación institucional, durante el periodo reportado se llevaron a cabo mesas de trabajo con las diferentes áreas de la Superintendencia Nacional de Salud. Estos espacios de articulación permitieron avanzar en la validación técnica y conceptual del marco, realizar los ajustes necesarios y dar respuesta a los comentarios y observaciones emitidos por las dependencias involucradas._x000a_Las mesas de trabajo no solo facilitaron la retroalimentación oportuna, sino que también contribuyeron a generar sentido de pertenencia y compromiso institucional con el instrumento, sentando las bases para la implementación gradual de estrategias de uso y apropiación en los distintos niveles de la entidad. Esta fase participativa garantiza que el Marco responda a las necesidades reales del ejercicio de la supervisión, fortaleciendo su aplicabilidad y sostenibilidad en el tiempo._x000a__x000a_Se adjunta documento del MIS ajustado. _x000a_"/>
    <b v="1"/>
    <s v="https://supersalud.sharepoint.com/:b:/g/DID/PeI/EUm0usj7X0BCsjh98GLahZ0BEXGWSs3NjF98uea-KeaLrg?e=aQuhKF"/>
    <s v="2025"/>
    <s v="Elemento"/>
    <s v="sites/PlanAnualdeGestin/Lists/REPORTE SEGUIMIENTO PAG"/>
  </r>
  <r>
    <s v="Dirección de Innovación y Desarrollo"/>
    <x v="5"/>
    <x v="42"/>
    <s v="Diseñar el programa de gestión del conocimiento: Ejecutando el cronograma de actividades para la implementación y sostenibilidad de la política de gestión y desempeño de Gestión del Conocimiento y la Innovación:"/>
    <s v="Programa de Gestión del Conocimiento diseñado"/>
    <s v="Avance en el programa de Gestión del Conocimiento diseñado"/>
    <s v="Numérica"/>
    <n v="1"/>
    <n v="1"/>
    <n v="1"/>
    <n v="1"/>
    <s v="​Durante el primer semestre se avanzó en la elaboración y formulación de un Programa de Gestión del Conocimiento, el cual busca alinear todas las iniciativas, acciones y proyectos que la Superintendencia Nacional de Salud debe seguir adelantando para la implementación de la Política GESCO+I. Éste se encuentra en validación. _x000a_"/>
    <b v="1"/>
    <s v="https://supersalud-my.sharepoint.com/:b:/g/personal/gerson_ruiz_supersalud_gov_co/Eajq2qlUUwVDl86-4YjthbEBuDITyZoiUwKdU7lAIxdkoA?e=2133Tm"/>
    <s v="2025"/>
    <s v="Elemento"/>
    <s v="sites/PlanAnualdeGestin/Lists/REPORTE SEGUIMIENTO PAG"/>
  </r>
  <r>
    <s v="Dirección de Innovación y Desarrollo"/>
    <x v="5"/>
    <x v="104"/>
    <s v="Socializar, divulgar y brindar acompañamiento técnico para la implementación de instrumentos, guías, metodologías y lineamientos a nivel interno (nacional y regional) y externo (cuando aplique)."/>
    <s v="Jornadas de socialización y acompañamiento técnico de instrumentos, guías, metodologías y lineamientos durante la vigencia 2025"/>
    <s v="Número de jornadas de socializacion e implementación de instrumentos, guías, metodologías y lineamientos"/>
    <s v="Numérica"/>
    <n v="2"/>
    <n v="2"/>
    <n v="2"/>
    <n v="1"/>
    <s v="Se realizaron dos (2) socializaciones: _x000a_1. Bogota-Circular SIARC._x000a_2. Cali- Reporte de información, Sistema integrado de gestión de riesgos , SIARC._x000a_"/>
    <b v="1"/>
    <s v="https://supersalud.sharepoint.com/:f:/g/DID/PeI/EsDvAcs2nKlAtOMG0dWRaCEBBozWbeBHjIY8_UbX1lP7RQ?e=dbgR2G"/>
    <s v="2025"/>
    <s v="Elemento"/>
    <s v="sites/PlanAnualdeGestin/Lists/REPORTE SEGUIMIENTO PAG"/>
  </r>
  <r>
    <s v="Dirección de Innovación y Desarrollo"/>
    <x v="5"/>
    <x v="43"/>
    <s v="Actualizar e implementar el Plan Estratégico de Tecnologías de la información (PETI)"/>
    <s v="Porcentaje de avance en el cumplimiento del Plan Estratégico de Tecnologías de la Información y las Comunicaciones PETI."/>
    <s v="Número de acciones ejecutadas para actualización e implementación del Plan Estratégico de Tecnologías de la información (PETI) / Número de acciones definidas para la actualización e implementación del Plan Estratégico de Tecnologías de la información (PETI) * 100"/>
    <s v="Porcentual"/>
    <n v="21"/>
    <n v="15"/>
    <n v="21"/>
    <n v="0.80952380952380998"/>
    <s v="​_x000a_Durante el segundo trimestre de 2025, la Subdirección de Tecnologías de la Información, en articulación con otras dependencias de la Superintendencia Nacional de Salud, avanzó en múltiples frentes estratégicos para el fortalecimiento institucional y tecnológico:_x000a_1.Fortalecimiento del talento humano y equipos técnicos: Se avanzó en la contratación de perfiles clave para el Grupo de Sistemas de Información, incluyendo arquitecto de software y desarrolladores, en apoyo al desarrollo de soluciones tecnológicas._x000a_2.Proyectos:_x000a_oHoja de Vida del Vigilado: Se avanzó en el levantamiento de información, análisis de requerimientos y definición de arquitectura inicial._x000a_oPaz y salvo: Se inicio con la fase de requerimientos del proceso de digitalización y automatización del Paz y Salvo._x000a_oGobernanza de Datos: Se formalizó la contratación con la Universidad de Antioquia para su implementación por fases._x000a_oArquitectura Empresarial: El inicio del proyecto se pospuso para el segundo semestre debido a limitaciones operativas._x000a_3.Gestión estratégica y operativa:_x000a_oSe diseñaron metodologías, plantillas e instrumentos estandarizados alineados con el Modelo de Gestión de Proyectos de TI (MGPTI), junto con estrategias de sensibilización y medición del nivel de madurez institucional._x000a_oSe elaboró el documento base del Plan de Capacidad de TI y se fortaleció la infraestructura tecnológica mediante mantenimiento preventivo, soporte y mejoras de conectividad._x000a_oSe avanzó en la articulación del equipo para alinear el Plan Institucional de Capacitación con las necesidades formativas TIC de las direcciones regionales, identificadas mediante un diagnóstico aplicado._x000a_4.Seguridad digital y protección de datos:_x000a_oSe presentó el monitoreo de riesgos de seguridad digital del primer trimestre como parte del control interno institucional._x000a_oSe fortaleció la implementación de controles de protección de datos personales, revisando políticas de privacidad y promoviendo un entorno de confianza._x000a_oSe formalizó y actualizó la documentación de activos de información y se realizaron capacitaciones a gestores y personal TI._x000a_5.Política de Gobierno Digital:_x000a_oSe adelantaron acciones para fortalecer su implementación como eje articulador de la transformación tecnológica institucional._x000a_6.Marco Integral de Supervisión:_x000a_oSe continúa con su diseño y definición de modelos de supervisión diferenciados, que servirán como base metodológica para la Inspección, Vigilancia y Control con enfoque preventivo._x000a__x000a__x000a__x000a__x000a_Se aclara que la meta no se cumplió por los siguientes motivos: _x000a__x000a_No fue posible dar inicio durante el primer semestre con el proyecto relacionado con la consolidación de las PQRS entorno a la prestación de los servicios de salud, debido a que no se logró la vinculación de un profesional para apoyar las actividades relacionadas con la definición de un mecanismo o herramienta para la consolidación, integración y consulta de las PQRS, tomando como punto de partida el análisis del estado actual de acuerdo con la normatividad vigente, los procesos, los datos, sistemas de información y tecnologías dispuestas actualmente para la gestión de PQRS en la entidad._x000a_El proyecto propuesto con la articulación del modelo de Gobernanza de Datos y su gestión de manera transversal en la entidad, no inicia ya que apenas se esta avanzando en la definición e implementación del modelo de Gobernanza de Datos y hasta que este proyecto no avance no será posible adelantar la articulación del modelo._x000a_El Plan de Continuidad del Negocio (BCP) se esta empezando a diseñar en conjunto con la oficina asesora de planeación y otras áreas de la entidad con la participación de los grupos de Seguridad Digital e Infraestructura y Servicios tecnológicos de la Subdirección de Tecnologías de la información, sin embargo, el proyecto relacionado con el acompañamiento en la implementación del Plan de Continuidad del Negocio (BCP), no puede iniciar hasta tanto no se haya definido el BCP._x000a_Por último, se espera que el proyecto del fortalecimiento de la Arquitectura Empresarial en la entidad se pueda iniciar en el segundo semestre de la presente vigencia ya que se tuvo que dar prioridad a otros temas debido a la alta ocupación de la capacidad operativa de la Subdirección de Tecnologías de la Información._x000a_"/>
    <b v="1"/>
    <s v="https://supersalud-my.sharepoint.com/:f:/g/personal/gerson_ruiz_supersalud_gov_co/EqneM5WuREJIsR8JBmjFeK0BEeVKEkFoZ4ATwChvej_IZg?e=M9kxRW"/>
    <s v="2025"/>
    <s v="Elemento"/>
    <s v="sites/PlanAnualdeGestin/Lists/REPORTE SEGUIMIENTO PAG"/>
  </r>
  <r>
    <s v="Dirección de Innovación y Desarrollo"/>
    <x v="5"/>
    <x v="44"/>
    <s v="Actualizar e implementar el Plan Estratégico de Tecnologías de la información (PETI)"/>
    <s v="Porcentaje de actividades ejecutadas en cumplimiento del Plan de Seguridad y Privacidad de la Información y Seguridad Digital"/>
    <s v="Total de actividades cumplidas del plan de seguridad y privacidad de la Información de la STI / Total de actividades definidas en el plan de seguridad y privacidad de la Información de la STI"/>
    <s v="Porcentual"/>
    <n v="5"/>
    <n v="4"/>
    <n v="5"/>
    <n v="0.5"/>
    <s v="El Modelo de Seguridad y Privacidad de la Información (MSPI) en Colombia es un conjunto de lineamientos y buenas prácticas que deben implementar las entidades públicas para gestionar adecuadamente la seguridad y privacidad de sus activos de información.    _x000a__x000a__x000a_Se basa en estándares internacionales como la ISO/IEC 27001 y está regido principalmente por el Ministerio de Tecnologías de la Información y las Comunicaciones (MinTIC) a través de la Resolución 00500 de 2021 (y sus actualizaciones, como la Resolución 02277 de 2025 que actualiza el MSPI) y el Decreto 338 de 2022._x000a__x000a__x000a_La implementación del MSPI en una entidad pública colombiana se desarrolla generalmente a través de un ciclo de operación que contempla cuatro fases principales: Planificación, Implantación (o Ejecución), Evaluación de Desempeño (o Monitoreo y Revisión) y Mejora Continua._x000a__x000a__x000a_Respecto al tema se realiza:_x000a_• Identificación y Clasificación de Activos de Información:_x000a_o Se actualiza procedimiento de activos de información en la entidad y se socializa el nuevo procedimiento, manual y herramienta de levantamiento de activos.  _x000a_o Se inicia con la actualización de activos de información de la entidad._x000a_• Gestión de Riesgos de Seguridad de la Información - Controles:_x000a_o Se realiza seguimiento a los planes de tratamiento de riesgos, para verificar el cumplimiento por parte de los procesos de la entidad de las medidas de mitigación y controles definidos._x000a_o Se genera informe de riesgos de seguridad y privacidad de la información, el primero desde la reestructuración de la entidad, en el cual además del seguimiento se dan recomendaciones para mejorar la gestión estos a todos los procesos de la entidad._x000a_o Se cambian las fechas de reporte de riesgos debido al cambio de personal por el concurso de méritos._x000a_o Se socializa el tema de activos de información y riesgos de seguridad y privacidad de la información a los gestores de la entidad para indicarles de que manera se debe abordar la actualización de activos y la actualización de los riesgos y sus planes de tratamiento asociado de cara al segundo semestre de 2025._x000a__x000a__x000a_• Desarrollo de Políticas y Procedimientos:_x000a_o Se inicia actualización de políticas de seguridad de la información._x000a_o Se inicia actualización de políticas de protección de datos."/>
    <b v="1"/>
    <s v="https://supersalud-my.sharepoint.com/:f:/g/personal/gerson_ruiz_supersalud_gov_co/ElZ1fPoPfo1Mi3LKrEiL_yMBo38yMpOsG4Ze9OrASWNwbQ?e=fReKTa"/>
    <s v="2025"/>
    <s v="Elemento"/>
    <s v="sites/PlanAnualdeGestin/Lists/REPORTE SEGUIMIENTO PAG"/>
  </r>
  <r>
    <s v="Dirección de Innovación y Desarrollo"/>
    <x v="5"/>
    <x v="45"/>
    <s v="Actualizar e implementar el Plan Estratégico de Tecnologías de la información (PETI)"/>
    <s v="Porcentaje de actividades ejecutadas en cumplimiento del Plan de Tratamiento de Riesgos de Seguridad y Privacidad de la Información"/>
    <s v="Total de actividades cumplidas del plan de Tratamientos de Riesgos de seguridad y privacidad de la Información de la STI / Total de actividades definidas en el plan de Tratamientos de Riesgos de seguridad y privacidadad de la Información de la STI"/>
    <s v="Porcentual"/>
    <n v="2"/>
    <n v="3"/>
    <n v="8"/>
    <n v="0.375"/>
    <s v="​Durante el segundo trimestre de 2025, se avanzó en la formulación y actualización del Plan de Tratamiento de Riesgos de Seguridad y Privacidad de la Información, como parte de las acciones estratégicas orientadas a fortalecer el Sistema de Gestión de Seguridad de la Información (SGSI) de la entidad. _x000a_Este plan contempla un conjunto de medidas preventivas, correctivas y de mitigación para gestionar los riesgos identificados, asegurando la confidencialidad, integridad y disponibilidad de la información institucional. _x000a_Asimismo, se priorizaron acciones según el nivel de criticidad de los activos y la probabilidad de ocurrencia de las amenazas, definiendo responsables, plazos y recursos necesarios para su implementación. _x000a_La ejecución de este plan busca garantizar el cumplimiento de la normativa vigente en materia de seguridad digital y protección de datos personales, reducir la exposición a incidentes y fortalecer la confianza de los ciudadanos en el manejo de su información._x000a__x000a_Se realizaron las dos actividades programadas para el periodo, dando un acumulado de 3 de 8 previstas para la vigencia."/>
    <b v="1"/>
    <s v="https://supersalud-my.sharepoint.com/:f:/g/personal/gerson_ruiz_supersalud_gov_co/EmWVMr0rNSRBvTS6ve9aaH8B0ulNbd20CY2g0iidp8RBag?e=0GWkGn"/>
    <s v="2025"/>
    <s v="Elemento"/>
    <s v="sites/PlanAnualdeGestin/Lists/REPORTE SEGUIMIENTO PAG"/>
  </r>
  <r>
    <s v="Dirección de Innovación y Desarrollo"/>
    <x v="5"/>
    <x v="46"/>
    <s v="Ejecutar acciones orientadas al desarrollo de los programas de Gobernanza y Gestión de Datos y de Información de la SNS"/>
    <s v="Acciones ejecutadas para el desarrollo de los programas de Gobernanza y Gestión de Datos y de Información de la SNS"/>
    <s v="Número total de acciones ejecutada para el desarrollo de los programas de Gobernanza y Gestión de Datos y de Información de la SNS"/>
    <s v="Numérica"/>
    <n v="15"/>
    <n v="15"/>
    <n v="15"/>
    <n v="1"/>
    <s v="​Durante el segundo trimestre, en el marco de la definición del Modelo de Gobernanza y Gestión de Datos e Información, se adelantaron las siguientes actividades:_x000a_Socialización Flujograma Gestionar Analítica de datos e información (1)Base Única de Vigilados actualizada (1)Documentos Reglas de Negocio e Integración de Datos actualizado (1)Catálogo de Datos Abiertos actualizado (2)Informes Validación de mallas - Archivos Tipo (2)Reporting Services gestionados y actualizados (3) actividad mensualInformes Cartera y otros financieros de vigilados (1)Informe UIAF (1)Tableros de Mando gestionados y actualizados (2)Script (1)_x000a__x000a_ Se resalta que de acuerdo con la Oficina Asesora de Planeación, este indicador es acumulado, motivo por el cual y de acuerdo con los cronogramas definidos se tiene un avance del 27,7%._x000a__x000a__x000a_Se adjunta enlace de carpeta para complementar evidencias de REPORTING SERVICES: Reporting Service _x000a_"/>
    <b v="1"/>
    <s v="https://supersalud-my.sharepoint.com/:f:/g/personal/gerson_ruiz_supersalud_gov_co/ErOAbLgXaQFNpDjlOEgDaJ4B-noJafXDxI2deoTS70VbpA?e=EwVAlG"/>
    <s v="2025"/>
    <s v="Elemento"/>
    <s v="sites/PlanAnualdeGestin/Lists/REPORTE SEGUIMIENTO PAG"/>
  </r>
  <r>
    <s v="Dirección de Innovación y Desarrollo"/>
    <x v="5"/>
    <x v="47"/>
    <s v="Ejecutar acciones orientadas al desarrollo de la Política de Gestión de la Información Estadística para la SNS"/>
    <s v="Porcentaje de hitos ejecutados para el desarrollo de la Política de Gestión de la Información Estadística"/>
    <s v="Número de hitos ejecutados para la Gestión de la Información Estadística / Número de hitos definidos en la vigencia 2025 para Gestión de la Información Estadística * 100"/>
    <s v="Porcentual"/>
    <n v="6"/>
    <n v="8"/>
    <n v="10"/>
    <n v="0.8"/>
    <s v="En el periodo de tiempo evaluado, se adelantaron las siguientes acciones para la implementación de la Política de Gestión de Información Estadística, con un avance de 6 actividades de las programadas: _x000a_Soportes inicio etapa precontractual para la Política de Gestión de Información Estadística, se adjunta modificación PAA y por lo tanto esta etapa no ha iniciado por cambio de objeto contractual para transferencia de conocimiento aun sin definir por decisiones gerenciales asociadas al concurso y cambio de personal (1)_x000a_Línea base de demandas insatisfechas (1)_x000a_Implementación de Buenas Prácticas DANE SEN en el flujo de actividades clave de éxito (1)_x000a_Línea Base Registros Administrativos (1)_x000a_Línea base de operaciones estadísticas (1)_x000a_Documento Estrategia de Difusión (1)_x000a__x000a__x000a__x000a__x000a__x000a__x000a__x000a__x000a__x000a__x000a_Se hace la aclaración que de acuerdo con indicaciones de la Oficina Asesora de Planeación, el avance acumulado de este indicador es del 80%. _x000a_"/>
    <b v="1"/>
    <s v="https://supersalud-my.sharepoint.com/:f:/g/personal/gerson_ruiz_supersalud_gov_co/EnSqhTq7pNVCrS8vROY56AEBNt-QtEa2LjHpsSHmGjMcSw?e=W380h1"/>
    <s v="2025"/>
    <s v="Elemento"/>
    <s v="sites/PlanAnualdeGestin/Lists/REPORTE SEGUIMIENTO PAG"/>
  </r>
  <r>
    <s v="Dirección Jurídica"/>
    <x v="5"/>
    <x v="105"/>
    <s v="Proyectar los actos administrativos que resuelven los recursos de reposición, y solicitudes de revocatoria directa que se presenten dentro de los procesos de única instancia."/>
    <s v="Porcentaje de actos administrativos entregados para firma, numeración y su posterior notificación, que resuelven los recursos y solicitudes de revocatoria directa que se presenten dentro de los procesos de única instancia."/>
    <s v="(Número de proyectos de actos administrativos entregados para firma del Superintendente Nacional de Salud, que resuelven recursos y solicitudes de única instancia, que vencen dentro del periodo a reportar / No solicitudes de única instancia con vencimiento dentro del periodo a reportar) x 100."/>
    <s v="Porcentual"/>
    <n v="1"/>
    <n v="14"/>
    <n v="14"/>
    <n v="1"/>
    <s v="​Dentro del periodo a reportar la Subdirección de Recursos Jurídicos cumplió con el indicador propuesto (100%), toda vez que, resolvió  los recursos de única instancia en el termino de oportunidad de dos meses desde la fecha de recepción del recursos. _x000a_ Dentro de los asuntos gestionados se encuentran 13 recursos de reposición y una solicitud de revocatoria directa._x000a_"/>
    <b v="0"/>
    <m/>
    <s v="2025"/>
    <s v="Elemento"/>
    <s v="sites/PlanAnualdeGestin/Lists/REPORTE SEGUIMIENTO PAG"/>
  </r>
  <r>
    <s v="Dirección Jurídica"/>
    <x v="5"/>
    <x v="106"/>
    <s v="Proyectar los actos administrativos que resuelven los recursos de apelación y queja y solicitudes de revocatoria directa que se presentaron dentro de los procesos administrativos sancionatorios en segunda instancia."/>
    <s v="Actos administrativos entregados para firma, numeración y su posterior notificación oportuna, que resuelven los recursos de apelación, queja y solicitudes de revocatoria directa que se presentaron dentro de los procesos sancionatorios en segunda instancia."/>
    <s v="(Número de recursos entregados para la firma del Superintendente Nacional de Salud resolviendo solicitudes de segunda instancia que se vencen dentro del periodo a reportar / No solicitudes de segunda instancia con vencimiento dentro del periodo a reportar) x 100"/>
    <s v="Porcentual"/>
    <n v="1"/>
    <n v="114"/>
    <n v="114"/>
    <n v="1"/>
    <s v="​Durante el periodo a reportar (2025-1) está Subdirección  cumplió con el indicador propuesto (100%),  entregando para firma y notificación los actos administrativos en el termino previsto por el artículo 52 de la Ley 1437._x000a_ Dentro del periodo a reportar, se encuentran 102 asuntos que resuelven apelación, 5 que resuelven recurso de queja y  7 que resuelven solicitudes de revocatoria directa._x000a_"/>
    <b v="0"/>
    <m/>
    <s v="2025"/>
    <s v="Elemento"/>
    <s v="sites/PlanAnualdeGestin/Lists/REPORTE SEGUIMIENTO PAG"/>
  </r>
  <r>
    <s v="Dirección Jurídica"/>
    <x v="5"/>
    <x v="107"/>
    <s v="Gestionar los requerimientos radicados por los despachos judiciales en el grupo de tutelas"/>
    <s v="Porcentaje de requerimientos tramitados oportunamente en desarrollo de las acciones constitucionales de tutela"/>
    <s v="(Número de requerimientos gestionados por el grupo de tutelas / Número de requerimientos notificados al grupo de tutelas en el periodo) x100."/>
    <s v="Porcentual"/>
    <n v="1"/>
    <n v="88"/>
    <n v="88"/>
    <n v="1"/>
    <s v="En el primer semestre de 2025, todos los requerimientos por incidentes de desacato derivados de acciones de tutela en las que se consideró por parte del accionante la vulneración a derechos fundamentales por acciones u omisiones propias de la Entidad, fueron tramitados por el grupo de tutelas._x000a_"/>
    <b v="0"/>
    <m/>
    <s v="2025"/>
    <s v="Elemento"/>
    <s v="sites/PlanAnualdeGestin/Lists/REPORTE SEGUIMIENTO PAG"/>
  </r>
  <r>
    <s v="Dirección Jurídica"/>
    <x v="5"/>
    <x v="108"/>
    <s v="Proyectar dentro de los términos de ley, las respuestas conceptos, solicitudes y derechos de petición recibidos que sean competencia del grupo de conceptos de la Dirección Jurídica"/>
    <s v="Porcentaje de conceptos, solicitudes y derechos de petición tramitados."/>
    <s v="(Número de conceptos, derechos de petición y solicitudes tramitados en el semestre/ Número de conceptos, solicitudes y derechos de petición recibidos en el periodo)x 100"/>
    <s v="Porcentual"/>
    <n v="1"/>
    <n v="475"/>
    <n v="484"/>
    <n v="0.98140495867768596"/>
    <s v="Durante el primer semestre de 2025 se obtuvieron los resultados relacionados en el documento adjunto, en el cual se evidencian tanto los porcentajes de respuesta a peticiones en tiempo como los porcentajes de aquellas que fueron atendidas de manera extemporánea, en su mayoría porque llegaron vencidos a la Dirección Jurídica. ​_x000a_"/>
    <b v="0"/>
    <m/>
    <s v="2025"/>
    <s v="Elemento"/>
    <s v="sites/PlanAnualdeGestin/Lists/REPORTE SEGUIMIENTO PAG"/>
  </r>
  <r>
    <s v="Dirección Jurídica"/>
    <x v="5"/>
    <x v="48"/>
    <s v="Proyectar contestaciones y ejercer la actividad procesal."/>
    <s v="Porcentaje de acciones contencioso administrativas y ordinarias tramitadas dentro de los términos de ley"/>
    <s v="(Número de acciones contencioso administrativas y ordinarias tramitadas dentro de los términos de ley en el periodo/Total de acciones contencioso administrativas y ordinarias recibidas para trámite en el periodo) x100"/>
    <s v="Porcentual"/>
    <n v="1"/>
    <n v="153"/>
    <n v="153"/>
    <n v="1"/>
    <s v="​En el segundo trimestre del año 2025, se recibieron en total 153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Respecto a los 153 asuntos de demandas recibidos , se notificaron 12 autos admisorios de la demanda por lo que, los abogados del Grupo de Defensa Judicial realizaron la contestación de estas 06 demandas en el término otorgado por la ley, y 137 asuntos judiciales están en trámite de proyección por no haberse notificado a la fecha el auto admisorio de estas demandas; 1 asunto judicial se encuentra en evaluación de presentación de Nulidad frente a la notificación, al tratarse de un auto vencido en términos; 2 asuntos judiciales se encuentran en viabilidad de presentación de la demanda por falta de documentos; en 1 asunto judicial no hace parte la SNS; en conclusión se tiene un total de 153 procesos judiciales y un cumplimiento del 100% respecto de las demandas notificadas y contestadas dentro del término legal._x000a_"/>
    <b v="0"/>
    <m/>
    <s v="2025"/>
    <s v="Elemento"/>
    <s v="sites/PlanAnualdeGestin/Lists/REPORTE SEGUIMIENTO PAG"/>
  </r>
  <r>
    <s v="Dirección Jurídica"/>
    <x v="5"/>
    <x v="49"/>
    <s v="Someter los asuntos de competencia al Comité de Conciliación"/>
    <s v="Porcentaje solicitudes de conciliaciones presentadas al Comité de Conciliación"/>
    <s v="(Número de solicitudes de conciliaciones presentadas ante el Comité de conciliación, dentro de los 15 días hábiles a partir de su recibo en la Entidad / Número total de solicitudes de conciliaciones recibidas en la Entidad durante el periodo de reporte) x 100."/>
    <s v="Porcentual"/>
    <n v="1"/>
    <n v="75"/>
    <n v="78"/>
    <n v="0.96153846153846201"/>
    <s v="​En el segundo trimestre del año 2025, se recibieron 78 solicitudes de conciliación extrajudicial; de las cuales 75 fueron presentadas y decididas por el Comité de Conciliación, 2 se encuentran en proyecto para ser presentadas en el próximo comité de conciliación, y 1 solicitud de conciliación se encuentra en evaluación por duplicidad, en espera de soporte; para un total de 78 solicitudes, cumpliéndose este indicador en un 96,15%._x000a_"/>
    <b v="0"/>
    <m/>
    <s v="2025"/>
    <s v="Elemento"/>
    <s v="sites/PlanAnualdeGestin/Lists/REPORTE SEGUIMIENTO PAG"/>
  </r>
  <r>
    <s v="Dirección Jurídica"/>
    <x v="5"/>
    <x v="4"/>
    <s v="Ejecutar cronograma de actividades para la implementación y sostenibilidad de la política de gestión y desempeño de Mejora Normativa"/>
    <s v="Actividades ejecutadas en el cronograma de implementación y sostenibilidad de la política de gestión y desempeño de Mejora Normativa"/>
    <s v="Número de actividades ejecutadas en el cronograma de implementación y sostenibilidad de la política de gestión y desempeño de Mejora Normativa."/>
    <s v="Numérica"/>
    <n v="7"/>
    <n v="7"/>
    <n v="7"/>
    <n v="1"/>
    <s v="​Durante este trimestre se realizaron las 6 actualizaciones correspondiente al normograma de la entidad. Adicionalmente, se programó mesa de trabajo de la politica de mejora nornativa para el 16 de junio de 2025; sin embargo esta se reprogramó para el dia 1 de julio de 2025 por contingencias laborales en las Direcciones._x000a_"/>
    <b v="0"/>
    <m/>
    <s v="2025"/>
    <s v="Elemento"/>
    <s v="sites/PlanAnualdeGestin/Lists/REPORTE SEGUIMIENTO PAG"/>
  </r>
  <r>
    <s v="Dirección Jurídica"/>
    <x v="5"/>
    <x v="0"/>
    <s v="Ejecutar cronograma de actividades para la implementación y sostenibilidad de la política de gestión y desempeño de defensa Jurídica."/>
    <s v="Actividades ejecutadas en el cronograma de implementación y sostenibilidad de la política de gestión y desempeño de Defensa Jurídica."/>
    <s v="Número de actividades ejecutadas en el cronograma de implementación y sostenibilidad de la política de gestión y desempeño de Defensa Jurídica."/>
    <s v="Numérica"/>
    <n v="5"/>
    <n v="5"/>
    <n v="5"/>
    <n v="1"/>
    <s v="​Con respecto a la medición de la tasa de éxito procesal: Durante el primer semestre de 2025 fueron fallados 116 procesos, 7 con sentido del fallo desfavorable que corresponde al 6,03%  y 109 con sentencias favorables que corresponde al 93,97%, evidenciando una adecuada defensa técnica de los intereses de la Superintendencia Nacional de Salud por parte de los abogados del Grupo de Defensa Judicial._x000a__x000a_Con respecto a la actualización de la Relatoría: Durante el primer semestre de 2025 los abogados del Grupo de Defensa Judicial, realizaron la actualización de la relatoria, se adjunta como soporte: el documento Relatoría 2025 y la matriz en excel._x000a__x000a_Con respecto a fortalecer con capacitación a los abogados en la actuación en procesos orales y cambios normativos: Durante el primer semestre de 2025 los abogados del Grupo de Defensa Judicial, se capacitaron en la Comunidad Jurídica del Conocimiento, se adjuntan evidencias de cursos._x000a__x000a_Con respecto al monitoreo de la ejecución del plan de acción de la política del daño antijurídico: En cumplimiento a la actividad,  se adjunta soportes de capacitación del 02 de abril de 2025 de la Subdirección de Recursos Jurídicos. Asímismo se remite correo electrónico del 04 de julio solicitando la evidencias de capacitación de la DIA._x000a__x000a_Con respecto a adelantar actividades de seguimiento a la gestión en el marco de la política de prevención del daño antijurídico PPDA en la Superintendencia Nacional de Salud: Como evidencia de realización de la actividad se anexa el reporte de seguimiento a la PPDA del Ekogui._x000a__x000a__x000a_"/>
    <b v="0"/>
    <m/>
    <s v="2025"/>
    <s v="Elemento"/>
    <s v="sites/PlanAnualdeGestin/Lists/REPORTE SEGUIMIENTO PAG"/>
  </r>
  <r>
    <s v="Dirección Jurídica"/>
    <x v="5"/>
    <x v="109"/>
    <s v="Solicitar, en grado de consulta, la inaplicación y/o revocatoria de sanciones impuestas por desacato, en contra de la superintendencia nacional de salud."/>
    <s v="Porcentaje de sanciones enviadas en grado de consulta en contra de la SNS."/>
    <s v="(Numero de sanciones revocadas en grado de consulta en el periodo / Numero de sanciones enviadas al grado de consulta en el periodo)x100."/>
    <s v="Porcentual"/>
    <n v="1"/>
    <n v="7"/>
    <n v="8"/>
    <n v="0.875"/>
    <s v="​De las  8 sanciones enviadas en grado de consulta, solamente una sanción no fue revocada, dado que el Despacho entendió que nuestras acciones no habían sido efectivas para garantizar el derecho a la salud de la accionante. _x000a_"/>
    <b v="0"/>
    <m/>
    <s v="2025"/>
    <s v="Elemento"/>
    <s v="sites/PlanAnualdeGestin/Lists/REPORTE SEGUIMIENTO PAG"/>
  </r>
  <r>
    <s v="Dirección Jurídica"/>
    <x v="5"/>
    <x v="110"/>
    <s v="Implementar planes de acción de políticas de prevención de daño antijurídico"/>
    <s v="Cumplimiento de planes de políticas de prevención de daño antijurídico"/>
    <s v="(Cantidad de actividades ejecutadas en el periodo / Cantidad de actividades planificadas en la política de prevención del daño antijurídico para el periodo)*100"/>
    <s v="Porcentual"/>
    <n v="1"/>
    <n v="2"/>
    <n v="2"/>
    <n v="1"/>
    <s v="​Durante el primer semestre de 2025  para las dos actividades programadas en el cumplimiento del indicador, se confirmó la realización de las capacitaciones a cargo de la Subdirección de Recursos Jurídicos y la Delegada de Investigaciones Administrativas, en cumplimiento al seguimiento a la PPDA, se adjunta soportes._x000a_"/>
    <b v="0"/>
    <m/>
    <s v="2025"/>
    <s v="Elemento"/>
    <s v="sites/PlanAnualdeGestin/Lists/REPORTE SEGUIMIENTO PAG"/>
  </r>
  <r>
    <s v="Dirección Jurídica"/>
    <x v="5"/>
    <x v="111"/>
    <s v="Diseñar un sistema integral de seguimiento, monitoreo y evaluación de las órdenes judiciales y mandatos de organismos internacionales"/>
    <s v="Porcentaje de acciones cumplidas para el diseño del sistema integral de seguimiento a sentencias"/>
    <s v="Numero de acciones realizadas para el diseño del sistema integral / Total de acciones programadas para el diseño del sistema integral de seguimiento a sentencias *100"/>
    <s v="Porcentual"/>
    <n v="1"/>
    <n v="3"/>
    <n v="3"/>
    <n v="1"/>
    <s v="​Durante el primer semestre se realizaron 3 acciones para el diseño del sistema integral de seguimiento a sentencias, en las cuales se viene trabajando la creación del procedimiento de seguimiento a sentencias y el desarrollo del aplicativo que apoye en la identificación, seguimiento y cumplimiento de las diferentes ordenes. _x000a_"/>
    <b v="0"/>
    <m/>
    <s v="2025"/>
    <s v="Elemento"/>
    <s v="sites/PlanAnualdeGestin/Lists/REPORTE SEGUIMIENTO PAG"/>
  </r>
  <r>
    <s v="Oficina de Control Interno"/>
    <x v="5"/>
    <x v="112"/>
    <s v="Ejecutar Plan Anual de Auditorías Internas de Gestión"/>
    <s v="Auditorías realizadas de acuerdo con el Plan Anual de Auditorias"/>
    <s v="Número de auditorias realizadas en el periodo de acuerdo con el plan anual de auditorias"/>
    <s v="Numérica"/>
    <n v="4"/>
    <n v="2"/>
    <n v="4"/>
    <n v="0.5"/>
    <s v="De conformidad a la programación establecida en el PAAS para la vigencia 2025 y en atención a la actividad &quot;Ejecutar Programa Anual Seguimiento a la Gestión Institucional&quot;, alusiva al indicador &quot;Auditorías realizadas de acuerdo con el Plan Anual de Auditorías&quot;, la Oficina de Control Interno definió reportar en el mes de julio el cumplimiento correspondiente al primer semestre de la presente anualidad; de ello, se puede precisar, que fueron presentadas ante el CICCI dos (2) de las cuatro (4) auditorías programadas._x000a_De las 2 (dos) restantes, la referente al proceso &quot;Gestión Financiera&quot; fue presentada el 01 de julio de 2025 ante el CICCI y la segunda alusiva al proceso &quot;Gestión de Bienes y Servicios&quot; se encuentra en ejecución, concluyéndose que las auditorías en mención serán reportadas en el segundo semestre de la presente anualidad._x000a_Por lo anteriormente señalado, el porcentaje de cumplimiento para el período ahora reportado obedece al 50% de ejecución de acuerdo con lo definido en el Plan Anual de Auditorías._x000a_"/>
    <b v="0"/>
    <m/>
    <s v="2025"/>
    <s v="Elemento"/>
    <s v="sites/PlanAnualdeGestin/Lists/REPORTE SEGUIMIENTO PAG"/>
  </r>
  <r>
    <s v="Oficina de Control Interno"/>
    <x v="5"/>
    <x v="50"/>
    <s v="Ejecutar Plan Anual de Seguimientos de Ley a la Gestión Institucional"/>
    <s v="Seguimientos y evaluaciones efectuadas al control institucional"/>
    <s v="Número de seguimientos y evaluaciones realizadas oportunamente dentro de las fechas programadas en el periodo."/>
    <s v="Numérica"/>
    <n v="13"/>
    <n v="9"/>
    <n v="13"/>
    <n v="0.69230769230769196"/>
    <s v="De conformidad a la programación establecida en el PAAS para la vigencia 2025 y en atención a la actividad &quot;Ejecutar Programa Anual Seguimiento a la Gestión Institucional&quot;, alusiva al indicador &quot;Seguimientos y evaluaciones efectuadas al control institucional&quot;, la Oficina de Control Interno definió reportar en el mes de julio el cumplimiento correspondiente al segundo trimestre de la presente anualidad; de ello, se puede precisar, que fueron ejecutadas nueve (9) de las trece (13) actividades programadas, concluyéndose que las cuatro (4) restantes serán reportadas en el segundo semestre de la presente anualidad._x000a__x000a_Por lo anteriormente señalado, el porcentaje de cumplimiento para el período ahora reportado obedece al 69% de ejecución de acuerdo con lo definido en el Plan Anual de Seguimientos de Ley a la Gestión Institucional._x000a_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_x000a_"/>
    <b v="0"/>
    <m/>
    <s v="2025"/>
    <s v="Elemento"/>
    <s v="sites/PlanAnualdeGestin/Lists/REPORTE SEGUIMIENTO PAG"/>
  </r>
  <r>
    <s v="Oficina de Liquidaciones"/>
    <x v="5"/>
    <x v="113"/>
    <s v="Realizar las acciones para el seguimiento y monitoreo a las vigilados de las liquidaciones no Ordenadas por la Superintendencia Nacional de Salud"/>
    <s v="Visitas de seguimiento de las liquidaciones No Ordenadas por la Superintendencia Nacional de Salud."/>
    <s v="Número de visitas generadas por la adopción, seguimiento y monitoreo a vigilados en proceso de liquidación en el periodo"/>
    <s v="Numérica"/>
    <n v="1"/>
    <n v="0"/>
    <s v="0.55"/>
    <n v="0"/>
    <s v="​Debido al cambio de personal de la OL y la prioridad de las visitas de seguimiento y monitoreo de las entidades en liquidación , las visitas programadas en el año se realizaran en el segundo semestre.Se modificará este indicador .  _x000a_"/>
    <b v="0"/>
    <m/>
    <s v="2025"/>
    <s v="Elemento"/>
    <s v="sites/PlanAnualdeGestin/Lists/REPORTE SEGUIMIENTO PAG"/>
  </r>
  <r>
    <s v="Oficina de Liquidaciones"/>
    <x v="5"/>
    <x v="114"/>
    <s v="Brindar apoyo técnico científico, jurídico, financiero y admistrativo para el seguimiento y monitoreo de los vigilados a cargo de la Oficina de Liquidaciones"/>
    <s v="Documentos radicados efectivos de salida en la herramienta Superargo de los procesos de respuesta a los usuarios o entidades del SGSSS y traslados a órganos de control"/>
    <s v="Número de documentos radicados de salida"/>
    <s v="Numérica"/>
    <n v="400"/>
    <n v="400"/>
    <n v="400"/>
    <n v="1"/>
    <s v="​Mediante la contratación de 2 profesionales del area jurídica  se esta haciendo el  seguimiento y monitoreo de los vigilados a cargo de la Oficina de Liquidaciones la evidencia son los documentos documentos radicados efectivos de salida en la herramienta Superargo de los procesos de respuesta a los usuarios o entidades del SGSSS y traslados a órganos de control que para el caso del primer semestre fueron 322 de salida efectivos . El incumplimiento del indicador a que se retrazó el tiempo en la oficina de contratación para realizar los contratos y la fecha de inicio fué diferente a la programada. _x000a_"/>
    <b v="0"/>
    <m/>
    <s v="2025"/>
    <s v="Elemento"/>
    <s v="sites/PlanAnualdeGestin/Lists/REPORTE SEGUIMIENTO PAG"/>
  </r>
  <r>
    <s v="Secretaria General"/>
    <x v="5"/>
    <x v="6"/>
    <s v="Evaluar y/o calificar los asuntos (NRCD) sobre los cuales se adopte decisión de Inhibitorio, Remisión por Competencia, Indagación Previa y/o Investigación Disciplinaria en etapa de instrucción en el orden en que hayan ingresado a la Oficina de Control Disciplinario Interno, salvo prelación legal o urgencia manifiesta."/>
    <s v="Porcentaje de asuntos (NRCD) sobre los cuales se adopte decisión en la Oficina de Control Disciplinario Interno en etapa de instrucción"/>
    <s v="(Número de asuntos (NRCD) con decisión adoptada en el período/Número total de asuntos (NRCD) recibidos) * 100"/>
    <s v="Porcentual"/>
    <n v="0.45"/>
    <n v="64"/>
    <n v="64"/>
    <n v="1"/>
    <s v="​De las (64) noticias disciplinarias (Quejas, informe de servidor público o de oficio) recibidas en el tercer bimestre de 2025 (Mayo - Junio), se adelantaron las siguientes actuaciones: 28 (44%) Aperturas de indagación Previa; 27 (42%) Autos Inhibitorios; 4 (6%) Traslados por competencia y 5 (8%) Aperturas de Investigación Disciplinaria, profiriendo igual número de autos por el Coordinador del Grupo de Instrucción Disciplinaria en el periodo._x000a_"/>
    <b v="0"/>
    <m/>
    <s v="2025"/>
    <s v="Elemento"/>
    <s v="sites/PlanAnualdeGestin/Lists/REPORTE SEGUIMIENTO PAG"/>
  </r>
  <r>
    <s v="Secretaria General"/>
    <x v="5"/>
    <x v="115"/>
    <s v="Evaluar y/o calificar con decisión de fondo en etapa de instrucción (archivo o pliego de cargos) , de conformidad con la fecha de los hechos disciplinariamente relevantes y el acervo probatorio obrante en el expediente, salvo prelación legal o urgencia manifiesta."/>
    <s v="Porcentaje de decisiones de fondo adoptadas en etapa de instrucción en la Oficina de Control Disciplinario Interno"/>
    <s v="(Número de decisiones de fondo adoptadas en el período/Número total de procesos evaluados en etapa de instrucción) * 100"/>
    <s v="Porcentual"/>
    <n v="0.25"/>
    <n v="132"/>
    <n v="215"/>
    <n v="0.61395348837209296"/>
    <s v="Dada la dinámica de la etapa de instrucción y la variación mensual (Enero:2014; Febrero: 207; Marzo: 226; Abril:206;Mayo:214 y Junio:226) del inventario de expedientes objeto de evaluación o calificación, para adoptar una decisión (archivo o pliego de cargos), se tomará el promedio del semestre (215) como denominador, para el cálculo del indicador, excluyendo aquellos expedientes cuyo termino de duración de la indagación previa o investigación disciplinaria se encuentra en curso (vigente), de los 215 expedientes reseñados, se adoptaron 131 decisiones de archivo con fundamento en las causales del artículo 90 del Código General Disciplinario y se formuló un (1) pliego de cargos.    _x000a_En las reuniones de Autoevaluación mensual de la OCDI se verifica el avance frente al indicador y se acumula el mismo, a saber:EneroFebreroMarzoAbrilMayoJunioIndicador:_x000a_ (49) Decisiones de Fondo Adoptadas Etapa Instrucción / (214) Número Total Procesos Evaluados - Etapa Instrucción *100 = 22,89%Indicador:_x000a_ (32) Decisiones de Fondo Adoptadas Etapa Instrucción / (207) Número Total Procesos Evaluados - Etapa Instrucción *100 = 15,45%Indicador:_x000a_ (25) Decisiones de Fondo Adoptadas Etapa Instrucción / (226) Número Total Procesos Evaluados - Etapa Instrucción *100 = 11,06%Indicador:_x000a_ (12) Decisiones de Fondo Adoptadas Etapa Instrucción / (206) Número Total Procesos Evaluados - Etapa Instrucción *100 = 5,82%Indicador:_x000a_ (1) Decisiones de Fondo Adoptadas Etapa Instrucción / (214) Número Total Procesos Evaluados - Etapa Instrucción *100 = 0,46%Indicador:_x000a_ (14) Decisiones de Fondo Adoptadas Etapa Instrucción / (226) Número Total Procesos Evaluados - Etapa Instrucción *100 = 6,19% 22,89% (49)38,34% (81)49,40 % (106)55,22% (117)55,68% (118)61,87% (132)_x000a_La meta programada, esta superada en el 36,39%, ya que para el primer semestre se tenia previsto un avance del 25%, pero se logro el 61,39%     _x000a__x000a__x000a_"/>
    <b v="0"/>
    <m/>
    <s v="2025"/>
    <s v="Elemento"/>
    <s v="sites/PlanAnualdeGestin/Lists/REPORTE SEGUIMIENTO PAG"/>
  </r>
  <r>
    <s v="Secretaria General"/>
    <x v="5"/>
    <x v="116"/>
    <s v="Evaluar y/o calificar con decisión de fondo en etapa de juzgamiento (archivo o fallo de primera instancia), de conformidad con la fecha de los hechos disciplinariamente relevantes y el acervo probatorio obrante en el expediente, salvo prelación legal o urgencia manifiesta."/>
    <s v="Porcentaje de decisiones de fondo adoptadas en etapa de juzgamiento en la Oficina de Control Disciplinario Interno"/>
    <s v="(Número de decisiones de fondo adoptadas en el período/Número total de procesos evaluados en etapa de juzgamiento) * 100"/>
    <s v="Porcentual"/>
    <n v="0.5"/>
    <n v="2"/>
    <n v="4"/>
    <n v="0.5"/>
    <s v="El inventario de expedientes existentes en el primer semestre 2025, a evaluar en etapa de juzgamiento, para adoptar la decisión de primera instancia, correspondía a cuatro (4) de los cuales se adoptó fallo sancionatorio de primera instancia en dos (2),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_x000a_ _x000a_Lo previsto para el primer semestre se alcanzó según o previsto en el indicador, incluso superando la línea base del indicador._x000a_"/>
    <b v="0"/>
    <m/>
    <s v="2025"/>
    <s v="Elemento"/>
    <s v="sites/PlanAnualdeGestin/Lists/REPORTE SEGUIMIENTO PAG"/>
  </r>
  <r>
    <s v="Secretaria General"/>
    <x v="5"/>
    <x v="51"/>
    <s v="Realizar Socializacion, Sensibilización y Asesoria a los funcionarios y contratistas de la Entidad acerca del cuidado y control de los bienes."/>
    <s v="Socializaciones o sensibilizaciones realizadas a los funcionarios o contratistas que tengan bienes asignados de la entidad"/>
    <s v="Número de socializaciones o sensibilizaciones realizadas"/>
    <s v="Numérica"/>
    <n v="2"/>
    <n v="2"/>
    <n v="2"/>
    <n v="1"/>
    <s v="En los meses de abril, mayo y junio de 2025  el Grupo de Almacen realizó campañas de sensibilizacion y asesoria a los funcionarios y contratistas de la Entidad acerca del cuidado y control de los bienes._x000a_                                                                                                                                                                        Esto con el fin de mantener el uso correcto de los mismos y evitar acciones disciplinarias. Como resultado se ha obtenido que los funcionarios tengan el mayor cuidado de los bienes a cargo de cada uno y asi darle el mejor uso para el desarrollo de las funciones._x000a__x000a_"/>
    <b v="0"/>
    <m/>
    <s v="2025"/>
    <s v="Elemento"/>
    <s v="sites/PlanAnualdeGestin/Lists/REPORTE SEGUIMIENTO PAG"/>
  </r>
  <r>
    <s v="Secretaria General"/>
    <x v="5"/>
    <x v="52"/>
    <s v="Formular e implementar los planes y programas del componente Sistema de Gestión Ambiental y Carbono Neutro en la Entidad._x000a_"/>
    <s v="Porcentaje acumulado de avance en la ejecución del cronograma del componente del Sistema de Gestión Ambiental-SGA"/>
    <s v="Número de actividades ejecutadas del cronograma del Sistema de Gestión Ambiental-SGA/Número de actividades programadas del cronograma del Sistema de Gestión Ambiental - SGA"/>
    <s v="Porcentual"/>
    <n v="35"/>
    <n v="35"/>
    <n v="63"/>
    <n v="0.55555555555555602"/>
    <s v="Los funcionarios encargados del componente Ambiental del  Grupo de Recursos Físicos, realizaron el seguimiento y cumplimiento oportuno de las actividades generadas en el cronograma de Hitos ambientales del Sistema de Gestión Ambiental con corte a junio de 2025, realizando todas las actividades programadas, con el fin de mejorar el rendimiento del Sistema de Gestión Ambiental basado en la ISO 14001:2015. Lo anteior, con el fin de posesionar el sistema de Gestión Ambiental en busca de adherir conocimiento y madures del mismo.    _x000a_Se generaron las evidencias correspondientes de las actividades ejecutadas del cronograma, las mismas se cargan en el aplicativo destinado._x000a_Se ejecutaron las 19 actividades  programadas generando un avance total del 55%  conforme planeación establecida en el cronograma._x000a_"/>
    <b v="1"/>
    <s v="https://supersalud-my.sharepoint.com/:f:/g/personal/ever_cardenas_supersalud_gov_co/ErOk4_FXSFpLi3oeZvLbvfcB4bbc-J8Ica2nVdjoxYKirg?e=gK2rii"/>
    <s v="2025"/>
    <s v="Elemento"/>
    <s v="sites/PlanAnualdeGestin/Lists/REPORTE SEGUIMIENTO PAG"/>
  </r>
  <r>
    <s v="Secretaria General"/>
    <x v="5"/>
    <x v="53"/>
    <s v="Realizar el seguimiento a la ejecución del Plan Anual de Adquisiciones a través de informe trimestral"/>
    <s v="Seguimientos al Plan Anual de Adquisiciones"/>
    <s v="Número de seguimientos programados en el Plan Anual de Adquisiciones"/>
    <s v="Numérica"/>
    <n v="3"/>
    <n v="3"/>
    <n v="3"/>
    <n v="1"/>
    <s v="​Durante el segundo trimestre de 2025, la Superintendencia Nacional de Salud realizó seguimiento a la ejecución del Plan Anual de Adquisiciones, alcanzando un avance del 37,7% en inversión y 36,1% en funcionamiento. Se publicaron 13 versiones del PAA en SECOP II, con múltiples actualizaciones derivadas de solicitudes de las dependencias, y se efectuaron reuniones y memorandos mensuales para su seguimiento. Al corte de junio, se habían programado 314 líneas y quedaban tres procesos contractuales pendientes por radicar._x000a_"/>
    <b v="1"/>
    <s v="https://supersalud-my.sharepoint.com/:f:/g/personal/laura_naranjo_supersalud_gov_co/EgFOTh2Ja0tLu6tDLIjkpAMBwUJ08X0uTAK-nIOwx5iGRA?e=zp5qO4"/>
    <s v="2025"/>
    <s v="Elemento"/>
    <s v="sites/PlanAnualdeGestin/Lists/REPORTE SEGUIMIENTO PAG"/>
  </r>
  <r>
    <s v="Secretaria General"/>
    <x v="5"/>
    <x v="117"/>
    <s v="Incorporar en el estudio previo un estudio del sector que de cuenta de las prácticas de Análisis de Datos."/>
    <s v="Porcentaje de estudios previos a los cuales se les incorporó prácticas de Análisis de Datos."/>
    <s v="Cantidad de contratos celebrados con estudios previos en donde se incorporaron las prácticas de Análisis de datos / Cantidad de contratos celebrados por el 100%"/>
    <s v="Porcentual"/>
    <n v="0.5"/>
    <n v="1"/>
    <n v="1"/>
    <n v="1"/>
    <s v="ENERO_x000a__x000a_En el periodo indicado se suscribieron catorce (14) contratos en la modalidad directa, trece (13) por prestación de servicios y un (1) contrato interadministrativo,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14 contratos._x000a__x000a_FEBRERO_x000a_En el periodo indicado se suscribieron treinta y ocho (38) contratos, de los cuales treinta y siete (37) fueron bajo la modalidad de Contratación Directa y uno (1) por Mínima Cuantía,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38 contratos._x000a__x000a_MARZO_x000a_En el periodo indicado se suscribieron veinte (20) contratos, de los catorce (14) fueron bajo la modalidad de Contratación Directa y cinco (5) por Mínima Cuantía y un (1) por selección abreviada acuerdo marco de precios,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20 contratos._x000a__x000a_ABRIL_x000a_En el periodo indicado se suscribieron diecisiete (17) contratos, de los cuales dieciséis (16) fueron bajo la modalidad de Contratación Directa y uno (1) por Selección Abreviada – Subasta Invers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_x000a__x000a_MAYO_x000a_En el periodo indicado se suscribieron veinticinco (25) contratos, de los cuales dieciocho (18) fueron bajo la modalidad de Contratación Directa, cuatro (4) por Mínima Cuantía, uno (1) por Selección Abreviada por Acuerdo Marco de Precios, uno (1) por Selección Abreviada mediante Subasta Inversa y uno (1) por Licitación Públic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_x000a__x000a_JUNIO_x000a_En el periodo indicado se suscribieron diecisiete (17) contratos, de los cuales quince (15) fueron bajo la modalidad de Contratación Directa y dos (2) por Mínima Cuantí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_x000a_"/>
    <b v="0"/>
    <m/>
    <s v="2025"/>
    <s v="Elemento"/>
    <s v="sites/PlanAnualdeGestin/Lists/REPORTE SEGUIMIENTO PAG"/>
  </r>
  <r>
    <s v="Secretaria General"/>
    <x v="5"/>
    <x v="118"/>
    <s v="Incorporar en el estudio previo que soporta la contratación, un estudio del sector que de cuenta de las prácticas de Abastecimiento Estratégico dirigidas a la promoción de la micro, pequeña y mediana empresa; exceptuando la contratación a través de la Tienda Virtual del Estado Colombiano y la Contratación Directa."/>
    <s v="Porcentaje de contratos celebrados a los cuales se les incorporó las prácticas de Abastecimiento Estratégico dirigidas a la promoción de la micro, pequeña y mediana empresa; exceptuando la contratación a través de la Tienda Virtual del Estado Colombiano y la Contratación Directa."/>
    <s v="Cantidad de contratos celebrados en donde se incorporó las prácticas de Abastecimiento Estratégico dirigidas a la promoción de la micro, pequeña y mediana empresa / Cantidad de contratos celebrados; exceptuando la contratación a través de la Tienda Virtual del Estado Colombiano y la Contratación Directa, por el 100%"/>
    <s v="Porcentual"/>
    <n v="0.5"/>
    <n v="1"/>
    <n v="1"/>
    <n v="1"/>
    <s v="​_x000a_ENERO_x000a_En el periodo indicado solo se suscribieron contratos en modalidad directa, por lo que no se reportan resultados para dicho indicador._x000a_FEBRERO_x000a_En el periodo indicado se suscribió un (1) contrato por Mínima Cuantía al cual se le aplico Abastecimiento estratégico dirigidas a la promoción de la micro, pequeña y mediana empresa. _x000a__x000a_ MARZO_x000a_En el periodo indicado se suscribieron cinco (5) contratos por Mínima Cuantía a los cuales se le aplico Abastecimiento estratégico dirigidas a la promoción de la micro, pequeña y mediana empresa. _x000a__x000a_ABRIL_x000a_En el periodo indicado se suscribieron (17) contratos, distribuidos en diferentes modalidades de contratación, entre ellas Selección Abreviada de Subasta Inversa y Contratación Directa, a los cuales se les aplicó el esquema de Abastecimiento Estratégico, dirigido a la promoción de la micro, pequeña y mediana empresa. _x000a__x000a_MAYO_x000a_En el periodo indicado se suscribieron siete (7) contratos, distribuidos en diversas modalidades de contratación, entre ellas Mínima Cuantía (4), Selección Abreviada Acuerdo Marco de Precios (1), Selección Abreviada de Subasta Inversa (1) y Licitación Pública (1). A estos contratos se les aplicó el esquema de Abastecimiento Estratégico, orientado a la promoción de la micro, pequeña y mediana empresa_x000a__x000a_JUNIO_x000a_En el periodo indicado se suscribieron un (1) contrato por medio de la modalidad de Mínima Cuantía al cual se le aplicó el esquema de Abastecimiento Estratégico, dirigido a la promoción de la micro, pequeña y mediana empresa. _x000a_"/>
    <b v="0"/>
    <m/>
    <s v="2025"/>
    <s v="Elemento"/>
    <s v="sites/PlanAnualdeGestin/Lists/REPORTE SEGUIMIENTO PAG"/>
  </r>
  <r>
    <s v="Secretaria General"/>
    <x v="5"/>
    <x v="119"/>
    <s v="Utilizar los instrumentos de compra por catálogo derivados de la celebración de acuerdos marco de precios para la adquisición de bienes y servicios que se encuentren en la Tienda Virtual del Estado Colombiano."/>
    <s v="Porcentaje de procesos tramitados a través modalidad de instrumentos de compra por catálogo derivados de la celebración de acuerdos marco de precios."/>
    <s v="Cantidad de órdenes de compra celebradas / cantidad de solicitudes de cotización publicadas a través de la Tienda Virtual del Estado Colombiano, por el 100%"/>
    <s v="Porcentual"/>
    <n v="0.5"/>
    <n v="1"/>
    <n v="1"/>
    <n v="1"/>
    <s v="​ENERO_x000a__x000a__x000a_En el periodo indicado solo se suscribieron contratos en modalidad directa, por lo que no se reportan resultados para este indicador. _x000a__x000a_FEBRERO_x000a_En el periodo indicado no se suscribieron contratos a través de la tienda virtual del estado colombiano - TVEC, por lo tanto, no se reportan resultados para este indicador. _x000a_MARZO_x000a_SELECCION ABREVIADA ACUERDO MARCO DE PRECIOS _x000a_Contrato No. 71 de 2025, cuyo objeto es: ADQUIRIR LOS SERVICIOS DE NUBE PÚBLICA MICROSOFT AZURE PARA LA SUPERINTENDENCIA NACIONAL DE SALUD. No. S Orden de compra 143254 _x000a_ABRIL_x000a_En el periodo indicado no se suscribieron contratos a través de la tienda virtual del estado colombiano - TVEC, por lo tanto, no se reportan resultados para este indicador. _x000a__x000a_MAYO_x000a_SELECCION ABREVIADA ACUERDO MARCO DE PRECIOS _x000a_Contrato No. 96 de 2025, cuyo objeto es: Adquirir los certificados de firma digital con token virtual para la Superintendencia Nacional de Salud  _x000a__x000a_JUNIO_x000a_E n el periodo indicado no se suscribieron contratos a través de la tienda virtual del estado colombiano - TVEC, por lo tanto, no se reportan resultados para este indicador. _x000a__x000a__x000a__x000a__x000a__x000a__x000a_"/>
    <b v="0"/>
    <m/>
    <s v="2025"/>
    <s v="Elemento"/>
    <s v="sites/PlanAnualdeGestin/Lists/REPORTE SEGUIMIENTO PAG"/>
  </r>
  <r>
    <s v="Secretaria General"/>
    <x v="5"/>
    <x v="54"/>
    <s v="Notificar los actos administrativos producidos por la Entidad"/>
    <s v="Porcentaje de actos administrativos con actuaciones de notificación"/>
    <s v="Total de actos administrativos de notificación o comunicación gestionados en el periodo/ Total de actos administrativos recibidos para notificar o comunicar en el periodo"/>
    <s v="Porcentual"/>
    <n v="0.95"/>
    <n v="5182"/>
    <n v="5233"/>
    <n v="0.99025415631568903"/>
    <s v="​Al corte del 30 de junio de 2025 en la entidad se expidieron 5233 resoluciones las cuales ingresaron en su totalidad al Grupo de Gestion de Notificaciones y Comunicaciones, se gestionaron 5182, dejando en trámite 51 actos administrativos en su gran mayoría expedidos en los últimos días del mes y los cuales por distintos tramites se encuentra en gestion al corte del mes de este reporte. _x000a_"/>
    <b v="0"/>
    <m/>
    <s v="2025"/>
    <s v="Elemento"/>
    <s v="sites/PlanAnualdeGestin/Lists/REPORTE SEGUIMIENTO PAG"/>
  </r>
  <r>
    <s v="Secretaria General"/>
    <x v="5"/>
    <x v="120"/>
    <s v="Realizar sensibilización con el fin de optimizar el trámite de notificación al interior de la Entidad."/>
    <s v="Sensibilizar a los funcionarios de la Entidad en el trámite de notificación de actos administrativos."/>
    <s v="Número de acciones realizadas con el fin dedar a conocer el proceso de notificación de los actos administrativos."/>
    <s v="Numérica"/>
    <n v="1"/>
    <n v="1"/>
    <n v="1"/>
    <n v="1"/>
    <s v="Entre las actividades realizadas para la sensibilización se solicitó a través de la dirección administrativa la creación y divulgación de una pieza grafica con información relacionada al formato DIFT05 por el cual los vigilados pueden autorizar la notificación electrónica de los actos administrativos tramitados por el grupo de gestión de notificación y comunicaciones de la dirección administrativa, se adjunta evidencia de la campaña ya realizada por correo institucional. _x000a_"/>
    <b v="0"/>
    <m/>
    <s v="2025"/>
    <s v="Elemento"/>
    <s v="sites/PlanAnualdeGestin/Lists/REPORTE SEGUIMIENTO PAG"/>
  </r>
  <r>
    <s v="Secretaria General"/>
    <x v="5"/>
    <x v="55"/>
    <s v="Incrementar el porcentaje de eficiencia en la correcta asignación de los documentos de entrada radicados a las diferentes  dependencias de la entidad.​._x000a_"/>
    <s v="Porcentaje de eficiencia en la asignación de los documentos de entrada radicados a las dependencias​"/>
    <s v="Número de documentos radicados  asignados correctamente a las dependencias durante el trimestre / Número de documentos totales radicados  en el trimestre x 100​"/>
    <s v="Porcentual"/>
    <n v="0.98"/>
    <n v="139528"/>
    <n v="140427"/>
    <n v="0.99359809723201398"/>
    <s v="​_x000a__x000a_ De 140.427 documentos radicados entre abril, mayo y junio de2025, se tomó una muestra del 5% lo cual arrojó un resultado de 7.020 documentosradicados que fueron revisados en los cuales se encontraron un total de 6.975documentos asignados correctamente y que proyectados al total de radicados son139.528 que cumplen con la asignación correcta a las dependencias; lo querepresenta un porcentaje de cumplimiento del  99.36% en dicho periodo, teniendo encuenta que la meta es del 98%. ABRILTOTAL RADICADOS 44.623 ASIGNADOS CORRECTAMENTE 44.320, MAYOTOTAL 49.969 ASIGNADOS CORRECTAMENTE 49.669, JUNIO 45.835ASIGNADOS CORRECTAMENTE 45.537.​ _x000a__x000a_​ _x000a__x000a_"/>
    <b v="0"/>
    <m/>
    <s v="2025"/>
    <s v="Elemento"/>
    <s v="sites/PlanAnualdeGestin/Lists/REPORTE SEGUIMIENTO PAG"/>
  </r>
  <r>
    <s v="Secretaria General"/>
    <x v="5"/>
    <x v="56"/>
    <s v="Incrementar el porcentaje de eficiencia en la digitalización y cargue  de los documentos  con cumplimiento de las características de calidad dispuestas por la entidad.​"/>
    <s v="Porcentaje de eficiencia en la digitalización de documentos."/>
    <s v="Número de documentos con calidad en la digitalización y cargue al sistema durante el trimestre  / Número Total de documentos digitalizados durante el trimestre x 100.​"/>
    <s v="Porcentual"/>
    <n v="0.99870000000000003"/>
    <n v="140273"/>
    <n v="140427"/>
    <n v="0.99890334479836496"/>
    <s v="De 140.427 documentos digitalizados en mayo de 2025, se tomó unamuestra del 5% lo cual arrojó un resultado de 7.020 documentos digitalizados quefueron revisados en los cuales se encontraron un total de 7.012 documentosdigitalizados correctamente y que proyectados al total de digitalizados son 140.273que cumplen con la digitalización correcta; lo que representa un porcentaje decumplimiento del 99.89% en dicho periodo, teniendo en cuenta que la meta es del99.87%.ABRIL TOTAL DIGITALIZADOS44.623 CORRECTOS 44.623, MAYO TOTAL 49.969 ASIGNADOSCORRECTAMENTE 49.969, JUNIO 45.835 ASIGNADOS CORRECTAMENTE45.675.​ _x000a__x000a_​ _x000a__x000a_"/>
    <b v="0"/>
    <m/>
    <s v="2025"/>
    <s v="Elemento"/>
    <s v="sites/PlanAnualdeGestin/Lists/REPORTE SEGUIMIENTO PAG"/>
  </r>
  <r>
    <s v="Secretaria General"/>
    <x v="5"/>
    <x v="57"/>
    <s v="Alcanzar el Nivel de madurez en dos (2) componentes en &quot;Básico&quot; y un (1) componente en &quot;Intermedio&quot; - Modelo de Gestión Documental y Administración de Archivos -MGDA- en 2025 -"/>
    <s v="Nivel de madurez de acuerdo con la matriz de cumplimiento del MGDA"/>
    <s v="Total de los productos cumplidos del MGDA en los dos componentes / Total productos del MGDA requeridos en los 3 componentes programados"/>
    <s v="Porcentual"/>
    <n v="18"/>
    <n v="26"/>
    <n v="58"/>
    <n v="0.44827586206896602"/>
    <s v="     Observamos que, para el segundo trimestre de 2025, el Indicador DI28 Nivel de madurez de acuerdo con la matriz de cumplimiento del MGDA, alcanzó un cumplimiento satisfactorio del 100% con la ejecución de 18 actividades , llegando a un avance consolidado del 45%, con 26 actividades cumplidas._x000a_"/>
    <b v="1"/>
    <s v="https://acortar.link/nIWK7w"/>
    <s v="2025"/>
    <s v="Elemento"/>
    <s v="sites/PlanAnualdeGestin/Lists/REPORTE SEGUIMIENTO PAG"/>
  </r>
  <r>
    <s v="Secretaria General"/>
    <x v="5"/>
    <x v="58"/>
    <s v="Realizar campañas de socialización sobre el manejo de los procesos del Grupo de Correspondencia"/>
    <s v="Campañas de socialización sobre el manejo de los procesos del Grupo de Correspondencia"/>
    <s v="Número de campañas de socialización sobre el manejo de los procesos del Grupo de Correspondencia"/>
    <s v="Numérica"/>
    <n v="3"/>
    <n v="2"/>
    <n v="3"/>
    <n v="0.66666666666666696"/>
    <s v="​En mayo y junio de 2025  se publicaron 2 campañas de comunicaciones._x000a_Se proyectará la campaña faltante del segundo trimestre de 2025 en  julio de 2025 y con ello cumplir con la meta de 12 campañas al 31 de diciembre de 2025_x000a_"/>
    <b v="0"/>
    <m/>
    <s v="2025"/>
    <s v="Elemento"/>
    <s v="sites/PlanAnualdeGestin/Lists/REPORTE SEGUIMIENTO PAG"/>
  </r>
  <r>
    <s v="Secretaria General"/>
    <x v="5"/>
    <x v="59"/>
    <s v="Ejecutar cronograma de actividades para la implementación y sostenibilidad de la política Gestión Presupuestal y Eficiencia del Gasto Público"/>
    <s v="Ejecución de cronograma de actividades para la implementación y sostenibilidad de la política Gestión Presupuestal y Eficiencia del Gasto Público"/>
    <s v="Número de actividades ejecutadas para la implementación y sostenibilidad de la política Gestión Presupuestal y Eficiencia del Gasto Público"/>
    <s v="Numérica"/>
    <n v="3"/>
    <n v="3"/>
    <n v="3"/>
    <n v="1"/>
    <s v="​Se realizaron las 3 actividades programadas durante el 2do trimestre de la vigencia, las cuales corresponden a la elaboración de informes de seguimiento a la ejecución presupuestal (mensual): _x000a__x000a_Cierre Abril:_x000a_*Se realizó mesa de trabajo el 8 de mayo de 2025 con todas las dependencias, en el marco del seguimiento a la ejecución presupuestal y la socialización por parte de la Dirección Financiera y la Secretaría General. El objetivo de esta sesión fue abordar los siguientes temas:_x000a__x000a__x000a_1.Informar la Ejecución Presupuestal de la entidad y de las dependencias al 30 de Abril 2025_x000a_2.Informar la Ejecución de Tiquetes aéreos al 30 de Abril 2025_x000a_3.Reservas Presupuestales al 31 de Diciembre de 2024 (Ejecutadas en 2025)_x000a_4.Lineamientos frente a trámites presupuestales_x000a__x000a__x000a_Cierre Mayo:_x000a__x000a_*Se envió el 5 de junio de 2025 a través de correo electrónico institucional el Informe de la Ejecución Presupuestal a cada una de las Dependencias junto con los saldos de RP al corte de mayo de 2025._x000a__x000a__x000a_*Se realizó Mesa de trabajo el 11 de junio de 2025 con los enlaces de las dependencias que tienen asignado recursos de funcionamiento e inversión en la vigencia 2025 abordar los siguientes temas:_x000a__x000a__x000a_1.Informar la Ejecución Presupuestal de la entidad y de las dependencias al 31 de Mayo 2025_x000a_2.Informar la Ejecución de Tiquetes aéreos al 31 de Mayo 2025_x000a_3.Reservas Presupuestales al 31 de Diciembre de 2024 (Ejecutadas en 2025)_x000a_4.Lineamientos frente a trámites presupuestales_x000a__x000a__x000a_Reunión que quedó soportada con acta GE-11584 yse envió correo al Director Financiero y a la Asesora de la Secretaría General del compromiso adquirido en dicha reunión._x000a__x000a_ _x000a__x000a_Cierre Junio:_x000a__x000a_*Se envió el 4 y el 7 de julio de 2025 a través de correo electrónico institucional el Informe de la Ejecución Presupuestal a cada una de las Dependencias junto con los saldos de RP al corte de junio de 2025._x000a__x000a__x000a_*Se realizó Mesa de trabajo el 8 de julio de 2025 con los enlaces de las dependencias que tienen asignado recursos de funcionamiento e inversión en la vigencia 2025 abordar los siguientes temas:_x000a__x000a__x000a_1. Informar la Ejecución Presupuestal de la entidad y de las dependencias al 30 de junio 2025_x000a_2. Informar la Ejecución de Tiquetes aéreos al 30 de junio 2025_x000a_3. Reservas Presupuestales al 31 de diciembre de 2024 (Ejecutadas en 2025)_x000a_4. Lineamientos frente a trámites presupuestales_x000a__x000a__x000a_De la mesa de trabajo se generó el acta GE-11667 del 8 de julio de 2025 por ITS Gestión, aplicativo de la entidad._x000a__x000a__x000a_Es importante informar a las áreas sobre la ejecución presupuestal para que la corroboren contra el control que maneja cada uno de los enlaces y aclarar todas las dudas que puedan presentar sobre los trámites presupuestales._x000a__x000a__x000a_"/>
    <b v="0"/>
    <m/>
    <s v="2025"/>
    <s v="Elemento"/>
    <s v="sites/PlanAnualdeGestin/Lists/REPORTE SEGUIMIENTO PAG"/>
  </r>
  <r>
    <s v="Secretaria General"/>
    <x v="5"/>
    <x v="60"/>
    <s v="Medir y reportar la ejecución total del presupuesto en compromisos."/>
    <s v="Ejecución total del presupuesto en Compromisos"/>
    <s v="(Compromisos total / Apropiación total final)*100"/>
    <s v="Porcentual"/>
    <n v="0.4"/>
    <n v="149357146852"/>
    <n v="326211744691"/>
    <n v="0.4578533706488"/>
    <s v="​La apropiación asignada a la Superintendencia Nacional de Salud (SNS) para la vigencia 2025 ascendió a $326.211.744.691. De este total, se ejecutaron compromisos por la suma de $149.357.146.852,02, lo que representa el 45,8% de la apropiación. Este resultado es mayor al 40% al programado en los indicadores de gestión, significa que se cumple a satisfacción el indicador._x000a__x000a__x000a_En cuanto a la ejecución presupuestal de los recursos de funcionamiento e inversión, se presenta lo siguiente:_x000a__x000a__x000a_• Recursos de funcionamiento: $104.612.787.030,32, lo que representa el 43,8% de la apropiación vigente de $239.012.900.000._x000a_• Recursos de inversión: $44.744.359.821,7, equivalente al 51,3% de la apropiación vigente de $87.198.844.691_x000a__x000a__x000a_Es importante resaltar que la ejecución por obligaciones alcanzó los $98.787.131.396,37 lo que representa el 30,3%, y la ejecución por pagos fue de $98.773.344.767,1 equivalente al 30,3%._x000a__x000a__x000a_"/>
    <b v="0"/>
    <m/>
    <s v="2025"/>
    <s v="Elemento"/>
    <s v="sites/PlanAnualdeGestin/Lists/REPORTE SEGUIMIENTO PAG"/>
  </r>
  <r>
    <s v="Secretaria General"/>
    <x v="5"/>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423"/>
    <n v="423"/>
    <n v="1"/>
    <s v="​Durante el mes de Junio, se gestionaron  423  cuentas que fueron radicadas en los tiempos estipulados de acuerdo con la Circular Interna 2022920020000026-4 de 2022,asi mismo, los documentos radicados despues del dia 25 calendario se tramitaron en el siguiente mes. Por lo cual, se cumplió con la meta del indicador del 100%, (423/423) habiendo gestionado la totalidad de las cuentas radicadas con un tiempo de gestión de 2,6 dias hábiles. Se adjunta base con relación de cuentas radicadas y gestionadas, asi como el reporte del indicador con la correspondiente gráfica._x000a_"/>
    <b v="0"/>
    <m/>
    <s v="2025"/>
    <s v="Elemento"/>
    <s v="sites/PlanAnualdeGestin/Lists/REPORTE SEGUIMIENTO PAG"/>
  </r>
  <r>
    <s v="Secretaria General"/>
    <x v="5"/>
    <x v="121"/>
    <s v="Optimizar el proceso de recaudo de la cartera de obligaciones a cargo del Grupo de Cobro Persuasivo y Jurisdicción Coactiva a partir del impulso procesal."/>
    <s v="Porcentaje de recaudo de cartera, frente al valor total de la cartera cobrable."/>
    <s v="(valor total de la cartera clasificada como cobrable con corte al cierre de la vigencia anterior * 20) / 100"/>
    <s v="Porcentual"/>
    <n v="0.05"/>
    <n v="12912549248"/>
    <n v="26161920186"/>
    <n v="0.49356274907183101"/>
    <s v="​El Grupo de Cobro Persuasivo reporta el avance del recaudo hasta el mes de mayo de 2025 dado que  por los cierres financieros el archivo de recaudo lo envían los primeros 10 días hábiles del mes, y al reportarse el indicador PAG el 8 de julio, aún NO se tiene el mencionado informe. (Se anexa el detalle del recaudo hasta el mes de mayo) . Es importante aclarar que, de acuerdo con la formulación actual del  indicador la meta para la vigencia 2025 es igual a = $26.161.920.186, equivalente al 20% del valor total de cartera clasificada como cobrable con corte al cierre de la vigencia 2024 ($130.809.600.838)  y su proyección de metas durante la vigencia 2025, Junio 5% y Diciembre 15%, tomando como el 100% el valor de la meta $26.161.920.186 corresponden en realidad a proyección de metas Junio 25% ($ 6.540.480.042) y Diciembre 75% ($19.621.440.126). Por lo cual, durante este primer reporte, se ha superado la meta establecida, dado el resultado de $12.912.549.248, equivalente al 49,35% a corte del mes de Mayo.  Nota: Se debe realizar modificación en la fórmula del indicador, en el cual, se refleje como numerador el valor de recaudo del periodo / valor de recaudo establecido como meta, reflejando el avance._x000a__x000a_"/>
    <b v="0"/>
    <m/>
    <s v="2025"/>
    <s v="Elemento"/>
    <s v="sites/PlanAnualdeGestin/Lists/REPORTE SEGUIMIENTO PAG"/>
  </r>
  <r>
    <s v="Secretaria General"/>
    <x v="5"/>
    <x v="61"/>
    <s v="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
    <s v="Porcentaje de avance en la ejecución del Plan Estratégico de Desarrollo del Talento Humano"/>
    <s v="(Número de actividades ejecutadas en el periodo / Número de actividades programadas en el cronograma del Plan Estratégico de Desarrollo del Talento Humano en el periodo)*100"/>
    <s v="Porcentual"/>
    <n v="19"/>
    <n v="19"/>
    <n v="19"/>
    <n v="1"/>
    <s v="​Para el segundo trimestre de la vigencia se consiguió un porcentaje de cumplimiento de 100% de las actividades programadas para el período, para un porcentaje acumulado del 100% del total de las actividades programadas para la vigencia en la actividad 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_x000a_"/>
    <b v="1"/>
    <s v="https://supersalud-my.sharepoint.com/:f:/r/personal/camila_jaime_supersalud_gov_co/Documents/SNS/DOCUMENTOS/SEGUIMIENTO%20PAG/2025/PAG%20II%20TRIM/PLAN%20ESTRAT%C3%89GICO%20DE%20TALENTO%20HUMANO?csf=1&amp;web=1&amp;e=SRZ7b1"/>
    <s v="2025"/>
    <s v="Elemento"/>
    <s v="sites/PlanAnualdeGestin/Lists/REPORTE SEGUIMIENTO PAG"/>
  </r>
  <r>
    <s v="Secretaria General"/>
    <x v="5"/>
    <x v="62"/>
    <s v="Ejecutar el Cronograma del plan institucional de capacitación (Componente de Gestión del Desarrollo)"/>
    <s v="Porcentaje de avance en la ejecución del Plan institucional de capacitación"/>
    <s v="(Número de actividades ejecutadas en el período / Número de actividades programadas en el cronograma del Plan institucional de capacitación)*100"/>
    <s v="Porcentual"/>
    <n v="1"/>
    <n v="1"/>
    <n v="1"/>
    <n v="1"/>
    <s v="​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institucional de capacitación (Componente de Gestión del Desarrollo)_x000a_"/>
    <b v="1"/>
    <s v="https://supersalud-my.sharepoint.com/:f:/g/personal/camila_jaime_supersalud_gov_co/EmKgPeTtW_NIqFwDWRIac6kBcAquNOgGXMAHcvtYdJj4-g?e=vADiZy"/>
    <s v="2025"/>
    <s v="Elemento"/>
    <s v="sites/PlanAnualdeGestin/Lists/REPORTE SEGUIMIENTO PAG"/>
  </r>
  <r>
    <s v="Secretaria General"/>
    <x v="5"/>
    <x v="63"/>
    <s v="Ejecutar el Cronograma del plan de bienestar social y estímulos (Componente Gestión de la Relaciones Humanas)"/>
    <s v="Porcentaje de avance en la ejecución del Plan de bienestar social y estímulos"/>
    <s v="(Número de actividades ejecutadas en el período / Número de actividades programadas en el cronograma del Plan de bienestar social y estímulos)*100"/>
    <s v="Porcentual"/>
    <n v="28"/>
    <n v="27"/>
    <n v="27"/>
    <n v="1"/>
    <s v="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de bienestar social y estímulos (Componente Gestión de la Relaciones Humanas)_x000a_"/>
    <b v="1"/>
    <s v="https://supersalud-my.sharepoint.com/:f:/r/personal/camila_jaime_supersalud_gov_co/Documents/SNS/DOCUMENTOS/SEGUIMIENTO%20PAG/2025/PAG%20II%20TRIM/PLAN%20DE%20BIENESTAR?csf=1&amp;web=1&amp;e=ohVh0b"/>
    <s v="2025"/>
    <s v="Elemento"/>
    <s v="sites/PlanAnualdeGestin/Lists/REPORTE SEGUIMIENTO PAG"/>
  </r>
  <r>
    <s v="Secretaria General"/>
    <x v="5"/>
    <x v="64"/>
    <s v="Ejecutar el Cronograma del plan Anual de Seguridad y salud en el Trabajo (Componente de Gestión de las Relaciones Humanas)"/>
    <s v="Porcentaje de avance en la ejecución del Plan anual de Seguridad y Salud en el Trabajo"/>
    <s v="(Número de actividades ejecutadas en el periodo / Número de actividades programadas en el cronograma del Plan anual de Seguridad y Salud en el Trabajo) *100"/>
    <s v="Porcentual"/>
    <n v="18"/>
    <n v="18"/>
    <n v="18"/>
    <n v="1"/>
    <s v="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Anual de Seguridad y salud en el Trabajo (Componente de Gestión de las Relaciones Humanas)_x000a__x000a_"/>
    <b v="1"/>
    <s v="https://supersalud-my.sharepoint.com/:f:/r/personal/camila_jaime_supersalud_gov_co/Documents/SNS/DOCUMENTOS/SEGUIMIENTO%20PAG/2025/PAG%20II%20TRIM/PLAN%20ANUAL%20DE%20TRABAJO%20DE%20SST?csf=1&amp;web=1&amp;e=GbdERo"/>
    <s v="2025"/>
    <s v="Elemento"/>
    <s v="sites/PlanAnualdeGestin/Lists/REPORTE SEGUIMIENTO PAG"/>
  </r>
  <r>
    <s v="Secretaria General"/>
    <x v="5"/>
    <x v="65"/>
    <s v="Ejecutar el cronograma para la implementación de la Política de integridad del Modelo Integrado de Gestión. ( Componente de Gestión de las Relaciones Humanas)_x000a_"/>
    <s v="Porcentaje acumulado de avance en la ejecución del cronograma para la implementación de la política de integridad"/>
    <s v="(Número de actividades ejecutadas en el periodo / Número de actividades programadas en el cronograma para la implementación de la política de integridad)*100"/>
    <s v="Porcentual"/>
    <n v="5"/>
    <n v="5"/>
    <n v="5"/>
    <n v="1"/>
    <s v="para el segundo trimestre de la vigencia se consiguió un porcentaje de cumplimiento de 100% de las actividades programadas para el período, para un porcentaje acumulado del 100% del total de las actividades programadas para la vigencia en la actividad Ejecutar el cronograma para la implementación de la Política de integridad del Modelo Integrado de Gestión. ( Componente de Gestión de las Relaciones Humanas)_x000a__x000a__x000a_"/>
    <b v="1"/>
    <s v="https://supersalud-my.sharepoint.com/:f:/r/personal/camila_jaime_supersalud_gov_co/Documents/SNS/DOCUMENTOS/SEGUIMIENTO%20PAG/2025/PAG%20II%20TRIM/PLAN%20DE%20IMPLEMENTACI%C3%93N%20-%20POL%C3%8DTICA%20DE%20INTEGRIDAD?csf=1&amp;web=1&amp;e=VY9IOn"/>
    <s v="2025"/>
    <s v="Elemento"/>
    <s v="sites/PlanAnualdeGestin/Lists/REPORTE SEGUIMIENTO PAG"/>
  </r>
  <r>
    <s v="Delegatura para Entidades Territoriales y Generadores y Recaudadores y Administradores de Recursos del SGSSS"/>
    <x v="6"/>
    <x v="20"/>
    <s v="Realizar seguimiento y verificación de las auditorias realizadas"/>
    <s v="Seguimientos a las auditorías de Inspección y Vigilancia Realizadas"/>
    <s v="Numero de Seguimientos realizados"/>
    <s v="Numérica"/>
    <n v="5"/>
    <n v="7"/>
    <n v="5"/>
    <n v="1.4"/>
    <s v="​Para el primer semestre del 2025 la Delegada había presentado un rezago frente a al cumplimiento de las metas establecidas de manera mensual; por tal motivo, se estan realizando seguimientos para cumplir con la meta del periodo y subsanar aquellos donde no hubo reporte. _x000a_Para el mes de julio se realizaron 7 seguimientos a los Planes de Mejoramiento, los cuales se listan a continuación:_x000a_Dpto de La Guajira._x000a_Distito de Riohacha._x000a_Municipio de Maicao._x000a_Municipio de Uribia._x000a_Municipio de Manaure._x000a_COLJUEGOS_x000a_Distrito de Buenaventura_x000a_"/>
    <b v="0"/>
    <m/>
    <s v="2025"/>
    <s v="Elemento"/>
    <s v="sites/PlanAnualdeGestin/Lists/REPORTE SEGUIMIENTO PAG"/>
  </r>
  <r>
    <s v="Delegatura para Entidades Territoriales y Generadores y Recaudadores y Administradores de Recursos del SGSSS"/>
    <x v="6"/>
    <x v="27"/>
    <s v="Realizar Mesas de Gobernanza desde las direcciones regionales"/>
    <s v="Mesas de Gobernanza realizadas en las direcciones regionales."/>
    <s v="Mesas de Gobernanza Realizadas"/>
    <s v="Numérica"/>
    <n v="7"/>
    <n v="9"/>
    <n v="7"/>
    <n v="1.28571428571429"/>
    <s v="Para el primer semestre del 2025 la Delegada presentó un rezago frente a al cumplimiento de las metas establecidas; por tal motivo, se estan realizando Mesas de Gobernanza adicionales a la meta del periodo con el proposito de ir subsanando aquellos meses donde no hubo reporte. _x000a_Durante julio se realizaron 9 Mesas de Gobernanza en las siguientes fechas y territorios:_x000a_14 de julio de 2025. DR Nororiental - Norte de Santander Pamplona._x000a_31 de julio de 2025 DR Orinoquía - Vaupés, Mitú_x000a_17 de julio de 2025 DR Orinoquía - Arauca, Arauca_x000a_16 de julio de 2025 DR Sur - Caquetá, Florencia_x000a_9 de julio de 2025 DR Occidental - Valle del Cauca, Buenaventura_x000a_30 y 31 de julio DR Sur - Caquetá, Orito, San Miguel y_x000a_Valle del Guamuez_x000a_29 de julio de 2025 DR Occidental - Nariño, Tumaco_x000a_29 de julio de 2025 DR Caribe - Cesar, Tamalameque_x000a_31 de julio de 2025 DR Andina - Risaralda, Pueblo Rico_x000a__x000a_"/>
    <b v="0"/>
    <m/>
    <s v="2025"/>
    <s v="Elemento"/>
    <s v="sites/PlanAnualdeGestin/Lists/REPORTE SEGUIMIENTO PAG"/>
  </r>
  <r>
    <s v="Delegatura para Operadores Logísticos de Tecnologías en Salud y Gestores Farmacéuticos"/>
    <x v="6"/>
    <x v="2"/>
    <s v="Realizar auditorías a los Operadores Logísticos de Tecnologías en Salud y/o Gestores Farmacéuticos objeto de supervisión"/>
    <s v="Auditorías realizadas a los Operadores Logísticos de Tecnologías en Salud y/o Gestores Farmacéuticos"/>
    <s v="Número de auditorías realizadas a los Operadores Logísticos de Tecnologías en Salud y/o Gestores Farmacéuticos"/>
    <s v="Numérica"/>
    <n v="1"/>
    <n v="1"/>
    <n v="1"/>
    <n v="1"/>
    <s v="​Se cumple con la programación de la actividad, dado que se realiza auditoría al gestor farmacéutico CAJA COLOMBIANA DE SUBSIDIO FAMILIAR COLSUBSIDIO ordenada mediante Auto No  2025600010000909-7 el día 14 de julio de 2025_x000a_"/>
    <b v="0"/>
    <m/>
    <s v="2025"/>
    <s v="Elemento"/>
    <s v="sites/PlanAnualdeGestin/Lists/REPORTE SEGUIMIENTO PAG"/>
  </r>
  <r>
    <s v="Delegatura para Operadores Logísticos de Tecnologías en Salud y Gestores Farmacéuticos"/>
    <x v="6"/>
    <x v="35"/>
    <s v="Realizar actividades de socialización, asistencia técnica, mesas de trabajo o acompañamiento a los actores del SGSSS respecto a la operación de los Gestores Farmacéuticos Gestores Farmacéuticos y/u Operadores Logísticos de Tecnologías en Salud"/>
    <s v="Actividades de socialización, asistencia técnica, mesas de trabajo o acompañamiento a los actores del SGSSS respecto a la operación de los GF y/u OLTS"/>
    <s v="Número de actividades de socialización, asistencia técnica, mesas de trabajo o acompañamiento a los actores del SGSSS respecto a la operación de los GF y/u OLTS"/>
    <s v="Numérica"/>
    <n v="1"/>
    <n v="1"/>
    <n v="1"/>
    <n v="1"/>
    <s v="​Se cumple con la programación de la actividad dado que se realizan actividades de socialización, asistencia técnica, mesas de trabajo o acompañamiento a los actores del SGSSS, en la regional Nororiental, departamento de Santander (Disfarma, Pharmasan, Colsubsidio, Discolmets, Foscal y Cafam) con las EPS, los días 03 y 04 de julio de 2025._x000a_"/>
    <b v="0"/>
    <m/>
    <s v="2025"/>
    <s v="Elemento"/>
    <s v="sites/PlanAnualdeGestin/Lists/REPORTE SEGUIMIENTO PAG"/>
  </r>
  <r>
    <s v="Delegatura para Operadores Logísticos de Tecnologías en Salud y Gestores Farmacéuticos"/>
    <x v="6"/>
    <x v="83"/>
    <s v="Realizar actividades de IVC a los Operadores Logísticos de Tecnologías en Salud y/o Gestores Farmacéuticos objeto de supervisión en el marco del proceso de operación"/>
    <s v="Actividades de IVC a los OLTS y/o GF objeto de supervisión en el marco del proceso de operación inicial de la Supervisión Basada en Riesgos"/>
    <s v="Número de actividades de IVC a los OLTS y/o GF objeto de supervisión en el marco del proceso de operación inicial de la Supervisión Basada en Riesgos"/>
    <s v="Numérica"/>
    <n v="1"/>
    <n v="1"/>
    <n v="1"/>
    <n v="1"/>
    <s v="​​Se cumple con la programación de la actividad dado que se realizan actividades de IVC al gestor farmacéutico CAJA COLOMBIANA DE SUBSIDIO FAMILIAR - COLSUBSIDIO objeto de supervisión en el marco del proceso de operación inicial de la Supervisión Basada en Riesgos._x000a_"/>
    <b v="0"/>
    <m/>
    <s v="2025"/>
    <s v="Elemento"/>
    <s v="sites/PlanAnualdeGestin/Lists/REPORTE SEGUIMIENTO PAG"/>
  </r>
  <r>
    <s v="Dirección de Innovación y Desarrollo"/>
    <x v="6"/>
    <x v="122"/>
    <s v="Realizar convocatoria RILCO"/>
    <s v="Actividades correspondientes para realizar la convocatoria que permita fortalecer y actualizar el registro de agentes Liquidadores, Interventores y Contralores - RILCO"/>
    <s v="Número de actividades ejecutadas para realizar la convocatoria que permita fortalecer y actualizar el registro de agentes Liquidadores, Interventores y Contralores - RILCO"/>
    <s v="Numérica"/>
    <n v="0.5"/>
    <n v="0.5"/>
    <n v="1"/>
    <n v="0.5"/>
    <s v="​ El proyecto Rilco para el 2025 tiene la particularidad que se contrató un tercero externo la Universidad Nacional de Colombia y que se encargará de adelantaran todas las fases del proceso. Anteriormente la Universidad Nacional solo se encargaba de la prueba de conocimiento. El acta de inicio se firmó el 1 de mayo. Una I fase es la Verificación de Requisitos Mínimos- VRM durante el periodo de mayo a junio y se inició con el proceso y divulgación de la inscripción de los participantes a la convocatoria en la pagina web de la supersalud._x000a__x000a_"/>
    <b v="1"/>
    <s v="https://supersalud-my.sharepoint.com/:f:/g/personal/gerson_ruiz_supersalud_gov_co/EglE87_nJIxMpkziUJBO7OcB-JAmPt9yeJPuubguoayBXA?e=hEh6VL"/>
    <s v="2025"/>
    <s v="Elemento"/>
    <s v="sites/PlanAnualdeGestin/Lists/REPORTE SEGUIMIENTO PAG"/>
  </r>
  <r>
    <s v="Dirección de Innovación y Desarrollo"/>
    <x v="6"/>
    <x v="122"/>
    <s v="Realizar convocatoria RILCO"/>
    <s v="Actividades correspondientes para realizar la convocatoria que permita fortalecer y actualizar el registro de agentes Liquidadores, Interventores y Contralores - RILCO"/>
    <s v="Número de actividades ejecutadas para realizar la convocatoria que permita fortalecer y actualizar el registro de agentes Liquidadores, Interventores y Contralores - RILCO"/>
    <s v="Numérica"/>
    <m/>
    <m/>
    <m/>
    <m/>
    <s v="​La jornada de aplicación de pruebas de personalidad se llevó a cabo el día domingo 10 de agosto de 2025 en el campus de la Universidad Nacional de Colombia, sede Bogotá - Edificio 212 Aulas de Ciencias Humanas. Para su cumplimiento y realización, se garantizó desde la dirección del proyecto, en conjunto con la Unidad Administrativa de la Facultad de Ciencias Humanas, en primer lugar contar con espacios adecuados y de fácil acceso para cada uno de los aspirantes citados a esta jornada, así mismo, que estos brindaran rutas de fácil evacuación, aulas con suficiente ventilación cruzada y óptima iluminación._x000a_"/>
    <b v="0"/>
    <m/>
    <s v="2025"/>
    <s v="Elemento"/>
    <s v="sites/PlanAnualdeGestin/Lists/REPORTE SEGUIMIENTO PAG"/>
  </r>
  <r>
    <s v="Dirección Jurídica"/>
    <x v="6"/>
    <x v="3"/>
    <s v="Realizar actividades tendientes a la consolidación y publicación del boletín jurídico"/>
    <s v="Publicación trimestral del boletín jurídico en la página web de la Entidad"/>
    <s v="Número de boletines publicados en el periodo"/>
    <s v="Numérica"/>
    <n v="1"/>
    <n v="1"/>
    <n v="1"/>
    <n v="1"/>
    <s v="​Se han realizado una publicación de boletin jurídicos en el normograma de la entidad que corresponde a primer  trimestre del presente año.  Con la publicación de los boletines se busca que los usuarios del SGSSS externos e internos cuenten con una herramienta de fácil consulta sobre los diferentes temas de competencia de la Superintendencia Nacional de Salud._x000a_"/>
    <b v="0"/>
    <m/>
    <s v="2025"/>
    <s v="Elemento"/>
    <s v="sites/PlanAnualdeGestin/Lists/REPORTE SEGUIMIENTO PAG"/>
  </r>
  <r>
    <s v="Oficina Asesora de Comunicaciones"/>
    <x v="6"/>
    <x v="76"/>
    <s v="Realizar seguimiento a través de la herramienta metodológica del comportamiento de los canales digitales de la entidad"/>
    <s v="Informes de seguimiento sobre el comportamiento de canales digitales elaborados."/>
    <s v="Número de informes de seguimiento sobre el comportamiento de canales digitales elaborados."/>
    <s v="Numérica"/>
    <n v="1"/>
    <n v="1"/>
    <n v="1"/>
    <n v="1"/>
    <s v="​Bajo este informe digital, se puede observar el ranking de las paginas institucionales más visitadas, detalle de la participación mesual por parte de los internautas, aumento de consulta por temas publicados, entre otros._x000a_"/>
    <b v="1"/>
    <s v="https://supersalud.sharepoint.com/:x:/t/OFICINAASESORADECOMUNICACIONESESTRATEGICASEIMAGENINSTITUCIONAL/ERKxzRtGj9xNhAOfsi1_OMQB7hQ24sX4ntUH1gLkFqn1Pg?e=TDS50w"/>
    <s v="2025"/>
    <s v="Elemento"/>
    <s v="sites/PlanAnualdeGestin/Lists/REPORTE SEGUIMIENTO PAG"/>
  </r>
  <r>
    <s v="Oficina Asesora de Comunicaciones"/>
    <x v="6"/>
    <x v="76"/>
    <s v="Realizar seguimiento a través de la herramienta metodológica del comportamiento de los canales digitales de la entidad"/>
    <s v="Informes de seguimiento sobre el comportamiento de canales digitales elaborados."/>
    <s v="Número de informes de seguimiento sobre el comportamiento de canales digitales elaborados."/>
    <s v="Numérica"/>
    <n v="1"/>
    <n v="1"/>
    <n v="1"/>
    <n v="1"/>
    <s v="​Reporte del seguimiento a través de la herramienta metodológica del comportamiento de los canales digitales de la entidad._x000a_"/>
    <b v="1"/>
    <s v="https://supersalud.sharepoint.com/:x:/t/OFICINAASESORADECOMUNICACIONESESTRATEGICASEIMAGENINSTITUCIONAL/Ebec3yhrrs1EnaMRJds5pEEBkiUcsmFYkS4KLXU4y0XVgg?e=5b59aM"/>
    <s v="2025"/>
    <s v="Elemento"/>
    <s v="sites/PlanAnualdeGestin/Lists/REPORTE SEGUIMIENTO PAG"/>
  </r>
  <r>
    <s v="Secretaria General"/>
    <x v="6"/>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211"/>
    <n v="211"/>
    <n v="1"/>
    <s v="Durante el mes de Julio, se gestionaron  211 cuentas que fueron radicadas en los tiempos estipulados de acuerdo con la Circular Interna 2022920020000026-4 de 2022,asi mismo, los documentos radicados despues del dia 25 calendario se tramitaron en el siguiente mes. Por lo cual, se cumplió con la meta del indicador del 100%, (211/211) habiendo gestionado la totalidad de las cuentas radicadas con un tiempo de gestión de 2,5 dias hábiles. Se adjunta base con relación de cuentas radicadas y gestionadas, asi como el reporte del indicador con la correspondiente gráfica."/>
    <b v="0"/>
    <m/>
    <s v="2025"/>
    <s v="Elemento"/>
    <s v="sites/PlanAnualdeGestin/Lists/REPORTE SEGUIMIENTO PAG"/>
  </r>
  <r>
    <s v="Delegatura para Entidades Territoriales y Generadores y Recaudadores y Administradores de Recursos del SGSSS"/>
    <x v="7"/>
    <x v="66"/>
    <s v="Realizar auditorías para verificar el cumplimiento de las funciones y obligaciones de los vigilados de la Delegada."/>
    <s v="Auditorías de Inspección y Vigilancia realizadas por la Delegada de Entidades territoriales"/>
    <s v="Número de Auditorías realizadas"/>
    <s v="Numérica"/>
    <n v="7"/>
    <n v="14"/>
    <n v="7"/>
    <n v="2"/>
    <s v="​Durante los meses de Mayo, Junio, Julio y Agosto se realizaron de total 14 auditorías en entidades territoriales como Magdalena, Cesar, Bolivar, Caldas, Boyacá, Antioquia y Chocó y a algunos generadores de recursos en el departamento del Cauca. Se registran las evidencias en carpetas por cada mes en el enlace del Sharepoint de la DETGRARSGSSS._x000a_"/>
    <b v="1"/>
    <s v="https://supersalud.sharepoint.com/:f:/s/DelegadaparaETyGRARdelSGSSS/El4PC6EEB8xOvz5IjcntxlMBZYyt6UDTHF0ZuR0qkOlTXA?e=yjsjUX"/>
    <s v="2025"/>
    <s v="Elemento"/>
    <s v="sites/PlanAnualdeGestin/Lists/REPORTE SEGUIMIENTO PAG"/>
  </r>
  <r>
    <s v="Delegatura para Entidades Territoriales y Generadores y Recaudadores y Administradores de Recursos del SGSSS"/>
    <x v="7"/>
    <x v="20"/>
    <s v="Realizar seguimiento y verificación de las auditorias realizadas"/>
    <s v="Seguimientos a las auditorías de Inspección y Vigilancia Realizadas"/>
    <s v="Numero de Seguimientos realizados"/>
    <s v="Numérica"/>
    <n v="5"/>
    <n v="17"/>
    <n v="5"/>
    <n v="3.4"/>
    <s v="​En el primer semestre se pudieron presentar algunos errores en el reporte; por tal motivo, se están realizando reportes adicionales para contrarrestar esto.  _x000a_Frente al avance en este indicador, se realizaron 17 seguimientos a auditorias entre las que se encuentran las realizadas a los  municipios de Riohacha, Manaure, Uribia, Maicao, deparatamento de La Guajira y Seguimiento del segundo (2) avance Plan de Mejoramiento Empresa Industrial y Comercial del Estado Administradora del Monopolio Rentístico de los Juegos de Suerte y Azar - COLJUEGOS . En la carpeta de evidencias se encuentran las actas e informes de los seguimientos realizados._x000a_"/>
    <b v="1"/>
    <s v="https://supersalud.sharepoint.com/:f:/s/DelegadaparaETyGRARdelSGSSS/EuIoi4wHnvNLq6eqzZNhi-gBx3Ng7XM83dUacONTjGgV9w?e=mFUW5L"/>
    <s v="2025"/>
    <s v="Elemento"/>
    <s v="sites/PlanAnualdeGestin/Lists/REPORTE SEGUIMIENTO PAG"/>
  </r>
  <r>
    <s v="Delegatura para Entidades Territoriales y Generadores y Recaudadores y Administradores de Recursos del SGSSS"/>
    <x v="7"/>
    <x v="68"/>
    <s v="Realizar mesas técnicas de fortalecimiento de competencias dirigidas a los sujetos vigilados de la Delegada de acuerdo a su competencia."/>
    <s v="Mesas Técnicas para el fortalecimiento de competencias"/>
    <s v="Número de Mesas Técnicas realizadas"/>
    <s v="Numérica"/>
    <n v="3"/>
    <n v="1"/>
    <n v="3"/>
    <n v="0.25"/>
    <s v="​Durante el periodo de reporte, se realizó una mesa tecnica de fortalecimiento de competencias en inspeccion vigilancia y control de las Entiades territoriales de caracter Departamental, Distrital y Municipal de los departamentos de Cundinamarca, Bogotá, Amazonas y San Andrés._x000a_Para el ultimo trimestre se realizarán las Mesas de fortalecimiento necesarias para cumplir con el 100% de lo planeado para la vigencia."/>
    <b v="1"/>
    <s v="https://supersalud.sharepoint.com/:f:/s/DelegadaparaETyGRARdelSGSSS/EurDxGSB_x5NiyLlR_sJgFABfmZt6bWTkR17uxdv63L_UQ?e=AHmamH"/>
    <s v="2025"/>
    <s v="Elemento"/>
    <s v="sites/PlanAnualdeGestin/Lists/REPORTE SEGUIMIENTO PAG"/>
  </r>
  <r>
    <s v="Delegatura para Entidades Territoriales y Generadores y Recaudadores y Administradores de Recursos del SGSSS"/>
    <x v="7"/>
    <x v="67"/>
    <s v="Realizar mesas internas de apropiación y aplicabilidad del Sistema Integrado de Gestión a los funcionarios de la Delegada."/>
    <s v="Mesas ejecutadas para la apropiación del Sistema Integrado de Gestión al interior de la Delegada."/>
    <s v="Número de mesas ejecutadas para la apropiación del Sistema Integrado de Gestión al interior de la Delegada realizadas"/>
    <s v="Numérica"/>
    <n v="4"/>
    <n v="3"/>
    <n v="4"/>
    <n v="0.75"/>
    <s v="​Por los cambios del personas de la Delegada producto del concurso de mérito, no se realizó una de las sensibilizaciones proyectadas esperando la llegada de los nuevos funcionarios para que estos procesos de formación en el SIG contribuyeran a los procesos de inducción._x000a_Para el periodo de reporte, Se realizaron 3 sesiones de sensibilización sobre el Sistema Integrado de Gestión al interior de la Delegada para Entidades Territoriales. A continuación, se presenta una descripción general de los temas tratados._x000a_1. Sesión se realizó un simil entre el ajedrez y la planeación, en la que se explicó aspectos relacionados con la anticipación, el análisis de riesgos, los beneficios y la capacidad de adaptarse a cambios inesperados para lograr el éxito. Haciendo enfasis en que la planificación empresarial, como el ajedrez, se basa en la evaluación de diferentes escenarios, la consideración de múltiples factores y la toma de decisiones bien fundamentada. _x000a_2. Se realizó una actividad en la que se explicaba las abejas y la gestión de procesos, en la que se destaco la organización en roles definidos, la comunicación constante y efectiva, el enfoque sistemico y el trabajo en equipo, entre otros._x000a_3. Se aplico un test que tenía como objetivo identificar los temas que se deben reforzar al interior del equipo; así mismo, se expuso de manera general algunos conceptos básicos  del Sistema Integrado de Gestión y del proceso de Seguimiento y evaluación al vigilado._x000a__x000a__x000a_"/>
    <b v="1"/>
    <s v="https://supersalud.sharepoint.com/:f:/s/DelegadaparaETyGRARdelSGSSS/EojJpxmdEEdPljAtknDnticBpbIJR1tBaDYpiWbXLDXfMA?e=bf3nkn"/>
    <s v="2025"/>
    <s v="Elemento"/>
    <s v="sites/PlanAnualdeGestin/Lists/REPORTE SEGUIMIENTO PAG"/>
  </r>
  <r>
    <s v="Delegatura para Entidades Territoriales y Generadores y Recaudadores y Administradores de Recursos del SGSSS"/>
    <x v="7"/>
    <x v="70"/>
    <s v="Realizar mesas de Inspección y Vigilancia a los sujetos vigilados de la Delegada conforme a la priorización realizada."/>
    <s v="Ejecución de las mesas de Inspección y Vigilancia programadas."/>
    <s v="Mesas de Inspección y Vigilancia realizadas"/>
    <s v="Numérica"/>
    <n v="34"/>
    <n v="41"/>
    <n v="34"/>
    <n v="1.20588235294118"/>
    <s v="​Debido a que en el primer semestre se pudieron cometer errores en el reporte de los avances y en el cargue de las evidencias, desde la Delegada se tomo la decisión de desarrollar actividades adicionales a las establecidas para cumplir a cabalidad con lo definido en el PAG._x000a_Para el periodo de reporte se desarrollaron 41 mesas de Inspección y Vigilancia, entre las que se encuentra:_x000a_Mesa IV  Distrito de Bogotá_x000a_Mesa IV  Municipio de Madrid_x000a_Mesa IV  Dpto del Meta_x000a_Mesa IV  Dpto de Córdoba_x000a_Mesa IV  Municipio de Girardot_x000a_Mesa IV Dpto de La  Guajira_x000a_Mesa IV vacunación canina y felina Dpto, del Vaupés_x000a_Mesa de IV vacunación canina y felina Dpto de Vichada_x000a_Para consultar los soportes de las 41 mesas, puede dirigirse al enlace establecido_x000a__x000a__x000a__x000a__x000a_"/>
    <b v="1"/>
    <s v="https://supersalud.sharepoint.com/:f:/s/DelegadaparaETyGRARdelSGSSS/EgKBZWEt-7JBrLuiwl37INwBqLgeQcp5ennGqacQfy5KqQ?e=QKuFVq"/>
    <s v="2025"/>
    <s v="Elemento"/>
    <s v="sites/PlanAnualdeGestin/Lists/REPORTE SEGUIMIENTO PAG"/>
  </r>
  <r>
    <s v="Delegatura para Entidades Territoriales y Generadores y Recaudadores y Administradores de Recursos del SGSSS"/>
    <x v="7"/>
    <x v="71"/>
    <s v="Realizar acciones Integrales en Territorio"/>
    <s v="Territorios con acciones Integrales"/>
    <s v="Número de Acciones Integrales en territorio Ejecutadas"/>
    <s v="Numérica"/>
    <n v="4"/>
    <n v="5"/>
    <n v="4"/>
    <n v="1"/>
    <s v="​Se realizó una acción integral en el municipio de Pacho en el que se contó con la participación de la Delegada de Prestadores y de Operadores Logisticos, las EPS, las alcaldias y secretarias municipales,la Gobernación de Cundinamarca y el Instituto Nacional de Salud, entre otros.  De igual forma, se realizaron AIT en Caquetá-San Vicente del Caguán, Magdalena-Santa Ana, Norte de Santander -Cúcuta y Nariño-Olaya Herrera_x000a_En el enlace se presentan los insumos y soportes de esta acción._x000a__x000a__x000a_"/>
    <b v="1"/>
    <s v="https://supersalud.sharepoint.com/:f:/s/DelegadaparaETyGRARdelSGSSS/Ek8bs6ej9xlGjvO-j3OZ7A8Bi8B9L0QZ_S0bC62sNOPJQg?e=VwICTX"/>
    <s v="2025"/>
    <s v="Elemento"/>
    <s v="sites/PlanAnualdeGestin/Lists/REPORTE SEGUIMIENTO PAG"/>
  </r>
  <r>
    <s v="Delegatura para Entidades Territoriales y Generadores y Recaudadores y Administradores de Recursos del SGSSS"/>
    <x v="7"/>
    <x v="69"/>
    <s v="Ejecutar las actividades de apoyo a las Delegadas y Oficinas de la SNS por parte de las direcciones regionales conforme a los Acuerdos de nivel de servicio"/>
    <s v="Porcentaje de acciones ejecutadas en el marco de los ANS con las Dependencias de la Entidad"/>
    <s v="Número acciones ejecutadas / Número de acciones que sean requeridas"/>
    <s v="Porcentual"/>
    <n v="1"/>
    <n v="107"/>
    <n v="107"/>
    <n v="1"/>
    <s v="​Se desarrollaron 107 acciones en el marco del ANS, entre las que se encuentran jornadas de atención al usuario orientadas a verificar la adecuada prestación de los servicios de salud y la gestión de trámites por parte de las EPS en municipios como Fonseca, Paratebueno, Maní, Sogamoso y San Vicente del Caguán, entre otros. De igual manera, se adelantaron ejercicios de verificación rápida en Barrancabermeja, Bucaramanga, Enciso y San Andrés. _x000a_Por otra parte, las Direcciones Regionales apoyaron en mesas de PQR en departamentos como Boyacá; así como, en  ferias de servicios y procesos de capacitación en diferentes territorios los cuales pueden verificarse en el enlace de la DETGRARSGSSS_x000a__x000a__x000a_"/>
    <b v="1"/>
    <s v="https://supersalud.sharepoint.com/:f:/s/DelegadaparaETyGRARdelSGSSS/Ei9sXW97yXhLoT_q41vnL8MBXKlsSEwZCowcHxKtmXmOuw?e=a7oqfK"/>
    <s v="2025"/>
    <s v="Elemento"/>
    <s v="sites/PlanAnualdeGestin/Lists/REPORTE SEGUIMIENTO PAG"/>
  </r>
  <r>
    <s v="Delegatura para Operadores Logísticos de Tecnologías en Salud y Gestores Farmacéuticos"/>
    <x v="7"/>
    <x v="35"/>
    <s v="Realizar actividades de socialización, asistencia técnica, mesas de trabajo o acompañamiento a los actores del SGSSS respecto a la operación de los Gestores Farmacéuticos Gestores Farmacéuticos y/u Operadores Logísticos de Tecnologías en Salud"/>
    <s v="Actividades de socialización, asistencia técnica, mesas de trabajo o acompañamiento a los actores del SGSSS respecto a la operación de los GF y/u OLTS"/>
    <s v="Número de actividades de socialización, asistencia técnica, mesas de trabajo o acompañamiento a los actores del SGSSS respecto a la operación de los GF y/u OLTS"/>
    <s v="Numérica"/>
    <n v="1"/>
    <n v="1"/>
    <n v="1"/>
    <n v="1"/>
    <s v="​​Se cumple con la programación dado que se realizan actividades de socialización, asistencia técnica, mesas de trabajo o acompañamiento a los actores del SGSSS, en la Regional Orinoquia, Gestores Farmacéuticos con las EPS, los días 21 y 22 de agosto de 2025._x000a_"/>
    <b v="0"/>
    <m/>
    <s v="2025"/>
    <s v="Elemento"/>
    <s v="sites/PlanAnualdeGestin/Lists/REPORTE SEGUIMIENTO PAG"/>
  </r>
  <r>
    <s v="Delegatura para Operadores Logísticos de Tecnologías en Salud y Gestores Farmacéuticos"/>
    <x v="7"/>
    <x v="36"/>
    <s v="Realizar acompañamiento a las Direcciones Regionales en actividades de IVC a los Operadores Logísticos de Tecnologías en Salud y/o Gestores Farmacéuticos de su jurisdicción"/>
    <s v="Actividades de acompañamiento a las Direcciones Regionales en actividades de IVC a los Operadores Logísticos de Tecnologías en Salud y/o Gestores Farmacéuticos de su jurisdicción"/>
    <s v="Número de actividades de acompañamiento a las Direcciones Regionales en actividades de IVC a los Operadores Logísticos de Tecnologías en Salud y/o Gestores Farmacéuticos de su jurisdicción"/>
    <s v="Numérica"/>
    <n v="2"/>
    <n v="2"/>
    <n v="2"/>
    <n v="1"/>
    <s v="​​Se cumple con la programación de las actividades de acompañamiento a las Direcicones Regionales dado que se realizan actividades de IVC a los Gestores  DISCOLMETS y DISFARMA _x000a_"/>
    <b v="0"/>
    <m/>
    <s v="2025"/>
    <s v="Elemento"/>
    <s v="sites/PlanAnualdeGestin/Lists/REPORTE SEGUIMIENTO PAG"/>
  </r>
  <r>
    <s v="Delegatura para Operadores Logísticos de Tecnologías en Salud y Gestores Farmacéuticos"/>
    <x v="7"/>
    <x v="2"/>
    <s v="Realizar auditorías a los Operadores Logísticos de Tecnologías en Salud y/o Gestores Farmacéuticos objeto de supervisión"/>
    <s v="Auditorías realizadas a los Operadores Logísticos de Tecnologías en Salud y/o Gestores Farmacéuticos"/>
    <s v="Número de auditorías realizadas a los Operadores Logísticos de Tecnologías en Salud y/o Gestores Farmacéuticos"/>
    <s v="Numérica"/>
    <n v="1"/>
    <n v="1"/>
    <n v="1"/>
    <n v="1"/>
    <s v="​​Se cumple con la programación de la actividad, dado que se realiza auditoría al Gestor Farmacéutico DISCOLMETS ordenada mediante Auto No  2025600020001212-7 del 26 de agosto de 2025_x000a_"/>
    <b v="0"/>
    <m/>
    <s v="2025"/>
    <s v="Elemento"/>
    <s v="sites/PlanAnualdeGestin/Lists/REPORTE SEGUIMIENTO PAG"/>
  </r>
  <r>
    <s v="Delegatura para Operadores Logísticos de Tecnologías en Salud y Gestores Farmacéuticos"/>
    <x v="7"/>
    <x v="73"/>
    <s v="Gestionar las solicitudes de información y/ reclamos en salud presentados por los grupos de valor o de interés a la Delegada para Operadores Logísticos de Tecnologías en Salud y Gestores Farmacéuticos"/>
    <s v="Porcentaje de solicitudes de información y/ reclamos en salud gestionados finalizados tramitados a los grupos de valor o de interés de la SNS presentados a la DOLTS-GF"/>
    <s v="(Sumatoria del número de solicitudes de información y/ reclamos en salud finalizados / Número de solicitudes de información y/ reclamos en salud interpuestos por los grupos de valor o de interés) * 100"/>
    <s v="Porcentual"/>
    <n v="0.96"/>
    <n v="211"/>
    <n v="276"/>
    <n v="0.76449275362318803"/>
    <s v="​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_x000a_"/>
    <b v="0"/>
    <m/>
    <s v="2025"/>
    <s v="Elemento"/>
    <s v="sites/PlanAnualdeGestin/Lists/REPORTE SEGUIMIENTO PAG"/>
  </r>
  <r>
    <s v="Delegatura para Operadores Logísticos de Tecnologías en Salud y Gestores Farmacéuticos"/>
    <x v="7"/>
    <x v="74"/>
    <s v="Gestionar solicitudes de información y/ reclamos en salud presentados por falta de oportunidad en la entrega o entrega incompleta de Tecnologías en salud presentados por los grupos de valor o interés a la Delegada para Operadores Logísticos de Tecnologías en Salud y Gestores Farmacéuticos"/>
    <s v="Porcentaje de solicitudes de información y/ reclamos en salud finalizados por falta de oportunidad en la entrega o entrega incompleta de tecnologías en salud tramitados a los grupos de valor o interés de la SNS presentados a la DOLTS-GF"/>
    <s v="(Sumatoria del número de solicitudes de información y/ reclamos en salud finalizados por falta de oportunidad en la entrega o entrega incompleta de tecnologías en salud en el periodo / Número de solicitudes de información y/ reclamos en salud interpuestos por los grupos de valor o interés por falta de oportunidad en la entrega o entrega incompleta de tecnologías en salud) * 100"/>
    <s v="Porcentual"/>
    <n v="0.96"/>
    <n v="151"/>
    <n v="196"/>
    <n v="0.77040816326530603"/>
    <s v="​​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_x000a_"/>
    <b v="0"/>
    <m/>
    <s v="2025"/>
    <s v="Elemento"/>
    <s v="sites/PlanAnualdeGestin/Lists/REPORTE SEGUIMIENTO PAG"/>
  </r>
  <r>
    <s v="Delegatura para Operadores Logísticos de Tecnologías en Salud y Gestores Farmacéuticos"/>
    <x v="7"/>
    <x v="72"/>
    <s v="Tramitar los reclamos en salud trasladados por la Delegada de Protección al Usuario a la Delegada para Operadores Logísticos de Tecnologías en Salud y Gestores Farmacéuticos"/>
    <s v="Porcentaje de reclamos en salud trasladados por la Delegada para la Protección al Usuario a la DOLTS-GF finalizados tramitados"/>
    <s v="(Sumatoria del número de reclamos en salud trasladados por DPU finalizados / Número de reclamos en salud trasladados por DPU) * 100"/>
    <s v="Porcentual"/>
    <n v="0.96"/>
    <n v="60"/>
    <n v="82"/>
    <n v="0.73170731707317105"/>
    <s v="​​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_x000a_"/>
    <b v="0"/>
    <m/>
    <s v="2025"/>
    <s v="Elemento"/>
    <s v="sites/PlanAnualdeGestin/Lists/REPORTE SEGUIMIENTO PAG"/>
  </r>
  <r>
    <s v="Dirección de Innovación y Desarrollo"/>
    <x v="7"/>
    <x v="104"/>
    <s v="Socializar, divulgar y brindar acompañamiento técnico para la implementación de instrumentos, guías, metodologías y lineamientos a nivel interno (nacional y regional) y externo (cuando aplique)."/>
    <s v="Jornadas de socialización y acompañamiento técnico de instrumentos, guías, metodologías y lineamientos durante la vigencia 2025"/>
    <s v="Número de jornadas de socializacion e implementación de instrumentos, guías, metodologías y lineamientos"/>
    <s v="Numérica"/>
    <n v="1"/>
    <n v="2"/>
    <n v="1"/>
    <n v="2"/>
    <s v="​Se realizaron dos socializaciones durante el mes de agosto adelantando la socializacion del mes de septiembre, cumpliendo el 100% de las actividades programadas._x000a_Estas  socializaciones se realizaron  en la ciudades de Pasto y Cali, en la cuales se aboradron los temas de Marco Integral de Supervisión y SIARC respectivamente._x000a_"/>
    <b v="1"/>
    <s v="https://supersalud.sharepoint.com/:f:/s/SUBDIRECCINMETODOLOGASEINSTRUMENTOSDESUPERVISN/EglopBcDrJtNgxXCB4uzbnkBbAbOtVET1JXu5eYKwcYTaQ?e=PfQ6RT"/>
    <s v="2025"/>
    <s v="Elemento"/>
    <s v="sites/PlanAnualdeGestin/Lists/REPORTE SEGUIMIENTO PAG"/>
  </r>
  <r>
    <s v="Dirección de Innovación y Desarrollo"/>
    <x v="7"/>
    <x v="75"/>
    <s v="Generar estrategia para la caracterización de grupos de interés y de valor para la SNS"/>
    <s v="Porcentaje de cumplimiento de la estrategia definida para la caracterización"/>
    <s v="Número de actividades ejecutadas para generar la estrategia para la caracterización de grupos de interés y de valor para la SNS / Número de actividades ejecutadas para generar la estrategia para la caracterización de grupos de interés y de valor para la SNS * 100"/>
    <s v="Porcentual"/>
    <n v="0.33"/>
    <n v="0.33"/>
    <n v="1"/>
    <n v="0.33"/>
    <s v="​En el marco de la estrategia de caracterización de grupos de interés y de valor, se presentan los avances correspondientes al periodo establecido. Dichos avances reflejan el cumplimiento de la meta parcial programada para esta fase del proceso._x000a_"/>
    <b v="0"/>
    <m/>
    <s v="2025"/>
    <s v="Elemento"/>
    <s v="sites/PlanAnualdeGestin/Lists/REPORTE SEGUIMIENTO PAG"/>
  </r>
  <r>
    <s v="Dirección Jurídica"/>
    <x v="7"/>
    <x v="4"/>
    <s v="Ejecutar cronograma de actividades para la implementación y sostenibilidad de la política de gestión y desempeño de Mejora Normativa"/>
    <s v="Actividades ejecutadas en el cronograma de implementación y sostenibilidad de la política de gestión y desempeño de Mejora Normativa"/>
    <s v="Número de actividades ejecutadas en el cronograma de implementación y sostenibilidad de la política de gestión y desempeño de Mejora Normativa."/>
    <s v="Numérica"/>
    <n v="1"/>
    <n v="1"/>
    <n v="1"/>
    <n v="1"/>
    <s v="​Se cumple con el desarrollo de una mesa de trabajo para la implementación y sostenibilidad de la política de gestión y desempeño de Mejora Normativa de una actividad programada dentro del cronograma para el  mes de agosto de 2025, mesa que se adelantó conjuntamente con el grupo de conceptos de la Dirección Jurídica y la Dirección de Innovación y Desarrollo con el objeto de revisar propuesta del manual de mejora normativa y aclarar competencias frente al proceso._x000a_"/>
    <b v="0"/>
    <m/>
    <s v="2025"/>
    <s v="Elemento"/>
    <s v="sites/PlanAnualdeGestin/Lists/REPORTE SEGUIMIENTO PAG"/>
  </r>
  <r>
    <s v="Oficina Asesora de Comunicaciones"/>
    <x v="7"/>
    <x v="77"/>
    <s v="Realizar campañas institucionales en el marco de posicionar la imagen de la Superintendencia Nacional de Salud y mejorar la gestión de la reputación institucional."/>
    <s v="Campañas institucionales realizadas"/>
    <s v="Número de campañas institucionales socializadas"/>
    <s v="Numérica"/>
    <n v="1"/>
    <n v="1"/>
    <n v="1"/>
    <n v="1"/>
    <s v="La campaña Supersalud en las regiones se consolido durante el mes de agosto como una de las estrategias institucionales para acercar la gestión de la Supersalud a los territorios. A través de 30 publicaciones en la red social Twitter (x) se logró un alcance superior a las 45 mil impresiones."/>
    <b v="0"/>
    <m/>
    <s v="2025"/>
    <s v="Elemento"/>
    <s v="sites/PlanAnualdeGestin/Lists/REPORTE SEGUIMIENTO PAG"/>
  </r>
  <r>
    <s v="Oficina Asesora de Planeación"/>
    <x v="7"/>
    <x v="5"/>
    <s v="Liderar el cumplimiento de metas y compromisos del Plan Estratégico Institucional y Plan Anual de Gestión."/>
    <s v="Porcentaje de avance en el cumplimiento de actividades formuladas en PEI y PAG"/>
    <s v="(Número de actividades realizadas / Número de actividades formuladas en los planes)*100"/>
    <s v="Porcentual"/>
    <n v="0.98"/>
    <n v="0.98"/>
    <n v="1"/>
    <n v="1"/>
    <s v="​En el periodo reportado correspondiente al segundo trimestre de 2025,  se ejecutó el (98%), dando cumplimiento del (100%) frente a la meta programada, se reportaron 134 indicadores del PAG y 34 del PEI, este resultado se debe a las acciones realizadas durante el periodo teniendo en cuenta las necesidades y observaciones  de cada dependecia, se recomienda seguir fortaleciendo los canales de comunicación y el acompañamiento personalizado._x000a_"/>
    <b v="0"/>
    <m/>
    <s v="2025"/>
    <s v="Elemento"/>
    <s v="sites/PlanAnualdeGestin/Lists/REPORTE SEGUIMIENTO PAG"/>
  </r>
  <r>
    <s v="Oficina Asesora de Planeación"/>
    <x v="7"/>
    <x v="123"/>
    <s v="Liderar el cumplimiento de los requisitos del Índice Transparencia y Acceso a la información pública - ITA"/>
    <s v="Indice de Transparencia - ITA."/>
    <s v="Resultado ITA medido por la Procuraduria General de la Nación"/>
    <s v="Numérica"/>
    <n v="100"/>
    <n v="100"/>
    <n v="100"/>
    <n v="1"/>
    <s v="En el marco de la actividad &quot;Liderar el cumplimiento de los requisitos del Índice de Transparencia y Acceso a la Información Pública – ITA&quot;, se logró el cumplimiento total de la meta, obteniendo un resultado de 100 puntos sobre 100 tanto en el reporte de autodiagnóstico como en la auditoría realizada por la Procuraduría General de la Nación. Este resultado evidencia el cumplimiento integral de los criterios evaluados por el índice._x000a_De acuerdo con lo anterior, el indicador se ubica en el rango de &quot;Bueno&quot;, con una tendencia ascendente respecto a la línea base de 97 puntos obtenida en la medición de la vigencia anterior. Esto evidencia una mejora sostenida en las acciones implementadas para garantizar el cumplimiento del ITA._x000a_Acciones desarrolladas durante la vigencia:Cierre de brechas identificadas en el Anexo 2, con la participación de la Dirección de Innovación y Desarrollo, la Subdirección de Tecnologías de la Información, la Delegada para la Protección al Usuario y la Oficina de Comunicaciones.Coordinación del proceso de autodiagnóstico.Seguimiento a los requisitos del ITA.Articulación con las áreas responsables de la publicación de información.Revisión y fortalecimiento de los canales institucionales.Atención directa para resolver observaciones y asegurar el cumplimiento._x000a__x000a__x000a_"/>
    <b v="0"/>
    <m/>
    <s v="2025"/>
    <s v="Elemento"/>
    <s v="sites/PlanAnualdeGestin/Lists/REPORTE SEGUIMIENTO PAG"/>
  </r>
  <r>
    <s v="Oficina Asesora de Planeación"/>
    <x v="7"/>
    <x v="78"/>
    <s v="Mejorar la ejecución presupuestal de los gastos de inversión (obligaciones sobre lo comprometido"/>
    <s v="Porcentaje de cumplimiento de los recursos de inversión._x000a_"/>
    <s v="(Recursos de inversión obligados / Recursos de inversión comprometidos)* 100%"/>
    <s v="Porcentual"/>
    <n v="0.5"/>
    <n v="31860537928"/>
    <n v="87198844691"/>
    <n v="0.36537798225311124"/>
    <s v="​A 31 de agosto la ejecución (obligaciones) de los recursos de inversión de la entidad fue del36,54%:_x000a_Total inversión año 2025:  $87.198.844.691_x000a_Total comprometido: $64.493.839.666_x000a_Obligaciones: $31.860.537.928_x000a_Evidencia: Reporte SIIF nación a 31 de agosto de 2025;_x000a_A 31 de agosto, del total de los recursos de inversión asignados para la presente vigencia, se han comprometido $64.493.839.666 equivalente al 73,96%, de los cuales se han generado obligaciones por un total de $31.860.537.928 lo que equivale al 49.4% de los recursos comprometidos y el 36,54% del total de los recursos asignados para la vigencia. De las 18 dependencias ejecutoras de los proyectos de inversión,  solo una (1) dependencia logro o supero la meta planteada del 50% de ejecución sobre las obligaciones, caso concreto del a Superintendencia Delegada para la Protección al Usuario quien registró un nivel de obligaciones del 55%;  sin embargo, el nivel de obligaciones se situó por encima en  4 puntos porcentuales comparado con el mismo periodo de la vigencia 2024.  Frente al porcentaje de compromisos, al mismo corte, se situó por encima en 15 puntos porcentuales.  De tal manera que el cumplimiento de las obligaciones,  acorde con las formas de pago definidas en los contratos suscritos, se llevaran a cabo, en su mayoría en el segundo semestre de la presente vigencia._x000a_"/>
    <b v="1"/>
    <s v="https://supersalud.sharepoint.com/sites/SIG/Lists/Formalizacion%20documental/AllItems.aspx"/>
    <s v="2025"/>
    <s v="Elemento"/>
    <s v="sites/PlanAnualdeGestin/Lists/REPORTE SEGUIMIENTO PAG"/>
  </r>
  <r>
    <s v="Secretaria General"/>
    <x v="7"/>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203"/>
    <n v="203"/>
    <n v="1"/>
    <s v="​Durante el mes de Agosto, se gestionaron  203 cuentas que fueron radicadas en los tiempos estipulados de acuerdo con la Circular Interna 2022920020000026-4 de 2022,asi mismo, los documentos radicados despues del dia 25 calendario se tramitaron en el siguiente mes. Por lo cual, se cumplió con la meta del indicador del 100%, (203/203) habiendo gestionado la totalidad de las cuentas radicadas con un tiempo de gestión de 1,2 dias hábiles. Se adjunta base con relación de cuentas radicadas y gestionadas, asi como el reporte del indicador con la correspondiente gráfica._x000a_"/>
    <b v="0"/>
    <m/>
    <s v="2025"/>
    <s v="Elemento"/>
    <s v="sites/PlanAnualdeGestin/Lists/REPORTE SEGUIMIENTO PAG"/>
  </r>
  <r>
    <s v="Secretaria General"/>
    <x v="7"/>
    <x v="81"/>
    <s v="Gestionar dentro del término legal establecido las excepciones al mandamiento de pago y las solicitudes de facilidades de pago que cumplan con los requisitos para su otorgamiento."/>
    <s v="Porcentaje de solicitudes de excepciones al mandamiento de pagos y facilidades de pago."/>
    <s v="(número excepciones al mandamiento de pago y facilidades de pago resueltas oportunamente / número excepciones al mandamiento de pago y facilidades de pago solicitadas con cumplimiento de requisitos) *100."/>
    <s v="Porcentual"/>
    <n v="1"/>
    <n v="25"/>
    <n v="25"/>
    <n v="1"/>
    <s v="Desde el grupo de cobro persuasivo y jurisdiccion coactiva, durante el segundo cuatrimestre del año 2025, se recibieron 10 facilidades de pago y 15 excepciones a mandamiento de pago, todas estas solicitudes cumplían con las condiciones necesarias para iniciar el trámite correspondiente, por lo cual,  el total de las 25 solicitudes fueron atendidas dentro del plazo legal, alcanzando así un cumplimiento del 100% del indicador. Se adjunta anexo soporte._x000a__x000a_"/>
    <b v="0"/>
    <m/>
    <s v="2025"/>
    <s v="Elemento"/>
    <s v="sites/PlanAnualdeGestin/Lists/REPORTE SEGUIMIENTO PAG"/>
  </r>
  <r>
    <s v="Secretaria General"/>
    <x v="7"/>
    <x v="82"/>
    <s v="Medir la razonabilidad de la cartera sin proceso concursal de la SNS"/>
    <s v="Porcentaje de conciliación de cartera y diferencias reciprocas de SNS con Entidades sin proceso concursal"/>
    <s v="Total de Entidades conciliadas / total Entidades priorizadas de la cartera y diferencias reciprocas reportadas al cierre del año inmediatamente anterior."/>
    <s v="Porcentual"/>
    <n v="1"/>
    <n v="15"/>
    <n v="15"/>
    <n v="1"/>
    <s v="​Durante el segundo cuatrimestre de la vigencia 2025, se logró la conciliación de cartera con 15 entidades sin proceso concursal, enlistadas a continuación: E.S.E. Centro de Salud Samuel Villanueva Valest - El Banco; Riosucio – Chocó; La Unión – Antioquia; E.S.E. Centro de Salud Con Camas – Córdoba; Nunchía; Villanueva – Santander; E.S.E. Hospital de Hatillo de Loba – Bolívar; E.S.E. Centro 1 - Piendamó; Pinchote; E.S.E. Hospital Felipe Arbeláez – Alejandría; E.S.E. Centro de Salud Señor del Mar; E.S.E. Hospital Local de Malambo; E.S.E. Hospital San Pedro del Piñón; SAN PABLO ANGEL S.A.S; DENTALIST S.A.S. Logrando cumplir la meta del indicador del 100%. Se anexan soportes."/>
    <b v="0"/>
    <m/>
    <s v="2025"/>
    <s v="Elemento"/>
    <s v="sites/PlanAnualdeGestin/Lists/REPORTE SEGUIMIENTO PAG"/>
  </r>
  <r>
    <s v="Secretaria General"/>
    <x v="7"/>
    <x v="80"/>
    <s v="Fortalecer el conocimiento de los servidores públicos de la SNS en materia disciplinaria, respecto de la nueva normatividad y sus modificaciones, parámetros de trabajo unificados, con el fin de afianzar los valores institucionales y buenas prácticas, garantizando una adecuada prestación del servicio y por ende salvaguardando la función pública."/>
    <s v="Porcentaje de Capacitaciones, Autocapacitaciones y Charlas de Sensibilización y preservación del orden interno en materia disciplinaria"/>
    <s v="(Número de Capacitaciones, Autocapacitaciones y Charlas de Sensibilización y de preservación del orden interno, sobre acciones preventivas disciplinarias y normatividad vigente realizadas en el periodo/ Número de Capacitaciones, Autocapacitaciones y Charlas de Sensibilización y de preservación del orden interno, sobre acciones preventivas disciplinarias y normatividad vigente a realizar en el periodo)*100"/>
    <s v="Porcentual"/>
    <n v="0.65"/>
    <n v="9"/>
    <n v="9"/>
    <n v="1"/>
    <s v="Durante el segundo cuatrimestre (Mayo-Agosto) de 2025 la Oficina de Control Disciplinario realizo tres (3) capacitaciones o charlas en materia disciplinaria, con las siguientes temáticas y participantes: 1) 28 y 29 de mayo de 2025 (Derechos y Deberes Servidores Públicos; División Roles – Funciones OCDI) - Dirección Regional Andina – 20 participantes (Presencial); 2) 29/07/2005 (Charla informativa entrega puesto de trabajo – responsabilidades y consecuencias) – 335 participantes (Virtual)._x000a_Así mismo, la OCDI participo en seis (6) jornadas de inducción dirigida a los nuevos funcionarios vinculados, por concurso de méritos a la Superintendencia, cuya temática abarca (Generalidades del Proceso Disciplinario; División de Roles (Instrucción y Juzgamiento); Etapas del proceso; Derechos; Deberes; Prohibiciones; Modalidades de conducta y formas de culpabilidad; etc.) – Realizadas: Presencial: 11,16 y 24 de Julio y 11 de agosto de 2025 (277 participantes); Virtual:  30 de julio y 20 de agosto de 2025 (243 participantes) - Total participantes = 855 funcionarios.                         MayoJulioAgosto_x000a_Total, participantes: 20 (Presencial)_x000a_1) Realizada: 28 y 29 de mayo de 2025 – Dirección Regional Andina (Derechos y Deberes Servidores Públicos; División Roles – Funciones OCDI)_x000a_Total, participantes:533_x000a_Jornadas de Inducción Realizadas:_x000a_1) 11/07/2025 (Presencial) 66_x000a_2) 16/07/2025: (Presencial) 74_x000a_3) 24/07/2025: (Presencial) 57_x000a_4) 30/07/2025 (Virtual) 41_x000a_5) Charla Informativa Entrega Puesto de Trabajo - (Virtual) Realizada el 29/07/2025: 335_x000a_Total, participantes: 282_x000a_Jornadas de Inducción:_x000a_1) 11/08/2025: (Presencial) 80_x000a_2) 20/08/2025: (Virtual) 202_x000a_Adicionalmente, la oficina ha tenido publicación de una nota en la edición No. 141 del Superboletín - julio de 2025_x000a_"/>
    <b v="1"/>
    <s v="https://supersalud.sharepoint.com/:f:/r/sites/luisalberto/Documentos%20compartidos/Gesti%C3%B3n_OCDI_2025/Indicadores_PAG_2025/AC04_Funci%C3%B3n_Preventiva/II_Cuatrimestre_2025?csf=1&amp;web=1&amp;e=geiI2F"/>
    <s v="2025"/>
    <s v="Elemento"/>
    <s v="sites/PlanAnualdeGestin/Lists/REPORTE SEGUIMIENTO PAG"/>
  </r>
  <r>
    <s v="Secretaria General"/>
    <x v="7"/>
    <x v="6"/>
    <s v="Evaluar y/o calificar los asuntos (NRCD) sobre los cuales se adopte decisión de Inhibitorio, Remisión por Competencia, Indagación Previa y/o Investigación Disciplinaria en etapa de instrucción en el orden en que hayan ingresado a la Oficina de Control Disciplinario Interno, salvo prelación legal o urgencia manifiesta."/>
    <s v="Porcentaje de asuntos (NRCD) sobre los cuales se adopte decisión en la Oficina de Control Disciplinario Interno en etapa de instrucción"/>
    <s v="(Número de asuntos (NRCD) con decisión adoptada en el período/Número total de asuntos (NRCD) recibidos) * 100"/>
    <s v="Porcentual"/>
    <n v="0.6"/>
    <n v="63"/>
    <n v="63"/>
    <n v="1"/>
    <s v="De las (63) noticias disciplinarias (Quejas, informe de servidor público o de oficio) recibidas en el cuarto bimestre de 2025 (Julio - Agosto), se adelantaron las siguientes actuaciones: 32 (50,7%) Aperturas de Indagación Previa; 16 (25,4%) Autos Inhibitorios; 14 (22,2%) Aperturas de Investigación Disciplinaria y 1 (1,5%) Traslados por competencia, profiriendo igual número de autos por el Coordinador del Grupo de Instrucción Disciplinaria en el periodo:Tipo Noticia/ AutoInforme de Servidor PúblicoQuejaTotal, Noticias IV Bimestre 2025Auto de Indagación Previa211132Auto Inhibitorio 1616Auto Apertura de Investigación14 14Auto Traslado por Competencia1 1IV Bimestre 2025, Total362763_x000a__x000a_"/>
    <b v="1"/>
    <s v="https://supersalud.sharepoint.com/:f:/r/sites/luisalberto/Documentos%20compartidos/Gesti%C3%B3n_OCDI_2025/Indicadores_PAG_2025/AC05_Noticias_Disciplinarias/IV%20Bimestre_2025?csf=1&amp;web=1&amp;e=rYwmGi"/>
    <s v="2025"/>
    <s v="Elemento"/>
    <s v="sites/PlanAnualdeGestin/Lists/REPORTE SEGUIMIENTO PAG"/>
  </r>
  <r>
    <s v="Delegatura de Investigaciones Administrativas"/>
    <x v="8"/>
    <x v="9"/>
    <s v="Gestionar con decisión de fondo (sanción, cierre y archivo y caducidad) las investigaciones administrativas con riesgo de caducidad 2025"/>
    <s v="Porcentaje de  decisión de fondo de  las investigaciones administrativas con riesgo de caducidad 2025 y primer trimestre de 2026"/>
    <s v="(Número de investigaciones administrativas con riesgo de caducidad 2025, que hayan sido objeto de decisión dentro del trimestre de reporte / Número de investigaciones con caducidad 2025 y primer trimestre de 2026)*100"/>
    <s v="Porcentual"/>
    <n v="0.25"/>
    <n v="97"/>
    <n v="441"/>
    <n v="0.21995464852607699"/>
    <s v="​Para 2025 se identificaron 441 procesos administrativos con riesgo de caducidad 2025 , en el primer trimestre se reportaron como expedidas 166 decisiones equivalentes al 37.6%_x000a_Para el segundo trimestre de 2025 se profirieron 136 decisiones con riesgo 2025 equivalente al 30,83%_x000a_para el tercer trimestre se profirieron 97 decisiones con riesgos 2025 equivalente al 22% _x000a_Por lo anterior se entiende que para el 30 de septiembre de 2025 se ha realizado un avance del  90% , dando cumplimiento al indicador . _x000a__x000a__x000a_"/>
    <b v="0"/>
    <m/>
    <s v="2025"/>
    <s v="Elemento"/>
    <s v="sites/PlanAnualdeGestin/Lists/REPORTE SEGUIMIENTO PAG"/>
  </r>
  <r>
    <s v="Delegatura de Investigaciones Administrativas"/>
    <x v="8"/>
    <x v="7"/>
    <s v="Implementar la política sancionatoria reformulada y la metodología desarrollada para la priorización de casos de relevancia nacional"/>
    <s v="Porcentaje de procesos con aplicación de la politica sancionatoria reformulada a metodologia desarrollada para la priorizacion de casos de relevancia nacional, sobre el total de expedientes"/>
    <s v="(Numero de procesos iniciados con aplicación de la política sancionatoria y priorización de casos / Total de expedientes tramitados en el semestre)*100"/>
    <s v="Porcentual"/>
    <n v="1"/>
    <n v="116"/>
    <n v="2"/>
    <n v="0.5"/>
    <s v="​INDICADOR A DEMANADA _x000a_Durante el TRIMESTRE se expidieron con apertura/improcedencia /investigación preliminar 116 procesos de  DE LOS CUALES 2 fueron por  criterio de priorización de orden judicial _x000a_"/>
    <b v="0"/>
    <m/>
    <s v="2025"/>
    <s v="Elemento"/>
    <s v="sites/PlanAnualdeGestin/Lists/REPORTE SEGUIMIENTO PAG"/>
  </r>
  <r>
    <s v="Delegatura de Investigaciones Administrativas"/>
    <x v="8"/>
    <x v="10"/>
    <s v="Gestionar las solicitudes de investigación, procesos en trámite, decisiones, recursos y demás actos relacionados con los procesos administrativos sancionatorios con riesgo de caducidad, relacionados con las vigencias 2025-2029."/>
    <s v="Ejecución presupuestal de recursos solicitados y asignados para el presupuesto para el Mejoramiento en la ejecución de las acciones de supervisión y control frente a la gestión en el SGSSS de los vigilados de la Supersalud Nacional"/>
    <s v="Obligaciones totales/ Apropiación total asignada"/>
    <s v="Porcentual"/>
    <n v="0.25"/>
    <n v="711860467"/>
    <n v="731506000"/>
    <n v="0.973143715841018"/>
    <s v="Total por rubro de INVERSIÓN $ 731.506.000_x000a_Total, ejecución acumulada:   = $711.860.467 A CORTE 30 DE SEPTIEMBRE _x000a_Saldo pendiente por ejecutar: _x000a_Saldo restante: $731.506.000 – $711.860.467 = $19.645.533_x000a_ Resultado del avance 97 % _x000a_se avanzo en mas del 97%  dando cumplimiento al presupuesto presentado a la Delegatura , se adjunta panatallazo de ejecución por areas entregado por en equipo de seguimiento presupuestal de la entidad _x000a__x000a_"/>
    <b v="0"/>
    <m/>
    <s v="2025"/>
    <s v="Elemento"/>
    <s v="sites/PlanAnualdeGestin/Lists/REPORTE SEGUIMIENTO PAG"/>
  </r>
  <r>
    <s v="Delegatura Entidades Aseguramiento en Salud"/>
    <x v="8"/>
    <x v="15"/>
    <s v="Resolver o gestionar las solicitudes de los vigilados en los tiempos establecidos en el proceso"/>
    <s v="Emitir los estudios de viabilidad o recomendación al Superintendente en 140 días o menos, a partir de la completitud de la información radicada por la entidad solicitante"/>
    <s v="(Cantidad de trámites con estudio de viabilidad o recomendación gestionados en 140 días o menos / Total de trámites gestionados en el periodo)*100"/>
    <s v="Porcentual"/>
    <n v="0.85"/>
    <n v="19"/>
    <n v="21"/>
    <n v="0.90476190476190499"/>
    <s v="​Durante el tercer trimestre de 2025, se finalizaron 21 trámites de los cuales 19 fueron gestionados con estudio de viabilidad o recomendación en 140 días o menos, con un porcentaje de 90,5 % de trámites finalizados en 140 días o menos, superando la meta programada del 85%._x000a_"/>
    <b v="0"/>
    <m/>
    <s v="2025"/>
    <s v="Elemento"/>
    <s v="sites/PlanAnualdeGestin/Lists/REPORTE SEGUIMIENTO PAG"/>
  </r>
  <r>
    <s v="Delegatura Entidades Aseguramiento en Salud"/>
    <x v="8"/>
    <x v="11"/>
    <s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
    <s v="Auditorias realizadas a las entidades de aseguramiento en salud y otras entidades de aseguramiento"/>
    <s v="Número de auditorías ejecutadas / Número total de auditorías proyectadas en el periodo de acuerdo con el Programa Anual de Auditorías de la Delegada."/>
    <s v="Porcentual"/>
    <n v="0.85"/>
    <n v="9"/>
    <n v="9"/>
    <n v="1"/>
    <s v="Durante el tercer trimestre de 2025 se realizaron 9 auditorías de 9 programadas, para un cumplimiento del 100%, superando la meta programada del 85 %._x000a__x000a_"/>
    <b v="0"/>
    <m/>
    <s v="2025"/>
    <s v="Elemento"/>
    <s v="sites/PlanAnualdeGestin/Lists/REPORTE SEGUIMIENTO PAG"/>
  </r>
  <r>
    <s v="Delegatura Entidades Aseguramiento en Salud"/>
    <x v="8"/>
    <x v="13"/>
    <s v="Realizar el seguimiento a las Entidades sujetas a vigilancia de la Delegada de Entidades de Aseguramiento en Salud - EAS y auxiliares de justicia"/>
    <s v="Seguimiento y monitoreo a entidades en medida de vigilancia."/>
    <s v="Numero de seguimientos en campo a las entidades en medida especial"/>
    <s v="Numérica"/>
    <n v="4"/>
    <n v="3"/>
    <n v="4"/>
    <n v="0.75"/>
    <s v="​Para el tercer trimestre de 2025 se tenían programados 4 seguimientos en campo a las EPS Capresoca, Sanitas, Nueva EPS y Coosalud, sin embargo solo se realizaron 3, teniendo en cuenta que la Corte Constitucional por medio de la SENTENCIA SU-277 del 26 de junio de 2025, bajo el expediente con radicado T-10.477.327, Magistrado ponente: Juan Carlos Cortés González, la Sala Plena de la Corte Constitucional resolvió DEJAR SIN EFECTOS la Resolución No. 2024160000003002-6 del 2 de abril de 2024 que ordenó la toma de posesión inmediata de los bienes, haberes y negocios de la Entidad Promotora de Salud Sanitas S.A.S. por el término de un año, así como la intervención forzosa para ejercer la administración de dicha EPS; la Resolución 2024100000003060-6 del 10 de abril de 2024 que la corrigió; así como la Resolución 2025320030001947-6 del 1 de abril de 2025, mediante la cual se prorrogó dicha medida de intervención por un año, dictadas por la Superintendencia Nacional de Salud, de acuerdo con lo expuesto en la parte considerativa de esta sentencia, situación que conllevo a la no realización del seguimiento. Asi mismo se informa que dadas las condiciones administrativas y financieras de la Nueva EPS, la SNS instaló la instancia de seguimiento permanente en la Nueva EPS, ordenada mediante  Resolución 2025320030006237-6 del 31 de julio de 2025, modificada por la Resolución 2025320030006459-6 del 6 de agosto de 2025, la cual tiene por objetivo reallizar un monitoreo al cumplimiento de las órdenes impartidas en la resolución de la medida de cesación, que involucrará la verificación de los procesos que hoy aplica la EPS en la asignación de recursos del Sistema General de Seguridad Social en Salud y la garantía de la atención a la población afiliada, motivo por el cual no se aporta el auto del seguimiento, sino las resoluciones mencionadas."/>
    <b v="0"/>
    <m/>
    <s v="2025"/>
    <s v="Elemento"/>
    <s v="sites/PlanAnualdeGestin/Lists/REPORTE SEGUIMIENTO PAG"/>
  </r>
  <r>
    <s v="Delegatura Entidades Aseguramiento en Salud"/>
    <x v="8"/>
    <x v="12"/>
    <s v="Realizar seguimiento a las EPS a las entidades bajo medida y a la gestión de los agentes interventores y contralores designados por la Superintendencia Nacional de Salud."/>
    <s v="Porcentaje de avance en la actualización de la información de las fichas productos de los seguimientos"/>
    <s v="Fichas técnicas con información actualizadas / Número de entidades en medida*100"/>
    <s v="Porcentual"/>
    <n v="0.85"/>
    <n v="15"/>
    <n v="22"/>
    <n v="0.68181818181818199"/>
    <s v="​Durante el tercer trimestre de 2025 se efectuó la actualización de 15 de las 22 medidas programadas para el periodo. Es preciso señalar que durante el periodo 11 entidades se encuentran bajo medida especial. Sin embargo, el alto volumen de requerimientos recibidos durante el trimestre, derivados de la orden impartida por la Corte Constitucional en relación con la EPS Sanitas, así como las condiciones administrativas y financieras de la Nueva EPS, generaron múltiples solicitudes de control político por parte del Congreso de la República y requerimientos adicionales de los entes de control. Esta situación superó la capacidad operativa de la Dirección de Medidas Especiales, situación que se vio agravada por la rotación de personal como resultado del concurso de méritos_x000a_"/>
    <b v="0"/>
    <m/>
    <s v="2025"/>
    <s v="Elemento"/>
    <s v="sites/PlanAnualdeGestin/Lists/REPORTE SEGUIMIENTO PAG"/>
  </r>
  <r>
    <s v="Delegatura Entidades Aseguramiento en Salud"/>
    <x v="8"/>
    <x v="14"/>
    <s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
    <s v="Porcentaje de EPS y otras EAS con acciones de Inspección y vigilancia por parte de la Delegada de EAS"/>
    <s v="(mediana de los porcentajes de cobertura (# de vigilados a los que se efectúo la acción de IV / # de vigilados objeto o susceptibles de la acción))"/>
    <s v="Porcentual"/>
    <n v="0.8"/>
    <n v="0.82"/>
    <n v="1"/>
    <n v="1.0249999999999999"/>
    <s v="​Una vez realizada la consolidación de las actividades de IV desarrolladas por los grupos internos de trabajo se indica que se cumplio con el indicador para el tercer trimestre correspondiente al 82 %._x000a_Se aclara que cada grupo tienen diferentes tipos de vigilados por lo que el total de vigilados no son objeto de acciones de IV por todos los grupos internos de trabajo._x000a__x000a__x000a_"/>
    <b v="1"/>
    <s v="https://supersalud-my.sharepoint.com/:f:/g/personal/sulma_cabanilla_supersalud_gov_co/ErnECNtIWCROhOI9q8oZ244B-wFa8jbhJTu4lCLw2XV4lQ?e=vYH2HA"/>
    <s v="2025"/>
    <s v="Elemento"/>
    <s v="sites/PlanAnualdeGestin/Lists/REPORTE SEGUIMIENTO PAG"/>
  </r>
  <r>
    <s v="Delegatura Función Jurisdiccional y de Conciliación"/>
    <x v="8"/>
    <x v="16"/>
    <s v="Realizar las audiencias de conciliación admitidas de la red pública y privada como actores del SGSS propendiendo por el animo conciliatorio"/>
    <s v="Porcentaje de Audiencias de Conciliación de la función de conciliación"/>
    <s v="Número de audiencias de conciliación realizadas en el período / Total de solicitudes de conciliación a petición de parte admitidas"/>
    <s v="Porcentual"/>
    <n v="1"/>
    <n v="166"/>
    <n v="166"/>
    <n v="1"/>
    <s v="​En el tercer trimestre del 2025, la Dirección de conciliación programó y surtió un total de audiencias de conciliación extrajudiciales en Derecho 2.464, de las cuales 670 se atendieron en Sede Bogotá de manera virtual, como resultado del reparto ordinario, aplazamientos, reprogramaciones y/o suspensiones y 1.794 en el desarrollo de 4 jornadas de conciliación adelantadas en territorio_x000a_"/>
    <b v="0"/>
    <m/>
    <s v="2025"/>
    <s v="Elemento"/>
    <s v="sites/PlanAnualdeGestin/Lists/REPORTE SEGUIMIENTO PAG"/>
  </r>
  <r>
    <s v="Delegatura Función Jurisdiccional y de Conciliación"/>
    <x v="8"/>
    <x v="17"/>
    <s v="Realizar seguimiento al cumplimiento de los acuerdos de conciliación suscritos ante la Delegada que sean exigibles, y reportar su incumplimiento a la Delegada competente."/>
    <s v="Porcentaje de acuerdos de conciliación con seguimiento que sean exigibles"/>
    <s v="Número de acuerdos conciliatorios con seguimientos realizados / Número de acuerdos conciliatorios suscritos que sean exigibles"/>
    <s v="Porcentual"/>
    <n v="1"/>
    <n v="166"/>
    <n v="166"/>
    <n v="1"/>
    <s v="​En la Dirección de Conciliación, para el tercer trimestre de 2025 se presentaron los siguientes resultados frente a las actividades descritas a continuación:_x000a_Realizar acciones para la recuperación de recursos del sistema de seguridad social a través del mecanismo de la Conciliación como método alternativo de solución de conflictos._x000a_CUMPLIMIENTO DEL INDICADOR: Se determina mediante el porcentaje de (Valor confirmado de pago de los acuerdos conciliatorios exigibles contestados en el periodo de reporte / Valor total conciliado de los acuerdos conciliatorios exigibles contestados en el periodo de reporte)._x000a_Realizar acciones para la recuperación de recursos del sistema de seguridad social a través del mecanismo de la Conciliación como método alternativo de solución de conflictos._x000a_Se determina mediante el número total de acuerdos conciliatorios realizados en el periodo de reporte._x000a_= 166 Acuerdos Conciliatorios por un valor de $47.223.856.344."/>
    <b v="0"/>
    <m/>
    <s v="2025"/>
    <s v="Elemento"/>
    <s v="sites/PlanAnualdeGestin/Lists/REPORTE SEGUIMIENTO PAG"/>
  </r>
  <r>
    <s v="Delegatura Función Jurisdiccional y de Conciliación"/>
    <x v="8"/>
    <x v="18"/>
    <s v="Conocer y gestionar los procesos jurisdiccionales de asuntos relacionados con Glosas y Devoluciones"/>
    <s v="Providencias Jurisdiccionales de Glosas y Devoluciones gestionados"/>
    <s v="Número de autos y sentencias Jurisdiccionales de Glosas y Recobros gestionados en el periodo de reporte"/>
    <s v="Numérica"/>
    <n v="45"/>
    <n v="54"/>
    <n v="54"/>
    <n v="1"/>
    <s v="​Se realizó PLAN DE CHOQUE en aras de optimizar el recuerso humano del area para dar cumplimiento a la alta demanda de denuncias relacionadas con Glosas en salud , de los diferentes actores del SGSSS.y esto hizo que se superara satisfactoriamente la meta establecida ya que estas circustancias son de causa subita e imprevista. _x000a_"/>
    <b v="0"/>
    <m/>
    <s v="2025"/>
    <s v="Elemento"/>
    <s v="sites/PlanAnualdeGestin/Lists/REPORTE SEGUIMIENTO PAG"/>
  </r>
  <r>
    <s v="Delegatura Función Jurisdiccional y de Conciliación"/>
    <x v="8"/>
    <x v="19"/>
    <s v="Conocer y gestionar los procesos jurisdiccionales de asuntos relacionados con Reconocimiento Económico"/>
    <s v="Procesos Jurisdiccionales de reconocimiento economico gestionados"/>
    <s v="Número de procesos Jurisdiccionales de Reconocimiento Económico gestionados."/>
    <s v="Numérica"/>
    <n v="140"/>
    <n v="140"/>
    <n v="140"/>
    <n v="1"/>
    <s v="​Se cumplió la meta establecida a pesar de la llegada de funcionarios nuevos de la CNSC a la Delegada, estos fueron muy receptivos y se les realizo la INDUCCION - CAPACITACION de la DFJC en temas especificos de sus actividades o  funciones y con ellos se hizo TUTORIA permanente por parte de los Directores, compañeros y el Delegado y asi cumplir con la meta a pesar del alto volumen de demandas por reconocimiento economico en salud._x000a_"/>
    <b v="0"/>
    <m/>
    <s v="2025"/>
    <s v="Elemento"/>
    <s v="sites/PlanAnualdeGestin/Lists/REPORTE SEGUIMIENTO PAG"/>
  </r>
  <r>
    <s v="Delegatura para Entidades Territoriales y Generadores y Recaudadores y Administradores de Recursos del SGSSS"/>
    <x v="8"/>
    <x v="22"/>
    <s v="Ampliar el campo de acción de las Direcciones Regionales respecto de los actores del sistema, a través de la definición de acuerdos con las demás Delegadas para la desconcentración de acciones de inspección y vigilancia"/>
    <s v="Porcentaje del total de Actores del sistema con acciones de inspección y vigilancia por parte de la Dirección Regional"/>
    <s v="(Número de categoría de Actores del sistema con acciones de inspección y vigilancia por parte de la Direcciones regional / 09 categorías de actores del sistema sujeto de acciones de inspección y vigilancia de la SNS)*100"/>
    <s v="Porcentual"/>
    <n v="0.6"/>
    <n v="5.75"/>
    <n v="9"/>
    <n v="0.63888888888888895"/>
    <s v="Para el periodo de seguimiento se realizaron actividades con el actor Aseguradores, en 6 de las 8  regionales, lo que equivale a un acumulado de 5.75 actores de los 9 programados para el cuatrienio, faltando 0.25 para alcanzar la meta de la vigencia de 2025, el detalle de las actividades se rrelaciona acontinuación:_x000a_ - DR Andina:se realizaron Mesas de PQRD con 2 nuevos aseguradores en el mes de Agosto:  Policia, Astmetsalud_x000a_- DR Orinoquía:Seguimiento del 1 al 10 de la Mesa PQRD con Capital Salud EPS Meta, Seguimiento del 1 al 9 de la Mesa PQRD con Famisanar EPS Meta, Seguimiento del 1 al 9 de la Mesa PQRD con Nueva EPS Meta, Seguimiento del 1 al 8 de la Mesa PQRD con Sanitas EPS Meta_x000a_- DR Occidental: Se realizaron tres (3) mesas de Inspección y Vigilancia para seguimeinto de PQRD a las EPS Nueva EPS, Emssanar y Servicio Occidental de Salud. Adicionalmente en la Sede Agualongo Se realizó una lista de verificación LVR a la EPS Asmet Salud y mesa PQRD Emssanar. _x000a_- DR Sur: Se desarrollaron un total de 3 acciones que consistieron en la realización de mesa de trabajo seguimiento PQRD Huila y Tolima con Famisanar y 2 requerimientos a Famisanar EPS y Asmet Salud EPS para resolución de PQRD_x000a_- DR Nororiental: 4 Mesa aseguradores (1seguimiento a estratégia contención de quejas con EPS Santander) y ( 3 Mesas Seguimiento TBC Bucaramanga) _x000a_- DR Caribe: Se realizó mesa tecnica de flujo de recursos con las 15 EPS que operan en los departamentos de Magdalena, Cesar y Guajira._x000a_- Sede Insular: Se ejecutó IVR a Nueva EPS el 17 de julio de 2025._x000a_- DR Chocó: N/A Por dificultades logísticas impidieron la consolidación del informe el reporte ingresará en el cuarto trimestre del año._x000a_- DR Norte: N/A, se tiene programado para el cuarto trimestre del año"/>
    <b v="1"/>
    <s v="https://supersalud.sharepoint.com/:f:/s/DelegadaparaETyGRARdelSGSSS/EsrA_MEkCJVBtqPRCbkJZrEBMjgxHuQLfxUsYJDhNNkvfg?e=JD9Ys8"/>
    <s v="2025"/>
    <s v="Elemento"/>
    <s v="sites/PlanAnualdeGestin/Lists/REPORTE SEGUIMIENTO PAG"/>
  </r>
  <r>
    <s v="Delegatura para Entidades Territoriales y Generadores y Recaudadores y Administradores de Recursos del SGSSS"/>
    <x v="8"/>
    <x v="25"/>
    <s v="Implementar acciones de inspección y vigilancia en nuevos territorios que han carecido de ellas de manera adecuada."/>
    <s v="Porcentaje de Nuevos territorios (Departamentos, Municipios o Distritos) impactados con acciones de IV por parte de las Direcciones Regionales sobre el total de Nuevos Territorios programados."/>
    <s v="(Número de nuevos territorios impactados con Acciones de IV / Número de Nuevos territorios programados por la Direcciones Regionales para intervenir)*100"/>
    <s v="Porcentual"/>
    <n v="1"/>
    <n v="50"/>
    <n v="50"/>
    <n v="1"/>
    <s v="Para el periodo de seguimiento se programaron impactar 50 nuevos territorios y se logró llegar a 50, lo cual evidencia un cumplimiento del 100% de los territorios programados para el periodo, así:              DR Andina: Acción Inspectiva con prestadores en Ituango, y Mesa convocada por terceros en Santuario Risaralda._x000a_DR Orinoquía:En total fueron impactados 3 nuevos territorios. 1. Mesa IV en cumaribo -  VIchada el 13 y 14 de agosto de 2025. 2. Mesa IV en San Carlos de Guaroa - Meta el 28 de julio de 2025. 3. Mesa IV en San Martin de los Llanos - Meta el 30 de Julio de 2025._x000a_DR Occidental: Se realizaron un total de ocho (8) acciones de inspección y vigilancia en nuevos territorios, tres (3) en el departamento del Cauca, en los municipios de Puerto Tejada (vigías en el territorio referencia y contrarreferencia y a gestor farmacéutico); Villa Rica  (vigías en el territorio referencia y contrarreferencia y a gestor farmacéutico); Caloto (mesa de IV tosferina) y en el Valle del Cauca cinco (5) acciones, Tuluá (vigías en el territorio referencia y contrarreferencia); Palmira (vigías en el territorio referencia y contrarreferencia y a gestor farmacéutico); Candelaria (vigías en el territorio referencia y contrarreferencia y a gestor farmacéutico); Yumbo (vigías en el territorio referencia y contrarreferencia y a gestor farmacéutico) y Guadalajara de Buga vigías en el territorio (referencia y contrarreferencia y a gestor farmacéutico). _x000a_DR Sur: En total fueron 4 territorios nuevos atendidos con: Mesa IV - San Vicente del Caguán - Caquetá, Mesa de Gobernanza - San Miguel y Orito - Putumayo, Apoyo a DPU en jornada de atención al usuario - Ataco - Tolima. _x000a_DR Norte: N/A_x000a_DR Nororiental: 4 nuevos territorios  (2 Mesa IV de Gámeza e Iza), (1 Mesa Consejo Municipal Moniquirá), (2 Vigías de la Salud en Málaga y Socorro), (1 LVR en San Vicente de Chucurí)_x000a_DR Chocó: 9 acciones entre las cuales mesas IV, REFERENCIA Y CONTRAREFERENCIA_x000a_DR Caribe: 1 Mesa IV - Bosconia - Cesar,  5 Mesas de Gobernanza:  Cesar:  2:   Becerril, Talamemeque, Magdalena:  3 Salamina, Puebloviejo, La Guajira: 1:  Fonseca. 1 AIT - Santa Ana Magdalena. Proceso de referencia y contrareferencia.  5, LVR Gestores Farmaceuticos: 4_x000a_Sede Agualongo: En la sede Agualongo se realizaron cuatro (4) mesas de Inspección y Vigilancia en los municipios de Magui Payan, Barbacoas, Sandoná y Tuquerres._x000a__x000a_"/>
    <b v="1"/>
    <s v="https://supersalud.sharepoint.com/:f:/s/DelegadaparaETyGRARdelSGSSS/EsrA_MEkCJVBtqPRCbkJZrEBMjgxHuQLfxUsYJDhNNkvfg?e=JD9Ys8"/>
    <s v="2025"/>
    <s v="Elemento"/>
    <s v="sites/PlanAnualdeGestin/Lists/REPORTE SEGUIMIENTO PAG"/>
  </r>
  <r>
    <s v="Delegatura para Entidades Territoriales y Generadores y Recaudadores y Administradores de Recursos del SGSSS"/>
    <x v="8"/>
    <x v="23"/>
    <s v="Supervisar las alertas interpuestas a los Generadores, Recaudadores y Administradores de Recursos del SGSSSS mediante acciones de IV"/>
    <s v="Porcentaje de alertas generadas en desarrollo de las acciones de IV a generadores, recaudadores y administradores de recursos del SGSSS con acciones de gestión sobre el total de alertas"/>
    <s v="(Número de alertas generadas en el informe del trimestre anterior con acciones de gestión / Total de alertas encontradas en el informe del trimestre anterior)*100"/>
    <s v="Porcentual"/>
    <n v="1"/>
    <n v="2"/>
    <n v="2"/>
    <n v="1"/>
    <s v="Para el tercer trimestre de 2025, la DIVGRA presentó dos nuevas alertas que derivaron en la realización de auditorías específicas a las siguientes entidades: 1. Lotería de Medellín y 2. Concesionario de apuestas permanentes Red de Servicios del Cesar._x000a_Adicionalmente, se realizó seguimiento a los siguientes planes de mejoramiento:_x000a_-Gobernación del Chocó, tercer avance._x000a_-Empresa Industrial y Comercial del Estado Administradora del Monopolio Rentístico de los Juegos de Suerte y Azar – COLJUEGOS, segundo avance._x000a_-Unidad de Licores del Meta, primer avance._x000a_-Gobernación del Meta, primer avance._x000a_-ADRES,Tercer avance y cierre del plan de mejoramiento, en el marco de las acciones desarrolladas por las alertas presentadas._x000a_Se adjuntan las comunicaciones que evidencian lo mencionado, así como las actas correspondientes a las auditorías realizadas en atención a las dos alertas._x000a_DRN: Se realiza oficio de evaluación evidencias del plan de mejoramiento de Auditoria en Morales (Bolívar)_x000a__x000a_"/>
    <b v="1"/>
    <s v="https://supersalud.sharepoint.com/:f:/s/DelegadaparaETyGRARdelSGSSS/EvmNn6T_KWRAvI00MTp80CMBgxN6tNPdGGG-1srx6UmPlg?e=g04KEl"/>
    <s v="2025"/>
    <s v="Elemento"/>
    <s v="sites/PlanAnualdeGestin/Lists/REPORTE SEGUIMIENTO PAG"/>
  </r>
  <r>
    <s v="Delegatura para Entidades Territoriales y Generadores y Recaudadores y Administradores de Recursos del SGSSS"/>
    <x v="8"/>
    <x v="21"/>
    <s v="Implementar la red de Controladores en los territorios del país."/>
    <s v="Redes de Controladores departamentales activadas"/>
    <s v="Número de departamentos con red de Controladores activadas"/>
    <s v="Numérica"/>
    <n v="3"/>
    <n v="5"/>
    <n v="3"/>
    <n v="1.6666666666666701"/>
    <s v="Durante el tercer trimestre del año, se realizaron cinco activaciones de la Red de Controladores en los departamentos de Magdalena, Atlántico, Vaupés, Valle del Cauca y San Andrés, sobrepasando la meta programada de 3 activaciones ya que se identificaron otros 2 departamentos que requerían la realización de la acción._x000a_Es importante señalar que, a la fecha de este reporte, para la Red de Controladores del departamento de Vaupés únicamente se cuenta con la lista de asistencia, ya que el acta se encuentra en proceso de revisión y aprobación por parte de los asistentes. Una vez sea aprobada, será cargada en la carpeta de evidencias correspondiente, _x000a__x000a_"/>
    <b v="1"/>
    <s v="https://supersalud.sharepoint.com/:f:/s/DelegadaparaETyGRARdelSGSSS/En4HWnxwmtJGtu6JqAWFzewBImzojep3z2V8efFW_kvI4w?e=zcUXOl"/>
    <s v="2025"/>
    <s v="Elemento"/>
    <s v="sites/PlanAnualdeGestin/Lists/REPORTE SEGUIMIENTO PAG"/>
  </r>
  <r>
    <s v="Delegatura para Entidades Territoriales y Generadores y Recaudadores y Administradores de Recursos del SGSSS"/>
    <x v="8"/>
    <x v="20"/>
    <s v="Realizar seguimiento y verificación de las auditorias realizadas"/>
    <s v="Seguimientos a las auditorías de Inspección y Vigilancia Realizadas"/>
    <s v="Numero de Seguimientos realizados"/>
    <s v="Numérica"/>
    <n v="5"/>
    <n v="5"/>
    <n v="5"/>
    <n v="1"/>
    <s v="Durante este trimestre se tenían programados 5 y se realizaron 5 seguimientos a auditorías en diferentes regiones del pais,con lo cual se presenta cumplimiento de la meta para el periodo de seguimiento, es importante tener en cuenta que en el mes pasado se superó la meta establecida. A continuación, se señalan los seguimientos realizados: _x000a_- Regional Sur: Tercer seguimiento Plan de Mejoramiento Puerto Asís realizado 23/9/2025 y segundo seguimiento al Plan de Mejoramiento de Pitalito realizado el 18/9/2025._x000a_- Regional Norte: Se realizó segundo seguimiento auditoría Morales_x000a_- Regional Occidental: Se realizaron dos seguimientos a auditoría, El Dovio (Valle del Cauca) tercer seguimiento y Timbiquí (Cauca) tercer seguimiento._x000a__x000a_ _x000a_"/>
    <b v="1"/>
    <s v="https://supersalud.sharepoint.com/:f:/s/DelegadaparaETyGRARdelSGSSS/EjK4KzNMwFZDtfHAXYnVVM8BzQe2TxP_jrhTX_7-hInAtg?e=FaYAHE"/>
    <s v="2025"/>
    <s v="Elemento"/>
    <s v="sites/PlanAnualdeGestin/Lists/REPORTE SEGUIMIENTO PAG"/>
  </r>
  <r>
    <s v="Delegatura para Entidades Territoriales y Generadores y Recaudadores y Administradores de Recursos del SGSSS"/>
    <x v="8"/>
    <x v="24"/>
    <s v="Efectuar seguimiento y evaluación a la gestión de las Direcciones Regionales de conformidad con las directrices y lineamientos formulados por la Superintendencia Delegada."/>
    <s v="Seguimiento a las actividades de las Direcciones regionales."/>
    <s v="Número de seguimientos realizados"/>
    <s v="Numérica"/>
    <n v="8"/>
    <n v="5"/>
    <n v="8"/>
    <n v="0.625"/>
    <s v="​Durante el periodo de reporte se efectuaron 5 seguimientos a las Direcciones Regionales Andina, Choco, Norte, Caribe y Sede Insular, de los cuales se tienen los informes correspondientes al tercer seguimiento/ Estrategia Plan Padrino. DDebido al cambio de personal no se alcanzó la meta programada y se realizarán en el último trimestre para dar cumplimiento a la meta programada._x000a_"/>
    <b v="1"/>
    <s v="https://supersalud.sharepoint.com/:f:/s/DelegadaparaETyGRARdelSGSSS/EqEDv_aX1pVLg4eIDY-BWloBeC7zWLuTvzKiETaqxl1HWA?e=tBs4YE"/>
    <s v="2025"/>
    <s v="Elemento"/>
    <s v="sites/PlanAnualdeGestin/Lists/REPORTE SEGUIMIENTO PAG"/>
  </r>
  <r>
    <s v="Delegatura para Entidades Territoriales y Generadores y Recaudadores y Administradores de Recursos del SGSSS"/>
    <x v="8"/>
    <x v="26"/>
    <s v="Realizar asistencia y seguimientos a las mesas de saneamiento de cartera de Circular Conjunta 030 de 2013"/>
    <s v="Seguimientos a Circular 030"/>
    <s v="Numero de Seguimientos realizados - Circular 030"/>
    <s v="Numérica"/>
    <n v="20"/>
    <n v="21"/>
    <n v="20"/>
    <n v="1.05"/>
    <s v="​Se realizaron 21 asistencias al desarrollo de mesas de saneamiento de cartera de Circular Conjunta 030 de 2013, con un sobrecumplimiento d ela meta establecidapara el periodo, debido a requerimientos del ente territorial, en los siguientes Entes Territoriales: Amazonas, Atlántico, Barranquilla, Bogotá, Bolívar, Boyacá, Cali, Cartagena, Caquetá, Cauca, Choco, Guainía, Magdalena, Nariño, Norte de Santander, Santander, Putumayo, Quindío, San Andrés, Sucre y Valle del Cauca. Estas asistencias se soportan a través de informes de resultados del ejercicio de acompañamiento. se realiza 1 mas por necesidad de realizar la actividad en otro territorio_x000a_"/>
    <b v="1"/>
    <s v="https://supersalud.sharepoint.com/:f:/s/DelegadaparaETyGRARdelSGSSS/Eh2qjut6-i5Ilnp7PKU7ORwBLOUOkbkbEaZet8g_OL_XfA?e=10fBvu"/>
    <s v="2025"/>
    <s v="Elemento"/>
    <s v="sites/PlanAnualdeGestin/Lists/REPORTE SEGUIMIENTO PAG"/>
  </r>
  <r>
    <s v="Delegatura para la Protección al Usuario"/>
    <x v="8"/>
    <x v="32"/>
    <s v="Seguimiento a los reclamos en salud presentados por la ciudadanía que asiste a los Diálogos con la Supersalud que no fueron cerrados por los vigilados en el evento"/>
    <s v="Porcentajes de reclamos en salud con seguimiento"/>
    <s v="Reclamos en salud con seguimiento / total de reclamos no cerrados por el vigilados* 100 ."/>
    <s v="Porcentual"/>
    <n v="1"/>
    <n v="85"/>
    <n v="102"/>
    <n v="0.83333333333333304"/>
    <s v="Entre JULIO y SEPTIEMBRE 2025 se han realizado 4 diálogos en donde se han recibido 102 reclamos en salud de los cuales a todos 100% se les ha realizado seguimiento, pero de estos se han cerrado 85 (83%) y permanecen abiertos 102 reclamos a pesar del seguimeinto realizado._x000a_"/>
    <b v="1"/>
    <s v="https://acortar.link/Vs1IbE"/>
    <s v="2025"/>
    <s v="Elemento"/>
    <s v="sites/PlanAnualdeGestin/Lists/REPORTE SEGUIMIENTO PAG"/>
  </r>
  <r>
    <s v="Delegatura para la Protección al Usuario"/>
    <x v="8"/>
    <x v="31"/>
    <s v="Promover los derechos y deberes en salud y mecanismos de participación ciudadana en salud"/>
    <s v="Promoción de los derechos y deberes en salud y mecanismos de participación ciudadana en salud a la ciudadanía."/>
    <s v="Número de actividades que promueven el ejercicio de derechos y deberes y mecanismos de participación ciudadana en salud para ciudadanía en general desarrollados en el periodo.."/>
    <s v="Numérica"/>
    <n v="72"/>
    <n v="91"/>
    <n v="72"/>
    <n v="1.2638888888888899"/>
    <s v="En el periodo reportado correspondiente al tercer trimestre de 2025,  se desarrollaron 89 actividades de 72 orientadas a promover los derechos y deberes en salud y los mecanismos de participación ciudadana, dirigidas a diferentes territorios del país, para un cumplimiento del  126%. Los 91 eventos se discriminan así: 48 jornadas de atención al usuario, 24 capacitaciones, 6 seminarios, 4 diálogos con la SuperSalud, 4 piezas lúdicas, 4 líder tiene la palabra y 1 acompañamiento. _x000a_Como soporte de estas acciones, se entrega el cronograma con los municipios visitados, dentro de los cuales se destacan varios municipios con enfoque PDET (Programa de Desarrollo con Enfoque Territorial), priorizados por su condición de vulnerabilidad y necesidad de fortalecimiento institucional y de igual forma se encuentran actividades con grupos poblacionales de caracter diferencial (Población LGBTIQ+,cuidadores de personas con discapacidad, mujeres y personas con discapacidad auditiva)._x000a_En conclusión, se cumple con la meta._x000a__x000a_"/>
    <b v="1"/>
    <s v="https://acortar.link/i9TuBG"/>
    <s v="2025"/>
    <s v="Elemento"/>
    <s v="sites/PlanAnualdeGestin/Lists/REPORTE SEGUIMIENTO PAG"/>
  </r>
  <r>
    <s v="Delegatura para la Protección al Usuario"/>
    <x v="8"/>
    <x v="33"/>
    <s v="Ejecutar actividades para la implementación de la política de Servicio al Ciudadano"/>
    <s v="Actividades desarrolladas en el ámbito de la política de servicio al ciudadano"/>
    <s v="Número total de actividades desarrolladas en el periodo."/>
    <s v="Numérica"/>
    <n v="10"/>
    <n v="10"/>
    <n v="10"/>
    <n v="1"/>
    <s v="Durante la vigencia, la entidad avanzó en la implementación y fortalecimiento de la Pólitica de Servicio al Ciudadano, orientando las acciones hacia la mejora de la experiencia de los ciudadanos._x000a_Se desarrollaron las siguientes acciones principales:_x000a_- Fortalecimiento de canales de atención: Se mantuvieron y optimizaron los canales presenciales, telefónicos y virtuales, garantizando la atención oportuna y eficaz a las solicitudes, quejas, reclamos y peticiones de la ciudadanía._x000a_- Capacitación al talento humano: Se realizaron jornadas de formación para los servidores públicos en temas de servicio al ciudadano y atención con enfoque diferencial ._x000a_- Mejoras en formatos de respuestas a PQR y solicitudes de información en el marco de leguaje claro._x000a_-  Acciones de participación ciudadana: Se llevaron a cabo espacios de diálogo y atención que permitieron a la ciudadanía conocer los avances de la entidad y participar en la construcción de mejoras al servicio._x000a_En general, las acciones ejecutadas reflejan el compromiso institucional con la transparencia, la eficiencia y la calidad en la prestación de los servicios, contribuyendo al fortalecimiento de la confianza ciudadana en la gestión pública._x000a__x000a__x000a_"/>
    <b v="1"/>
    <s v="https://shre.ink/SUlc"/>
    <s v="2025"/>
    <s v="Elemento"/>
    <s v="sites/PlanAnualdeGestin/Lists/REPORTE SEGUIMIENTO PAG"/>
  </r>
  <r>
    <s v="Delegatura para la Protección al Usuario"/>
    <x v="8"/>
    <x v="28"/>
    <s v="Realizar auditorías de inspección y vigilancia a los vigilados relacionadas con el Sistema de Información y Atención al Usuario - SIAU, mecanismos de Participación Ciudadana y sistema PQRD"/>
    <s v="Auditorías realizadas a los vigilados por parte de la Delegada de Protección al Usuario"/>
    <s v="Número de auditorías ejecutadas"/>
    <s v="Numérica"/>
    <n v="27"/>
    <n v="26"/>
    <n v="27"/>
    <n v="0.96296296296296302"/>
    <s v="​Se realizaron 2 auditorías a los vigilados relacionadas con el Sistema de PQRD propio de las EPS, en cumplimiento al PAG aprobado para la vigencia_x000a_Se realizaron 24 auditorías, se registraron actas y autos de auditoría, se gestionaron 24 informes, se cumple con lo planeado para el trimestre desde el grupo IV SIAU_x000a_"/>
    <b v="1"/>
    <s v="https://shre.ink/SUaF"/>
    <s v="2025"/>
    <s v="Elemento"/>
    <s v="sites/PlanAnualdeGestin/Lists/REPORTE SEGUIMIENTO PAG"/>
  </r>
  <r>
    <s v="Delegatura para la Protección al Usuario"/>
    <x v="8"/>
    <x v="29"/>
    <s v="Medir la percepción de los usuarios respecto a la atención telefónica y canal presencial de la Superintendencia Nacional de Salud"/>
    <s v="Medición de la percepción en canal telefonico y presencial de la SNS."/>
    <s v="Total de respuestas con calificación favorable (bueno y excelente) del instrumento de medición aplicado"/>
    <s v="Porcentual"/>
    <n v="0.85"/>
    <n v="80680"/>
    <n v="99341"/>
    <n v="0.81215208222184199"/>
    <s v="Se presenta información con corte a agosto 2025, en virtud de que el periodo de reporte de insumos es 5 días hábiles mes vencido._x000a_Aclarado lo anterior se presenta el resultado de la aplicación de la encuesta de satisfacción realizada en el canal telefonico y presencial (Regionales, Puntos de Atención y CAC). Se identifica que para este trimestre el CAC bajo en su pordentaje bueno y exelente del indicador frente a sus historicos_x000a_Entre julio y agosto 2025 se recibieron 80.680 respuestas con calificación buena y exelente de un total de 99.341  respuestas las cuales correponden a un 81.2% de satisfacción_x000a__x000a_"/>
    <b v="1"/>
    <s v="https://shre.ink/SUad"/>
    <s v="2025"/>
    <s v="Elemento"/>
    <s v="sites/PlanAnualdeGestin/Lists/REPORTE SEGUIMIENTO PAG"/>
  </r>
  <r>
    <s v="Delegatura para la Protección al Usuario"/>
    <x v="8"/>
    <x v="30"/>
    <s v="Radicar los reclamos en salud recibidos en el multicanal"/>
    <s v="Porcentaje de reclamos en salud radicados y gestionados a través del multicanal"/>
    <s v="Número de reclamos en salud radicados y gestionadas en el trimestre*"/>
    <s v="Porcentual"/>
    <n v="1"/>
    <n v="504428"/>
    <n v="504428"/>
    <n v="1"/>
    <s v="​Entre julio a septiembre se radicaron y trasladaron al responsable del aseguramiento a travez de una orden de inmediato y obligatorio cumplimiento 504.428 reclamos en salud recibidos por multicanal (escrito, web, telefonico, chat y redes sociales)_x000a_"/>
    <b v="1"/>
    <s v="https://shre.ink/SUcJ"/>
    <s v="2025"/>
    <s v="Elemento"/>
    <s v="sites/PlanAnualdeGestin/Lists/REPORTE SEGUIMIENTO PAG"/>
  </r>
  <r>
    <s v="Delegatura para la Protección al Usuario"/>
    <x v="8"/>
    <x v="34"/>
    <s v="Radicar los reclamos en salud recibidos en el canal presencial"/>
    <s v="Porcentaje de reclamos en salud radicados y gestionados a través del canal presencial"/>
    <s v="Número de reclamos en salud radicados y gestionadas en el trimestre*"/>
    <s v="Porcentual"/>
    <n v="1"/>
    <n v="93348"/>
    <n v="93348"/>
    <n v="1"/>
    <s v="​Entre julio a septiembre se radicaron y trasladaron al responsable del aseguramiento a travez de una orden de inmediato y obligatorio cumplimiento 93.348 reclamos en salud recibidos por el canal presencial_x000a_"/>
    <b v="1"/>
    <s v="https://shre.ink/SUcj"/>
    <s v="2025"/>
    <s v="Elemento"/>
    <s v="sites/PlanAnualdeGestin/Lists/REPORTE SEGUIMIENTO PAG"/>
  </r>
  <r>
    <s v="Delegatura para Operadores Logísticos de Tecnologías en Salud y Gestores Farmacéuticos"/>
    <x v="8"/>
    <x v="35"/>
    <s v="Realizar actividades de socialización, asistencia técnica, mesas de trabajo o acompañamiento a los actores del SGSSS respecto a la operación de los Gestores Farmacéuticos Gestores Farmacéuticos y/u Operadores Logísticos de Tecnologías en Salud"/>
    <s v="Actividades de socialización, asistencia técnica, mesas de trabajo o acompañamiento a los actores del SGSSS respecto a la operación de los GF y/u OLTS"/>
    <s v="Número de actividades de socialización, asistencia técnica, mesas de trabajo o acompañamiento a los actores del SGSSS respecto a la operación de los GF y/u OLTS"/>
    <s v="Numérica"/>
    <n v="1"/>
    <n v="1"/>
    <n v="1"/>
    <n v="1"/>
    <s v="​ Se cumple con la programación dado que se realizan actividades de socialización y acompañamiento a los actores del SGSSS, en el marco de RELACIONAMIENTO CON LA  CIUDADANÍA Y GRUPOS DE VALOR, en la Regional Andina, con los usuarios en salud, líderes de control social, entidades Territoriales y Empresas Promotoras de Salud EPS, los días 18 y 19 de septiembre de 2025_x000a__x000a_"/>
    <b v="0"/>
    <m/>
    <s v="2025"/>
    <s v="Elemento"/>
    <s v="sites/PlanAnualdeGestin/Lists/REPORTE SEGUIMIENTO PAG"/>
  </r>
  <r>
    <s v="Delegatura para Operadores Logísticos de Tecnologías en Salud y Gestores Farmacéuticos"/>
    <x v="8"/>
    <x v="36"/>
    <s v="Realizar acompañamiento a las Direcciones Regionales en actividades de IVC a los Operadores Logísticos de Tecnologías en Salud y/o Gestores Farmacéuticos de su jurisdicción"/>
    <s v="Actividades de acompañamiento a las Direcciones Regionales en actividades de IVC a los Operadores Logísticos de Tecnologías en Salud y/o Gestores Farmacéuticos de su jurisdicción"/>
    <s v="Número de actividades de acompañamiento a las Direcciones Regionales en actividades de IVC a los Operadores Logísticos de Tecnologías en Salud y/o Gestores Farmacéuticos de su jurisdicción"/>
    <s v="Numérica"/>
    <n v="2"/>
    <n v="2"/>
    <n v="2"/>
    <n v="1"/>
    <s v="​​Se cumple con la programación de las actividades de acompañamiento a las Direcicones Regionales dado que se realizan actividades de IVC a los Gestores  ETICOS y LOGIFARMA _x000a_"/>
    <b v="0"/>
    <m/>
    <s v="2025"/>
    <s v="Elemento"/>
    <s v="sites/PlanAnualdeGestin/Lists/REPORTE SEGUIMIENTO PAG"/>
  </r>
  <r>
    <s v="Delegatura para Operadores Logísticos de Tecnologías en Salud y Gestores Farmacéuticos"/>
    <x v="8"/>
    <x v="2"/>
    <s v="Realizar auditorías a los Operadores Logísticos de Tecnologías en Salud y/o Gestores Farmacéuticos objeto de supervisión"/>
    <s v="Auditorías realizadas a los Operadores Logísticos de Tecnologías en Salud y/o Gestores Farmacéuticos"/>
    <s v="Número de auditorías realizadas a los Operadores Logísticos de Tecnologías en Salud y/o Gestores Farmacéuticos"/>
    <s v="Numérica"/>
    <n v="1"/>
    <n v="1"/>
    <n v="1"/>
    <n v="1"/>
    <s v="​​Se cumple con la programación de la actividad, dado que se realiza auditoría al Gestor Farmacéutico MENNAR SAS ordenada mediante Auto No  2025600020001375-7 del 18 de septiembre de 2025_x000a_"/>
    <b v="0"/>
    <m/>
    <s v="2025"/>
    <s v="Elemento"/>
    <s v="sites/PlanAnualdeGestin/Lists/REPORTE SEGUIMIENTO PAG"/>
  </r>
  <r>
    <s v="Delegatura Prestadores de Servicios en Salud"/>
    <x v="8"/>
    <x v="37"/>
    <s v="Realizar auditorías a los Prestadores de Servicios en Salud (PSS) para verificar el cumplimiento de las normas que regulan el Sistema de Salud y la gestión de los riesgos inherentes del sistema."/>
    <s v="Auditorías realizadas a los Prestadores de Servicios en Salud (PSS) en cumplimiento del Programa Anual de Auditoría de la Delegada"/>
    <s v="Número de auditorías realizadas a los Prestadores de Servicios en Salud (PSS)"/>
    <s v="Numérica"/>
    <n v="12"/>
    <n v="12"/>
    <n v="12"/>
    <n v="1"/>
    <s v="Para el tercer trimestre de 2025, la Dirección de Inspección y Vigilancia para Prestadores de Servicios de Salud, programó 12 auditorias, de la siguiente manera:_x000a_En el mes de julio, se programaron 2 auditorias de las cuales se ejecutaron 2._x000a_En el mes de agosto se programaron 5 auditorias de las cuales se ejecutaron 5._x000a_En el mes de septiembre, se programaron 5 auditorias, de las cuales se ejecutaron 5. _x000a_Por lo anterior, para el III trimestre de 2025, se presenta un cumplimiento del 100%, correspondiente a la ejecución de 12 auditorías, de 12 programadas para dicho periodo, lo que permite garantizar el cumplimiento del Programa Anual de Auditoría_x000a__x000a_"/>
    <b v="0"/>
    <m/>
    <s v="2025"/>
    <s v="Elemento"/>
    <s v="sites/PlanAnualdeGestin/Lists/REPORTE SEGUIMIENTO PAG"/>
  </r>
  <r>
    <s v="Delegatura Prestadores de Servicios en Salud"/>
    <x v="8"/>
    <x v="38"/>
    <s v="Realizar análisis a los Planes de Mejoramiento suscritos por los Prestadores de Servicios de Salud durante el periodo de evaluación."/>
    <s v="Porcentaje de Planes de Mejoramiento evaluados"/>
    <s v="Número de Planes de Mejoramiento evaluados al corte / Número de Planes de Mejoramiento gestionados en el periodo"/>
    <s v="Porcentual"/>
    <n v="1"/>
    <n v="73"/>
    <n v="73"/>
    <n v="1"/>
    <s v="En el tercer trimestre de 2025, la Dirección de Inspección y Vigilancia para Prestadores de Servicios de Salud, evaluó oportunamente 73 planes de mejoramiento de 73 recibidos para trámite en el mismo periodo, de los cuales 8 correspondían a primera revisión de plan de mejoramiento, 16 a segunda revisión y 49 a soportes de ejecución. La totalidad de los radicados recibidos fueron tramitados de manera oportuna, por lo cual el cumplimiento es del 100% respecto a la meta._x000a_Lo anterior permite realiza seguimiento oportunamente a los planes de mejoramiento suscritos por los vigilados, derivados de las auditorías en las cuales se presentaron hallazgos, cuyo propósito es subsanar, corregir y/o prevenir sus causas y gestionar los riesgos  fundamentales sobre aquellas situaciones que afectan su desempeño y cometido institucional, con el fin de contribuir a la mejora de la calidad en la prestación de los servicios de salud_x000a__x000a_"/>
    <b v="0"/>
    <m/>
    <s v="2025"/>
    <s v="Elemento"/>
    <s v="sites/PlanAnualdeGestin/Lists/REPORTE SEGUIMIENTO PAG"/>
  </r>
  <r>
    <s v="Delegatura Prestadores de Servicios en Salud"/>
    <x v="8"/>
    <x v="39"/>
    <s v="Realizar seguimiento en campo a las ESE bajo medida con el fin de hacer seguimiento a la gestión de agentes interventores, contralores, gerentes y revisores fiscales"/>
    <s v="Porcentaje de cumplimiento de seguimientos en campo a ESE bajo medida"/>
    <s v="Numero de seguimientos en campo realizados a los Prestadores de Servicios de Salud (PSS) bajo acción o medida especial / Total de seguimientos programados a ESE bajo medida"/>
    <s v="Porcentual"/>
    <n v="0.25"/>
    <n v="7"/>
    <n v="7"/>
    <n v="1"/>
    <s v="Para el III trimestre de 2025, la Dirección de Medidas Especiales para Prestadores de Servicios de Salud realizó 7 seguimientos programados a las ESE bajo medida especial, de 7 seguimientos en campo programados para un cumplimiento del 100%._x000a_Lo anterior permite continuar fortaleciendo  los esquemas de seguimiento técnico, jurídico y financiero, integrando herramientas de monitoreo basadas en indicadores, análisis de datos en tiempo real, visitas de verificación y planes de mejora con seguimiento individualizado a las ESE bajo medida especial_x000a__x000a_"/>
    <b v="0"/>
    <m/>
    <s v="2025"/>
    <s v="Elemento"/>
    <s v="sites/PlanAnualdeGestin/Lists/REPORTE SEGUIMIENTO PAG"/>
  </r>
  <r>
    <s v="Dirección de Innovación y Desarrollo"/>
    <x v="8"/>
    <x v="46"/>
    <s v="Ejecutar acciones para el desarrollo de los programas de Gobernanza, Inteligencia de Negocios y Gestión de Datos y de Información de la SNS"/>
    <s v="Acciones ejecutadas para el desarrollo de los programas de Gobernanza, Inteligencia de Negocios y Gestión de Datos y de Información de la SNS"/>
    <s v="Número total de acciones ejecutada para el desarrollo de los programas de Gobernanza, inteligencia de negocios y Gestión de Datos y de Información de la SNS"/>
    <s v="Numérica"/>
    <n v="5"/>
    <n v="5"/>
    <n v="5"/>
    <n v="1"/>
    <s v="​Durante el trimestre se desarrollaron 5 acciones  para el desarrollo de los programas de Gobernanza, inteligencia de negocios y Gestión de Datos y de Información de la SNS consistente en lo siguiente conforme al cronograma:_x000a_Base Unica de Vigilados actualizada (1)_x000a_Publicación de dos conjuntos de datos abiertos (2)_x000a_Informe UIAF (1) se adjuntan soportes de documentación_x000a_Tableros (1) se adjunta evidencia de la actualización de un tablero de control, específicamente el de reclamos, lo cual se hace los 25 de cada mes, se aclara que el corte tiene 31 de julio de 2025 pero su actualización se realizó en el presente trimestre debido a unos ajustes en el régimen de Nueva EPS_x000a_"/>
    <b v="0"/>
    <m/>
    <s v="2025"/>
    <s v="Elemento"/>
    <s v="sites/PlanAnualdeGestin/Lists/REPORTE SEGUIMIENTO PAG"/>
  </r>
  <r>
    <s v="Dirección de Innovación y Desarrollo"/>
    <x v="8"/>
    <x v="104"/>
    <s v="Socializar, divulgar y brindar acompañamiento técnico para la implementación de instrumentos, guías, metodologías y lineamientos a nivel interno (nacional y regional) y externo (cuando aplique)."/>
    <s v="Jornadas de socialización y acompañamiento técnico de instrumentos, guías, metodologías y lineamientos durante la vigencia 2025"/>
    <s v="Número de jornadas de socializacion e implementación de instrumentos, guías, metodologías y lineamientos"/>
    <s v="Numérica"/>
    <n v="1"/>
    <n v="0"/>
    <n v="1"/>
    <n v="0"/>
    <s v="​Esta actividad fue   ejecutada durante el mes de agosto _x000a_se realizaron dos socializaciones en la ciudades de Pasto y Cali, en la cuales se aboradron los temas de Marco Integral de Supervisión y SIARC respectivamente_x000a_"/>
    <b v="1"/>
    <s v="se realizaron dos socializaciones en la ciudades de Pasto y Cali, en la cuales se aboradron los temas de Marco Integral de Supervisión y SIARC respectivamente"/>
    <s v="2025"/>
    <s v="Elemento"/>
    <s v="sites/PlanAnualdeGestin/Lists/REPORTE SEGUIMIENTO PAG"/>
  </r>
  <r>
    <s v="Dirección de Innovación y Desarrollo"/>
    <x v="8"/>
    <x v="41"/>
    <s v="Diseñar las políticas. instrumentos, guías, metodologías y lineamientos, a partir de las solicitudes y necesidades identificadas y gestionadas"/>
    <s v="Porcentaje de solicitudes gestionadas de políticas, instrumentos, guías, metodologías y lineamientos"/>
    <s v="Número de solicitudes de políticas, instrumentos, guías, metodologías y lineamientos gestionadas / Número de solicitudes de políticas, instrumentos, guías, metodologías y lineamientos identificadas * 100"/>
    <s v="Porcentual"/>
    <n v="1"/>
    <n v="2"/>
    <n v="2"/>
    <n v="1"/>
    <s v="Para este trimestre Se gestionaron  2 solicitudes mediante el DIFT33  de las cuales se gestionaron las 2 cumpliendo el  100 %, se anexa los respectivos soportes en elenlace_x000a_"/>
    <b v="1"/>
    <s v="https://supersalud.sharepoint.com/:f:/s/SUBDIRECCINMETODOLOGASEINSTRUMENTOSDESUPERVISN/EqTFlhhZP9xEuochazsuHTUBLZNQ1SaPNmAt_WmmYA-u8A?e=olg24w"/>
    <s v="2025"/>
    <s v="Elemento"/>
    <s v="sites/PlanAnualdeGestin/Lists/REPORTE SEGUIMIENTO PAG"/>
  </r>
  <r>
    <s v="Dirección de Innovación y Desarrollo"/>
    <x v="8"/>
    <x v="40"/>
    <s v="Ejecutar cronograma de actividades diseñado para fortalecer sistema de Gestión de Innovación de la Superintendencia Nacional de Salud"/>
    <s v="Porcentaje de implementación del Sistema de Gestión de Innovación"/>
    <s v="Número de actividades ejecutadas para el fortalecimiento del Sistema de Gestión de Innovación de la Superintendencia Nacional de Salud / Número de actividades definidas para el fortalecimiento del Sistema de Gestión de Innovación de la Superintendencia Nacional de Salud * 100"/>
    <s v="Porcentual"/>
    <n v="0.75"/>
    <n v="75"/>
    <n v="100"/>
    <n v="0.75"/>
    <s v="​Para el periodo de tiempo evaluado, se adelantaron las siguientes actividades: _x000a_1. Se gestionó alianza con SENATIC, como iniciativa para formación de los funcionarios de la Supersalud en temas de tecnologías, analítica de datos, inteligencia artificial y habilidades blandas. Esta colaboración se gestionó con el MINTIC, OIT y el SENA. _x000a_2. Se celebró la tercera sesión del Equipo Técnico de Apoyo a la Gestión de Innovación y del Conocimiento, en la cual se presentaron proyectos para continuar con la ejecución de los mismos (SENATIC, Presentación resultados workshop en territorio, Estrategia de Gestión de Proyectos, Adquisición del Sello de Buenas Prácticas), los cuales fueron aprobados y avalados para contiuar con su ejecución. _x000a_3. Se diseñó el Programa de Gestión del Conocimiento._x000a_4. Se generó documento final en compañía con la Oficina Asesora de Planeación relacionado con las brechas del FURAG._x000a_"/>
    <b v="1"/>
    <s v="https://supersalud-my.sharepoint.com/:f:/g/personal/gerson_ruiz_supersalud_gov_co/EhcBfX-7QRRKr-jzYJLM1xsBjzvCZOHarFk4knFtNx6x8g?e=TfEYh3"/>
    <s v="2025"/>
    <s v="Elemento"/>
    <s v="sites/PlanAnualdeGestin/Lists/REPORTE SEGUIMIENTO PAG"/>
  </r>
  <r>
    <s v="Dirección de Innovación y Desarrollo"/>
    <x v="8"/>
    <x v="124"/>
    <s v="Ejecutar cronograma de actividades para la implementación y sostenibilidad de la política de gestión y desempeño de Gestión del Conocimiento y la Innovación: implementar el programa de gestión del conocimiento."/>
    <s v="Porcentaje de Implementación del Programa de Gestión del Conocimiento"/>
    <s v="Número de actividades ejecutadas para la implementación del Programa de Gestión del Conocimiento / Número de actividades definidas para la implementación en la vigencia 2025 Programa de Gestión del Conocimiento *100"/>
    <s v="Porcentual"/>
    <n v="0.5"/>
    <n v="0.5"/>
    <n v="1"/>
    <n v="0.5"/>
    <s v="​Para la implementación del Programa de Gestión del Conocimiento, se avanzó en el envío a la Oficina Asesora de Planeación de una serie de documentos para formalizar este proceso. En el correo adjunto se puede evidenciar las solicitudes y documentos anexados._x000a__x000a__x000a_"/>
    <b v="0"/>
    <m/>
    <s v="2025"/>
    <s v="Elemento"/>
    <s v="sites/PlanAnualdeGestin/Lists/REPORTE SEGUIMIENTO PAG"/>
  </r>
  <r>
    <s v="Dirección de Innovación y Desarrollo"/>
    <x v="8"/>
    <x v="43"/>
    <s v="Actualizar e implementar el Plan Estratégico de Tecnologías de la información (PETI)"/>
    <s v="Porcentaje de avance en el cumplimiento del Plan Estratégico de Tecnologías de la Información y las Comunicaciones PETI."/>
    <s v="Número de acciones ejecutadas para actualización e implementación del Plan Estratégico de Tecnologías de la información (PETI) / Número de acciones definidas para la actualización e implementación del Plan Estratégico de Tecnologías de la información (PETI) * 100"/>
    <s v="Porcentual"/>
    <n v="8"/>
    <n v="7"/>
    <n v="8"/>
    <n v="0.875"/>
    <s v="Para el tercer trimestre de 2025, se realizaron siete actividades de ocho programdas, con un cumplimiento del trimestre del 86,49%, en la ejecución de los diferentes proyectos. No se logró la meta debido a diferentes motivos, entre los cuales se destacan como los principales; el cambio intempestivo del personal directivo y de planta, así como la demora en la contratación del personal que estaba proyectado para la gestión de algunos proyectos, motivo por el cual no se logró la meta propuesta tanto en trimestres anteriores como en el actual. Por lo anterior, se contempla la posibilidad de modifcar el PAG. _x000a_Se lleva un  acumulado de 32 actividades de las 58 programadas para la vigencia 2025, con un avance del 55,17%, con respecto a la meta anual del 100% establecida para la implementación del PETI, por lo que se tomaran las acciones pertinentes para reducir el rezago antes de la finalización del año._x000a_"/>
    <b v="1"/>
    <s v="https://supersalud.sharepoint.com/:f:/r/GEGATI/Documentos%20compartidos/2025/2025/GOBIERNO%20DIGITAL/Informes_PAG/Trimestre_3_2025/DI07?csf=1&amp;web=1&amp;e=RikM5j"/>
    <s v="2025"/>
    <s v="Elemento"/>
    <s v="sites/PlanAnualdeGestin/Lists/REPORTE SEGUIMIENTO PAG"/>
  </r>
  <r>
    <s v="Dirección de Innovación y Desarrollo"/>
    <x v="8"/>
    <x v="45"/>
    <s v="Actualizar e implementar el Plan Estratégico de Tecnologías de la información (PETI)"/>
    <s v="Porcentaje de actividades ejecutadas en cumplimiento del Plan de Tratamiento de Riesgos de Seguridad y Privacidad de la Información"/>
    <s v="Total de actividades cumplidas del plan de Tratamientos de Riesgos de seguridad y privacidad de la Información de la STI / Total de actividades definidas en el plan de Tratamientos de Riesgos de seguridad y privacidadad de la Información de la STI"/>
    <s v="Porcentual"/>
    <n v="1"/>
    <n v="4"/>
    <n v="8"/>
    <n v="0.5"/>
    <s v="Se realiza la actividad progrmada para el periodo de seguimiento, con lo cual se lleva un avance del 50% con respecto a la meta establecida para la vigencia, cumpliendo con la totalidad​ de las actividades establecidas en el cronograma hasta el mes de septiembre, esto se logró a través de:_x000a_Sensibilización para la interiorización claves de seguridad, uso seguro de la VPN, seguridad digital y ciberseguridad, protección de la información, cumplimiento de la normativa y tendencias en ciberseguridad. Sensibilización para la interiorización claves de seguridad, uso seguro de la VPN, seguridad digital y ciberseguridad, protección de la información, cumplimiento de la normativa y tendencias en ciberseguridadDesde el Grupo de Seguridad Digital, se adelantas las acciones pertinentes para avanzar en el diseño e implementación de la arquitectura de seguridad de la Superintednecia Nacional de Salud_x000a_"/>
    <b v="1"/>
    <s v="https://supersalud.sharepoint.com/:f:/g/GEGATI/Es3o0xjw9IZCo98y9K_dh3EBDWComJfScNd5hJ3Ls4_sBQ?e=mjfXSf"/>
    <s v="2025"/>
    <s v="Elemento"/>
    <s v="sites/PlanAnualdeGestin/Lists/REPORTE SEGUIMIENTO PAG"/>
  </r>
  <r>
    <s v="Dirección de Innovación y Desarrollo"/>
    <x v="8"/>
    <x v="44"/>
    <s v="Actualizar e implementar el Plan Estratégico de Tecnologías de la información (PETI)"/>
    <s v="Porcentaje de actividades ejecutadas en cumplimiento del Plan de Seguridad y Privacidad de la Información y Seguridad Digital"/>
    <s v="Total de actividades cumplidas del plan de seguridad y privacidad de la Información de la STI / Total de actividades definidas en el plan de seguridad y privacidad de la Información de la STI"/>
    <s v="Porcentual"/>
    <n v="1"/>
    <n v="1"/>
    <n v="1"/>
    <n v="0.5"/>
    <s v="Para el periodo de seguimiento se realizó la actividasd prevista en cronograma, co la cual se busca avanzar en la Arquitectura de seguridad de la información documentada. Desde el Grupo de Seguridad Digital, se adelantas las acciones pertinentes para el diseño e implementación de la arquitectura de seguridad de la Superintednecia Nacional de Salud._x000a_Resumen de los logros más importantes: _x000a_- Del ejercicio realizado se identificó filtración de credenciales en estado vigente. _x000a_- Propuestas de mejora o acciones a implementar en futuras actividades. _x000a_- Priorización en la corrección de las debilidades evidenciadas y aún más cuando se encuentran accesos comprometidos. _x000a_- Posibles impactos a largo plazo de la actividad. _x000a_- Subsanación oportuna de las brechas identificadas reduciendo la posible materialización de incidentes de seguridad. _x000a_Sin embargo, a la fecha se han realizado un total de 6 actividades de las 12 programdas para la vigencia 2025, con lo cual el Grupo buscará completar la actividad que no s epudo realizar durante el mes de junio antes que finalice el año. _x000a__x000a__x000a__x000a__x000a__x000a_"/>
    <b v="1"/>
    <s v="https://supersalud.sharepoint.com/:f:/g/GEGATI/EijnG5J1nPFDiZUMFvtaHSQBZ5yCPl6A2JK5tVRJETVDSw?e=Wg6swU"/>
    <s v="2025"/>
    <s v="Elemento"/>
    <s v="sites/PlanAnualdeGestin/Lists/REPORTE SEGUIMIENTO PAG"/>
  </r>
  <r>
    <s v="Dirección Jurídica"/>
    <x v="8"/>
    <x v="4"/>
    <s v="Ejecutar cronograma de actividades para la implementación y sostenibilidad de la política de gestión y desempeño de Mejora Normativa"/>
    <s v="Actividades ejecutadas en el cronograma de implementación y sostenibilidad de la política de gestión y desempeño de Mejora Normativa"/>
    <s v="Número de actividades ejecutadas en el cronograma de implementación y sostenibilidad de la política de gestión y desempeño de Mejora Normativa."/>
    <s v="Numérica"/>
    <n v="6"/>
    <n v="6"/>
    <n v="6"/>
    <n v="1"/>
    <s v="​Se ejecutaron las 6 actividades programadas para el mes de septiembre conforme al cronograma de implementación y sostenibilidad de la Política de Mejora Normativa.  Con estas actividades se busca la expedición del Manual de mejor Normativa y demás compromisos adquiridos en la implementación y sostenibilidad de la política de mejora normativa._x000a_"/>
    <b v="0"/>
    <m/>
    <s v="2025"/>
    <s v="Elemento"/>
    <s v="sites/PlanAnualdeGestin/Lists/REPORTE SEGUIMIENTO PAG"/>
  </r>
  <r>
    <s v="Dirección Jurídica"/>
    <x v="8"/>
    <x v="48"/>
    <s v="Proyectar contestaciones y ejercer la actividad procesal."/>
    <s v="Porcentaje de acciones contencioso administrativas y ordinarias tramitadas dentro de los términos de ley"/>
    <s v="(Número de acciones contencioso administrativas y ordinarias tramitadas dentro de los términos de ley en el periodo/Total de acciones contencioso administrativas y ordinarias recibidas para trámite en el periodo) x100"/>
    <s v="Porcentual"/>
    <n v="1"/>
    <n v="123"/>
    <n v="123"/>
    <n v="1"/>
    <s v="​En el tercer trimestre del año 2025, se recibieron en total 123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Respecto a los 123 asuntos de demandas recibidos , se notificaron 31 autos admisorios de la demanda de los cuales fueron contestadas 22 demandas y recursos de insistencia, se encuentran en proyecto 8 contestaciones de demanda y 1 admisorio de la demanda se encuentra en recurso de apelación, y 90 asuntos judiciales están en trámite de proyección por no haberse notificado a la fecha el auto admisorio de estas demandas, 1 asunto judicial con rechazo de la demanda y en 1 asunto judicial no hace parte la SNS; en conclusión se tiene un total de 123  procesos judiciales y un cumplimiento del 100% respecto de las demandas notificadas y contestadas dentro del término legal._x000a_"/>
    <b v="0"/>
    <m/>
    <s v="2025"/>
    <s v="Elemento"/>
    <s v="sites/PlanAnualdeGestin/Lists/REPORTE SEGUIMIENTO PAG"/>
  </r>
  <r>
    <s v="Dirección Jurídica"/>
    <x v="8"/>
    <x v="49"/>
    <s v="Someter los asuntos de competencia al Comité de Conciliación"/>
    <s v="Porcentaje solicitudes de conciliaciones que cumplan requisitos de ley para ser presentadas al Comité de Conciliación"/>
    <s v="(Número de solicitudes de conciliaciones que cumplan los requisitos de ley para ser presentadas ante el Comité de conciliación, en un término de 15 días hábiles siguientes / Número total de solicitudes de conciliaciones recibidas que cumplen con los requisitos de ley durante el periodo de reporte) x 100."/>
    <s v="Porcentual"/>
    <n v="1"/>
    <n v="36"/>
    <n v="36"/>
    <n v="1"/>
    <s v="​En el tercer trimestre del año 2025, se recibieron 39 solicitudes de conciliación extrajudicial; de las cuales 36 fueron presentadas y decididas por el Comité de Conciliación, 2 no cumplen con los requisitos de ley establecidos para su presentación, y en 1 solicitud de conciliación la SNS no es parte; para un total de 39 solicitudes, cumpliéndose este indicador en un 100%._x000a_"/>
    <b v="0"/>
    <m/>
    <s v="2025"/>
    <s v="Elemento"/>
    <s v="sites/PlanAnualdeGestin/Lists/REPORTE SEGUIMIENTO PAG"/>
  </r>
  <r>
    <s v="Oficina Asesora de Comunicaciones"/>
    <x v="8"/>
    <x v="76"/>
    <s v="Realizar seguimiento a través de la herramienta metodológica del comportamiento de los canales digitales de la entidad"/>
    <s v="Informes de seguimiento sobre el comportamiento de canales digitales elaborados."/>
    <s v="Número de informes de seguimiento sobre el comportamiento de canales digitales elaborados."/>
    <s v="Numérica"/>
    <n v="1"/>
    <n v="1"/>
    <n v="1"/>
    <n v="1"/>
    <s v="El informe presenta un resultado positivo al señalar que el indicador alcanza un cumplimiento del 100%, lo cual refleja la ejecución total de la meta propuesta. La referencia al archivo INF-GESTION-DIGITAL-SEP2025.xlsx aporta soporte documental y evidencia cuantitativa del logro alcanzado, permitiendo la trazabilidad del cumplimiento._x000a_Asimismo, se destaca el aumento de seguidores e interacción en las redes sociales institucionales, lo que puede interpretarse como un crecimiento en el alcance, la visibilidad y el posicionamiento digital de la entidad. Este comportamiento sugiere una efectiva implementación de las estrategias de comunicación digital, coherente con los objetivos misionales de transparencia, participación y cercanía con la ciudadanía._x000a__x000a_"/>
    <b v="0"/>
    <m/>
    <s v="2025"/>
    <s v="Elemento"/>
    <s v="sites/PlanAnualdeGestin/Lists/REPORTE SEGUIMIENTO PAG"/>
  </r>
  <r>
    <s v="Oficina Asesora de Comunicaciones"/>
    <x v="8"/>
    <x v="125"/>
    <s v="Realizar Audiencia Pública de Rendición de Cuentas"/>
    <s v="Audiencia Pública de Rendición de Cuentas"/>
    <s v="Número de Audiencia Pública de Rendición de Cuentas realizada"/>
    <s v="Numérica"/>
    <n v="1"/>
    <n v="1"/>
    <n v="1"/>
    <n v="1"/>
    <s v="En cumplimiento de las disposiciones establecidas en la Ley 489 de 1998, el Decreto 1081 de 2015 y la Directiva Presidencial 02 de 2022 sobre rendición de cuentas a la ciudadanía, la Superintendencia Nacional de Salud, a través de la Oficina Asesora de Comunicaciones Estratégicas e Imagen Institucional, adelanta el proceso de planeación, producción y difusión de la Audiencia Pública de Rendición de Cuentas correspondiente a la vigencia julio 2024 – junio 2025._x000a_El presente informe consolida los avances en la fase de preparación y divulgación del proceso institucional, destacando las acciones ejecutadas, los productos elaborados y las estrategias implementadas para garantizar la participación ciudadana y la transparencia en la gestión de la Entidad._x000a__x000a__x000a_"/>
    <b v="0"/>
    <m/>
    <s v="2025"/>
    <s v="Elemento"/>
    <s v="sites/PlanAnualdeGestin/Lists/REPORTE SEGUIMIENTO PAG"/>
  </r>
  <r>
    <s v="Oficina Asesora de Planeación"/>
    <x v="8"/>
    <x v="126"/>
    <s v="Dirigir el cierre de brechas prioritarias de las politicas de gestión y desempeño del Modelo integrado de planeación y gestión"/>
    <s v="Porcentaje de cierre de brechas MIPG"/>
    <s v="(Número de brechas cerradas/Total brechas identificadas para la vigencia)*100"/>
    <s v="Porcentual"/>
    <n v="0.3"/>
    <n v="13"/>
    <n v="77"/>
    <n v="0.141304347826087"/>
    <s v="El plan de cierre de brechas contempla un total de 92 acciones, si bien se tenía previsto un 30% de avance para septiembre, se realizó un reajuste en el plan de trabajo que se remite a las áreas desde agosto el cual obtuvo respuesta hasta el mes de septiembre, con el subsecuente ajuste de fechas, por lo que no se pudo actualizar dentro de los términos el valor porcentual en el mes de agosto; El porcentaje real de compromisos para el cierre de brechas para el periodo de septiembre fue de 4.2% (4 actividades) que se cumplieron dentro del término, además se cerraron 9 brechas cuya fecha de cumplimiento es posterior al periodo de seguimiento, para un total de 13 cierres con un avance del 14,13% del total del plan. Cumpliendo con lo programado."/>
    <b v="0"/>
    <m/>
    <s v="2025"/>
    <s v="Elemento"/>
    <s v="sites/PlanAnualdeGestin/Lists/REPORTE SEGUIMIENTO PAG"/>
  </r>
  <r>
    <s v="Oficina Asesora de Planeación"/>
    <x v="8"/>
    <x v="84"/>
    <s v="Gestionar el cumplimiento del plan de actualización documental del Sistema integrado de gestión, como estrategia de gestión del conocimiento institucional."/>
    <s v="Porcentaje de documentos actualizados o elaborados en el SIG"/>
    <s v="Número de documentos elaborados o actualizados /Total de documentos priorizados por la vigencia"/>
    <s v="Porcentual"/>
    <n v="0.4"/>
    <n v="67"/>
    <n v="67"/>
    <n v="1"/>
    <s v="Durante el periodo comprendido entre junio y septiembre de 2025 se atendieron 67 solicitudes de oficialización de documentos en los procesos institucionales de la Superintendencia Nacional de Salud. De éstas, 44 correspondieron a actualización de documentos, 17 solicitudes fueron de creación y 6 solicitudes de anulación._x000a_Estas solicitudes fueron tramitadas en los siguientes procesos: Gestión estratégica de personas: 19 documentos, Gobierno y gestión de datos e información: 12 documentos, Relacionamiento con la ciudadanía y grupos de valor: 9 documentos, Gestión de bienes y servicios: 7 documentos, Gestión de mejora: 6 documentos, Seguimiento y evaluación al vigilado: 4 documentos, Direccionamiento estratégico: 4 documentos, Actuaciones disciplinarias: 2 documentos, Gestión de trámites: 2 documentos, y Gestión Financiera: 2 documentos._x000a_Finalmente, y de acuerdo con el tipo documental, durante el periodo se tramitaron oficializaciones asociadas a los tipos documentales: 47 Formatos, 7 Manuales, 5 Procesos, 2 Caracterizaciones de proceso, 2 Metodologías, 2 Políticas institucionales, 1 Procedimiento, y 1 Guía._x000a_A partir de lo anterior, se da cumplimiento al 100% de lo establecido para el periodo._x000a__x000a_"/>
    <b v="0"/>
    <m/>
    <s v="2025"/>
    <s v="Elemento"/>
    <s v="sites/PlanAnualdeGestin/Lists/REPORTE SEGUIMIENTO PAG"/>
  </r>
  <r>
    <s v="Oficina de Control Interno"/>
    <x v="8"/>
    <x v="50"/>
    <s v="Ejecutar Plan Anual de Seguimientos de Ley a la Gestión Institucional"/>
    <s v="Seguimientos y evaluaciones efectuadas al control institucional"/>
    <s v="Número de seguimientos y evaluaciones realizadas oportunamente dentro de las fechas programadas en el periodo."/>
    <s v="Numérica"/>
    <n v="13"/>
    <n v="11"/>
    <n v="13"/>
    <n v="0.84615384615384603"/>
    <s v="De conformidad con la programación establecida en el Plan Anual de Seguimiento a la Gestión Institucional (PAAS) para la vigencia 2025, y en atención a la actividad &quot;Ejecutar Programa Anual de Seguimiento a la Gestión Institucional&quot;, correspondiente al indicador &quot;Seguimientos y evaluaciones efectuadas al control institucional&quot;, la Oficina de Control Interno reporta el cumplimiento del tercer trimestre de la presente anualidad._x000a_Durante este periodo se ejecutaron un total de once (11) actividades, de las cuales cuatro (4) correspondían a acciones rezagadas del segundo trimestre, producto de situaciones administrativas relacionadas con el concurso de mérito. Por lo anteriormente señalado, el porcentaje de cumplimiento para el período reportado corresponde al 85% de ejecución. En la primera semana de octubre se radicaron dos (2) actividades, correspondientes al tercer trimestre, las cuales se verán reflejados en el siguiente trimestre evaluado._x000a_Con este avance, al cierre de septiembre se han realizado treinta y siete (37) actividades de las cuarenta y una (41) programadas, lo que representa un cumplimiento del 90% en la ejecución del PAAS._x000a_Adicionalmente, en el transcurso del trimestre se llevaron a cabo actividades complementarias no previstas en el plan, derivadas de requerimientos formulados por entes de control, atención de derechos de petición, actividades de gestores, entre otros._x000a__x000a__x000a_"/>
    <b v="0"/>
    <m/>
    <s v="2025"/>
    <s v="Elemento"/>
    <s v="sites/PlanAnualdeGestin/Lists/REPORTE SEGUIMIENTO PAG"/>
  </r>
  <r>
    <s v="Secretaria General"/>
    <x v="8"/>
    <x v="53"/>
    <s v="Realizar el seguimiento a la ejecución del Plan Anual de Adquisiciones a través de informe trimestral"/>
    <s v="Seguimientos al Plan Anual de Adquisiciones"/>
    <s v="Número de seguimientos programados en el Plan Anual de Adquisiciones"/>
    <s v="Numérica"/>
    <n v="3"/>
    <n v="3"/>
    <n v="3"/>
    <n v="1"/>
    <s v="​Durante el tercer trimestre de 2025, la Superintendencia Nacional de Salud realizó seguimiento a la ejecución del Plan Anual de Adquisiciones, alcanzando un avance del 61,53% en inversión y 52,10% en funcionamiento. Se publicaron 20 versiones del PAA en SECOP II, con múltiples actualizaciones derivadas de solicitudes de las dependencias. Al corte de 30 septiembre, se habían programado 389 líneas y quedaban 06 procesos contractuales pendientes por radicar._x000a_"/>
    <b v="0"/>
    <m/>
    <s v="2025"/>
    <s v="Elemento"/>
    <s v="sites/PlanAnualdeGestin/Lists/REPORTE SEGUIMIENTO PAG"/>
  </r>
  <r>
    <s v="Secretaria General"/>
    <x v="8"/>
    <x v="51"/>
    <s v="Realizar Socializacion, Sensibilización y Asesoria a los funcionarios y contratistas de la Entidad acerca del cuidado y control de los bienes."/>
    <s v="Socializaciones o sensibilizaciones realizadas a los funcionarios o contratistas que tengan bienes asignados de la entidad"/>
    <s v="Número de socializaciones o sensibilizaciones realizadas"/>
    <s v="Numérica_x000a_"/>
    <n v="2"/>
    <n v="6"/>
    <n v="6"/>
    <n v="0.75"/>
    <s v="Durante el tercer trimestre, el grupo de Recursos de la Dirección Administrativa, adscrito a la Secretaría General, adelantó las siguientes acciones orientadas al fortalecimiento del cuidado y control de los bienes públicos:_x000a_Socialización institucional: Se realizó una socialización mediante correo electrónico, a todos los funcionarios de la Superintendencia Nacional de Salud, enfocada en la promoción del cuidado de los bienes públicos y la responsabilidad que implica su uso adecuado._x000a_ Adjunto: “Cuidemos los bienes públicos.pdf”_x000a_Sensibilización específica: Se llevaron a cabo sesiones de capacitación dirigidas a funcionarios y contratistas con bienes asignados por la entidad, abordando el uso responsable de estos activos y el manejo del aplicativo “Aplica”._x000a_ Adjunto: “Capacitación a funcionarios de Almacén y Funcionarios SNS.pdf”_x000a_Estas actividades contribuyen al fortalecimiento de la cultura institucional en torno al uso responsable de los bienes públicos, promoviendo el conocimiento y cumplimiento de las obligaciones por parte de los servidores públicos y contratistas._x000a__x000a_"/>
    <b v="0"/>
    <m/>
    <s v="2025"/>
    <s v="Elemento"/>
    <s v="sites/PlanAnualdeGestin/Lists/REPORTE SEGUIMIENTO PAG"/>
  </r>
  <r>
    <s v="Secretaria General"/>
    <x v="8"/>
    <x v="64"/>
    <s v="Ejecutar el Cronograma del plan Anual de Seguridad y salud en el Trabajo (Componente de Gestión de las Relaciones Humanas)"/>
    <s v="Porcentaje de avance en la ejecución del Plan anual de Seguridad y Salud en el Trabajo"/>
    <s v="(Número de actividades ejecutadas en el periodo / Número de actividades programadas en el cronograma del Plan anual de Seguridad y Salud en el Trabajo) *100"/>
    <s v="Porcentual"/>
    <n v="14"/>
    <n v="10"/>
    <n v="12"/>
    <n v="0.83333333333333304"/>
    <s v="La Dirección de Talento Humano informa que, durante el tercer trimestre del año, se tenía programada la ejecución de 12 actividades. Sin embargo, se llevaron a cabo únicamente 10, lo que representa un avance del 83,33% frente a la meta establecida._x000a_El incumplimiento del 100% de la programación se debió a la no ejecucion de las siguentes actividades:_x000a_Simulacro de evacuación: No fue posible realizar esta actividad debido a la contingencia generada por el proceso de provisión de empleos, derivado de la conformación de listas de elegibles. Esta situación impidió contar con el equipo de brigadistas necesario para su desarrollo.Mediciones higiénicas (iluminación, temperatura y ruido): No se ejecutaron las mediciones en la sede central ni en las regionales, conforme a la Matriz IPVRDC, ya que no se logró contratar el proveedor por parte de la ARL para realizar dichas mediciones en las sedes regionales._x000a_En consecuencia, se informa que el 16,67% restante de las actividades programadas será ejecutado durante el último trimestre del año 2025._x000a_"/>
    <b v="0"/>
    <m/>
    <s v="2025"/>
    <s v="Elemento"/>
    <s v="sites/PlanAnualdeGestin/Lists/REPORTE SEGUIMIENTO PAG"/>
  </r>
  <r>
    <s v="Secretaria General"/>
    <x v="8"/>
    <x v="62"/>
    <s v="Ejecutar el Cronograma del plan institucional de capacitación (Componente de Gestión del Desarrollo)"/>
    <s v="Porcentaje de avance en la ejecución del Plan institucional de capacitación"/>
    <s v="(Número de actividades ejecutadas en el período / Número de actividades programadas en el cronograma del Plan institucional de capacitación)*100"/>
    <s v="Porcentual"/>
    <n v="1"/>
    <n v="1"/>
    <n v="1"/>
    <n v="1"/>
    <s v="La Dirección de Talento Humano informa que, durante el tercer trimestre del año, se tenía programada una actividad en el Plan Institucional de Capacitación, la cual fue ejecutada. Esto representa un avance del 100% respecto a la meta establecida para el periodo._x000a_"/>
    <b v="0"/>
    <m/>
    <s v="2025"/>
    <s v="Elemento"/>
    <s v="sites/PlanAnualdeGestin/Lists/REPORTE SEGUIMIENTO PAG"/>
  </r>
  <r>
    <s v="Secretaria General"/>
    <x v="8"/>
    <x v="65"/>
    <s v="Ejecutar el cronograma para la implementación de la Política de integridad del Modelo Integrado de Gestión. ( Componente de Gestión de las Relaciones Humanas)"/>
    <s v="Porcentaje acumulado de avance en la ejecución del cronograma para la implementación de la política de integridad"/>
    <s v="(Número de actividades ejecutadas en el periodo / Número de actividades programadas en el cronograma para la implementación de la política de integridad)*100"/>
    <s v="Porcentual"/>
    <n v="2"/>
    <n v="2"/>
    <n v="2"/>
    <n v="1"/>
    <s v="​La Dirección de Talento Humano informa que, durante el tercer trimestre del año, se tenía programada la ejecución de 2 actividades en el PAG, relacionadas con el tema de integridad. Sin embargo, en el Cronograma del Programa de Transparencia y Ética Publica se observan 3 actividades. Por ende; se ejecutaron 2 actividades totalmente y 1 parcialmente, lo que representa una sobre ejecución del 125% frente a la meta establecida._x000a_La actividad que se ejecutó parcialmente se cumplirá al 100% en el cuatro trimestre, en motivo a que el día 18 de septiembre de 2025, se realizó el envío de una comunicación oficial bajo el radicado número 20259100002132961 al Departamento Administrativo de la Función Pública, con el fin de solicitar el acceso a las declaraciones de bienes y rentas de los servidores públicos vinculados a la Superintendencia Nacional de Salud. Sin embargo, y a la fecha la DTH no ha recibido respuesta por parte del DAFP para realizar el informe compilatorio de la información contenida en las declaraciones de bienes y rentas de los funcionarios de la entidad._x000a__x000a__x000a_"/>
    <b v="0"/>
    <m/>
    <s v="2025"/>
    <s v="Elemento"/>
    <s v="sites/PlanAnualdeGestin/Lists/REPORTE SEGUIMIENTO PAG"/>
  </r>
  <r>
    <s v="Secretaria General"/>
    <x v="8"/>
    <x v="63"/>
    <s v="Ejecutar el Cronograma del plan de bienestar social y estímulos (Componente Gestión de la Relaciones Humanas)"/>
    <s v="Porcentaje de avance en la ejecución del Plan de bienestar social y estímulos"/>
    <s v="(Número de actividades ejecutadas en el período / Número de actividades programadas en el cronograma del Plan de bienestar social y estímulos)*100"/>
    <s v="Porcentual"/>
    <n v="23"/>
    <n v="11"/>
    <n v="11"/>
    <n v="1"/>
    <s v="​La Dirección de Talento Humano informa que, durante el tercer trimestre del año, se tenían programadas once actividades en el Plan Institucional de Capacitación, las cuales fueron ejecutadas. Esto representa un avance del 100% respecto a la meta establecida para el periodo._x000a_"/>
    <b v="0"/>
    <m/>
    <s v="2025"/>
    <s v="Elemento"/>
    <s v="sites/PlanAnualdeGestin/Lists/REPORTE SEGUIMIENTO PAG"/>
  </r>
  <r>
    <s v="Secretaria General"/>
    <x v="8"/>
    <x v="61"/>
    <s v="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
    <s v="Porcentaje de avance en la ejecución del Plan Estratégico de Desarrollo del Talento Humano"/>
    <s v="(Número de actividades ejecutadas en el periodo / Número de actividades programadas en el cronograma del Plan Estratégico de Desarrollo del Talento Humano en el periodo)*100"/>
    <s v="Porcentual"/>
    <n v="11"/>
    <n v="11"/>
    <n v="11"/>
    <n v="1"/>
    <s v="​La Dirección de Talento Humano informa que, durante el tercer trimestre del año, se tenían programadas once actividades en el Plan Estrataegico de Talento Humano, las cuales fueron ejecutadas. Esto representa un avance del 100% respecto a la meta establecida para el periodo._x000a_"/>
    <b v="0"/>
    <m/>
    <s v="2025"/>
    <s v="Elemento"/>
    <s v="sites/PlanAnualdeGestin/Lists/REPORTE SEGUIMIENTO PAG"/>
  </r>
  <r>
    <s v="Secretaria General"/>
    <x v="8"/>
    <x v="55"/>
    <s v="Incrementar el porcentaje de eficiencia en la correcta asignación de los documentos de entrada radicados a las diferentes  dependencias de la entidad.​."/>
    <s v="Porcentaje de eficiencia en la asignación de los documentos de entrada radicados a las dependencias​"/>
    <s v="Número de documentos radicados  asignados correctamente a las dependencias durante el trimestre / Número de documentos totales radicados  en el trimestre x 100​"/>
    <s v="Porcentual"/>
    <n v="0.98"/>
    <n v="151444"/>
    <n v="153689"/>
    <n v="0.98539257851895701"/>
    <s v="​En el trimestre se mantuvieron los siguientes valores en cantidades base (Denominador) Julio 56.222, Agosto 44.397 y Septiembre 53.070, para un total de153.689 con los correspondientes hallazgos: julio: 1471, Agosto: 71, Septiembre 703, estos representan un 1.47% del total procesado, sin embargo se generó un plan de calidad basado en el análisis de los hallazgos, el cual se aplicará en el tercer trimestre con el objetivo de mitigar la cantidad de hallazgos. Se aclara que los valores son calculados sobre validación de una muestra y cuyos resultados son proyectados al total del universo. Cumplimiento final 98.54%_x000a_"/>
    <b v="0"/>
    <m/>
    <s v="2025"/>
    <s v="Elemento"/>
    <s v="sites/PlanAnualdeGestin/Lists/REPORTE SEGUIMIENTO PAG"/>
  </r>
  <r>
    <s v="Secretaria General"/>
    <x v="8"/>
    <x v="56"/>
    <s v="Incrementar el porcentaje de eficiencia en la digitalización y cargue  de los documentos  con cumplimiento de las características de calidad dispuestas por la entidad.​"/>
    <s v="Porcentaje de eficiencia en la digitalización de documentos."/>
    <s v="Número de documentos con calidad en la digitalización y cargue al sistema durante el trimestre  / Número Total de documentos digitalizados durante el trimestre x 100.​"/>
    <s v="Porcentual_x000a_"/>
    <n v="0.99870000000000003"/>
    <n v="153650"/>
    <n v="153689"/>
    <n v="0.99974624078496199"/>
    <s v="En el trimestre se mantuvieron los siguientes valores en cantidades base (Denominador) Julio 56.222, Agosto 44.397 y Septiembre 53.070, para un total de 153.689 con los correspondientes hallazgos: julio: 17, Agosto: 6, Septiembre 16, estos representan un 0.03% del total procesado, sin embargo se realizó el análisis de los hallazgos, y se elaborará un plan de calidad específico, el cual se aplicará en el tercer trimestre con el objetivo de mitigar la cantidad de hallazgos. Se evidencia cumplimiento final de 99.97%_x000a__x000a__x000a__x000a__x000a_"/>
    <b v="0"/>
    <m/>
    <s v="2025"/>
    <s v="Elemento"/>
    <s v="sites/PlanAnualdeGestin/Lists/REPORTE SEGUIMIENTO PAG"/>
  </r>
  <r>
    <s v="Secretaria General"/>
    <x v="8"/>
    <x v="58"/>
    <s v="Realizar campañas de socialización sobre el manejo de los procesos del Grupo de Correspondencia"/>
    <s v="Campañas de socialización sobre el manejo de los procesos del Grupo de Correspondencia"/>
    <s v="Número de campañas de socialización sobre el manejo de los procesos del Grupo de Correspondencia"/>
    <s v="Numérica"/>
    <n v="3"/>
    <n v="3"/>
    <n v="3"/>
    <n v="1"/>
    <s v="​Para el trimestre reportado (Julio a Septiembre de 2025) se publicaron a través de los canales oficiales de Supersalud 3 piezas de comunicación con temáticas propias de los procesos del Grupo Interno de Trabajo de Correspondencia, los cuales mostraron un impacto positivo. Cumplimiento final 100%_x000a_"/>
    <b v="0"/>
    <m/>
    <s v="2025"/>
    <s v="Elemento"/>
    <s v="sites/PlanAnualdeGestin/Lists/REPORTE SEGUIMIENTO PAG"/>
  </r>
  <r>
    <s v="Secretaria General"/>
    <x v="8"/>
    <x v="57"/>
    <s v="Alcanzar el Nivel de madurez en dos (2) componentes en &quot;Básico&quot; y un (1) componente en &quot;Intermedio&quot; - Modelo de Gestión Documental y Administración de Archivos -MGDA- en 2025 -"/>
    <s v="Nivel de madurez de acuerdo con la matriz de cumplimiento del MGDA"/>
    <s v="Total de los productos cumplidos del MGDA en los dos componentes / Total productos del MGDA requeridos en los 3 componentes programados"/>
    <s v="Porcentual"/>
    <n v="14"/>
    <n v="13"/>
    <n v="13"/>
    <n v="1"/>
    <s v="​Observamos que, para el tercer trimestre de 2025, el Indicador DI28 Nivel de madurez de acuerdo con la matriz de cumplimiento del MGDA, alcanzó un cumplimiento satisfactorio del 100% con la ejecución de 13 actividades, llegando a un avance consolidado del 77%, con un total acumulado de 40 actividades cumplidas. Las actividades desarrolladas han contribuido al fortalecimiento en el desarrollo de la política de gestión documental y en el incremento de la aplicación de los componentes del Modelo de Gestión Documental y Administración de Archivos, alineándolos con el Ciclo Vital del Documento._x000a_"/>
    <b v="1"/>
    <s v="https://n9.cl/zpzbh"/>
    <s v="2025"/>
    <s v="Elemento"/>
    <s v="sites/PlanAnualdeGestin/Lists/REPORTE SEGUIMIENTO PAG"/>
  </r>
  <r>
    <s v="Secretaria General"/>
    <x v="8"/>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436"/>
    <n v="436"/>
    <n v="1"/>
    <s v="​Durante el mes de Septiembre, se gestionaron  436 cuentas que fueron radicadas en los tiempos estipulados de acuerdo con la Circular Interna 2022920020000026-4 de 2022,asi mismo, los documentos radicados despues del dia 25 calendario se tramitaron en el siguiente mes. Por lo cual, se cumplió con la meta del indicador del 100%, (436/436) habiendo gestionado la totalidad de las cuentas radicadas con un tiempo de gestión de 1,9 dias hábiles. Se adjunta base con relación de cuentas radicadas y gestionadas, asi como el reporte del indicador con la correspondiente gráfica._x000a_"/>
    <b v="0"/>
    <m/>
    <s v="2025"/>
    <s v="Elemento"/>
    <s v="sites/PlanAnualdeGestin/Lists/REPORTE SEGUIMIENTO PAG"/>
  </r>
  <r>
    <s v="Secretaria General"/>
    <x v="8"/>
    <x v="60"/>
    <s v="Medir y reportar la ejecución total del presupuesto en compromisos."/>
    <s v="Ejecución total del presupuesto en Compromisos"/>
    <s v="(Compromisos total / Apropiación total final)*100"/>
    <s v="Porcentual"/>
    <n v="0.6"/>
    <n v="229777018957"/>
    <n v="326211744691"/>
    <n v="0.70437997005488995"/>
    <s v="​La apropiación asignada a la Superintendencia Nacional de Salud (SNS) para la vigencia 2025 ascendió a $ 326.211.744.691. De este total, se ejecutaron compromisos por la suma de $ 229.777.018.957, lo que representa el 70,4% de la apropiación. Alcanzando la meta programada para el tercer trimestre del 70% en el indicador de gestión, significa que se cumple a satisfacción._x000a_En cuanto a la ejecución presupuestal de los recursos de funcionamiento e inversión, se presenta lo siguiente:_x000a_- Recursos de funcionamiento: $163.021.262.623, lo que representa el 68,2% de la apropiación vigente de $ 239.012.900.000._x000a_- Recursos de inversión: $ 66.755.756.334, equivalente al 76,6% de la apropiación vigente de $87.198.844.691._x000a_Es importante resaltar que la ejecución por obligaciones alcanzó los $ 188.032.726.316 lo que representa el 57,6%, y la ejecución por pagos fue de $ 187.918.550.863 equivalente al 58%._x000a_"/>
    <b v="0"/>
    <m/>
    <s v="2025"/>
    <s v="Elemento"/>
    <s v="sites/PlanAnualdeGestin/Lists/REPORTE SEGUIMIENTO PAG"/>
  </r>
  <r>
    <s v="Secretaria General"/>
    <x v="8"/>
    <x v="59"/>
    <s v="Ejecutar cronograma de actividades para la implementación y sostenibilidad de la política Gestión Presupuestal y Eficiencia del Gasto Público"/>
    <s v="Ejecución de cronograma de actividades para la implementación y sostenibilidad de la política Gestión Presupuestal y Eficiencia del Gasto Público"/>
    <s v="Número de actividades ejecutadas para la implementación y sostenibilidad de la política Gestión Presupuestal y Eficiencia del Gasto Público"/>
    <s v="Numérica"/>
    <n v="3"/>
    <n v="3"/>
    <n v="3"/>
    <n v="1"/>
    <s v="​Se realizaron las 3 actividades programadas durante el tercer trimestre de la vigencia, las cuales corresponden a la elaboración de informes de seguimiento a la ejecución presupuestal (mensual): _x000a_Cierre Julio:_x000a_*Se realizó mesa de trabajo el 8 de Agosto de 2025 con todas las dependencias, en el marco del seguimiento a la ejecución presupuestal y la socialización por parte de la Dirección Financiera y la Secretaría General. El objetivo de esta sesión fue abordar los siguientes temas:_x000a_1.Informar la Ejecución Presupuestal de la entidad y de las dependencias al 31 de Julio 2025_x000a_2.Reservas Presupuestales al 31 de Diciembre de 2024 (Ejecutadas en 2025)_x000a_3.Lineamientos frente a trámites presupuestales_x000a_De la mesa de trabajo se generó el acta GE-11798 del 8 de agosto de 2025 por ITS Gestión, aplicativo de la entidad._x000a_Cierre Agosto:_x000a_*Se envió el 2 y el 3 de septiembre de 2025 a través de correo electrónico institucional el Informe de la Ejecución Presupuestal a cada una de las Dependencias junto con los saldos de RP al corte de agosto de 2025._x000a_*Se realizó Mesa de trabajo el 9 de septiembre de 2025 con los enlaces de las dependencias que tienen asignado recursos de funcionamiento e inversión en la vigencia 2025 abordar los siguientes temas:_x000a_1. Informar la Ejecución Presupuestal de la entidad y de las dependencias al 31 de agosto 2025_x000a_2. Reservas Presupuestales al 31 de diciembre de 2024 (ejecutadas en 2025)_x000a_3. Lineamientos frente a trámites presupuestales_x000a_De la mesa de trabajo se generó el acta GE-11948 del 9 de septiembre de 2025 por ITS Gestión, aplicativo de la entidad._x000a_Cierre Septiembre:_x000a_*Se envió el 3 y el 6 de Octubre de 2025 a través de correo electrónico institucional el Informe de la Ejecución Presupuestal a cada una de las Dependencias junto con los saldos de RP al corte de Septiembre de 2025._x000a_*Se realizó Mesa de trabajo el 8 de Octubre de 2025 con los enlaces de las dependencias que tienen asignado recursos de funcionamiento e inversión en la vigencia 2025 abordar los siguientes temas:_x000a_1. Informar la Ejecución Presupuestal de la entidad y de las dependencias al 30 de septiembre 2025_x000a_2. Reservas Presupuestales al 31 de diciembre de 2024 (Ejecutadas en 2025)_x000a_3. Lineamientos y recomendaciones para las áreas en Octubre._x000a_De la mesa de trabajo se generó el acta GE-12073 del 8 de Octubre de 2025 por ITS Gestión, aplicativo de la entidad._x000a_Es importante informar a las áreas sobre la ejecución presupuestal para que la corroboren contra el control que maneja cada uno de los enlaces y aclarar todas las dudas que puedan presentar sobre los trámites presupuestales._x000a_"/>
    <b v="0"/>
    <m/>
    <s v="2025"/>
    <s v="Elemento"/>
    <s v="sites/PlanAnualdeGestin/Lists/REPORTE SEGUIMIENTO PAG"/>
  </r>
  <r>
    <s v="Secretaria General"/>
    <x v="8"/>
    <x v="54"/>
    <s v="Notificar los actos administrativos producidos por la Entidad"/>
    <s v="Porcentaje de actos administrativos con actuaciones de notificación"/>
    <s v="Total de actos administrativos de notificación o comunicación gestionados en el periodo/ Total de actos administrativos recibidos para notificar o comunicar en el periodo"/>
    <s v="Porcentual"/>
    <n v="0.95"/>
    <n v="8246"/>
    <n v="9640"/>
    <n v="0.85539419087136903"/>
    <s v="Al corte del 30 de Septiembre de 2025 en la entidad se expidieron 9640 resoluciones las cuales ingresaron en su totalidad al Grupo de Gestión de Notificaciones y Comunicaciones, de las cuales 1325 fueron Expedidas por el Grupo de Contribución y Apoyo Técnico a finales de mes y estas deben ser corregidas por la dependencia que las expidió por lo cual no se han gestionado, de los demás Actos administrativos se gestionaron 8246, dejando en trámite 69 actos administrativos en su gran mayoría expedidos en los últimos días del mes y los cuales por distintos tramites se encuentra en gestión al corte del mes de este reporte._x000a_"/>
    <b v="0"/>
    <m/>
    <s v="2025"/>
    <s v="Elemento"/>
    <s v="sites/PlanAnualdeGestin/Lists/REPORTE SEGUIMIENTO PAG"/>
  </r>
  <r>
    <s v="Secretaria General"/>
    <x v="8"/>
    <x v="52"/>
    <s v="Formular e implementar los planes y programas del componente Sistema de Gestión Ambiental y Carbono Neutro en la Entidad."/>
    <s v="Porcentaje acumulado de avance en la ejecución del cronograma del componente del Sistema de Gestión Ambiental-SGA"/>
    <s v="Número de actividades ejecutadas del cronograma del Sistema de Gestión Ambiental-SGA/Número de actividades programadas del cronograma del Sistema de Gestión Ambiental - SGA"/>
    <s v="Porcentual"/>
    <n v="50"/>
    <n v="50"/>
    <n v="63"/>
    <n v="0.79365079365079405"/>
    <s v="​De 63 actividades programadas se realizaron 15 en el trimestre, lo que da un cumplimiento acumulado del 79% frente a la meta programada de 50 en total._x000a_"/>
    <b v="0"/>
    <m/>
    <s v="2025"/>
    <s v="Elemento"/>
    <s v="sites/PlanAnualdeGestin/Lists/REPORTE SEGUIMIENTO PAG"/>
  </r>
  <r>
    <s v="Delegatura para Entidades Territoriales y Generadores y Recaudadores y Administradores de Recursos del SGSSS"/>
    <x v="9"/>
    <x v="20"/>
    <s v="Realizar seguimiento y verificación de las auditorias realizadas"/>
    <s v="Seguimientos a las auditorías de Inspección y Vigilancia Realizadas"/>
    <s v="Numero de Seguimientos realizados"/>
    <s v="Numérica"/>
    <n v="6"/>
    <n v="12"/>
    <n v="6"/>
    <n v="2"/>
    <s v="Durante el periodo se realizaron 12 seguimientos a auditorías, superando la meta establecida de 6. Este resultado obedece a la optimización del cronograma operativo y la disponibilidad de equipos técnicos en territorio, lo que permitió desarrollar más actividades a las previstas y dar continuidad a los compromisos de mejora._x000a__x000a__x000a_La ejecución superior a la meta refleja eficiencia en la gestión del proceso y una mayor capacidad de respuesta frente a las necesidades de seguimiento. _x000a__x000a__x000a_Los seguimientos se realizaron a las siguientes Entidades Territoriales:  El Piñón (Magdalena), Gamarra (Cesar) y Barrancas (La Guajira), Departamento del Atlántico, Morales (Bolívar), Mitú (Vaupes)  , Prado (Tolima), Florida (Valle del Cauca), Puerto Santander (Noste de Santander), Viracacha (Boyacá), Apía y Dosquebradas (Risaralda)_x000a__x000a_"/>
    <b v="1"/>
    <s v="https://supersalud.sharepoint.com/:f:/s/DelegadaparaETyGRARdelSGSSS/EuYFJrLxoKNPh2HeC1xwyOAB8jJKpY_ujwoHyhVvaM2adA?e=CFDGfN"/>
    <s v="2025"/>
    <s v="Elemento"/>
    <s v="sites/PlanAnualdeGestin/Lists/REPORTE SEGUIMIENTO PAG"/>
  </r>
  <r>
    <s v="Delegatura para Operadores Logísticos de Tecnologías en Salud y Gestores Farmacéuticos"/>
    <x v="9"/>
    <x v="83"/>
    <s v="Realizar actividades de IVC a los Operadores Logísticos de Tecnologías en Salud y/o Gestores Farmacéuticos objeto de supervisión en el marco del proceso de operación"/>
    <s v="Actividades de IVC a los OLTS y/o GF objeto de supervisión en el marco del proceso de operación inicial de la Supervisión Basada en Riesgos"/>
    <s v="Número de actividades de IVC a los OLTS y/o GF objeto de supervisión en el marco del proceso de operación inicial de la Supervisión Basada en Riesgos"/>
    <s v="Numérica"/>
    <n v="2"/>
    <n v="2"/>
    <n v="2"/>
    <n v="1"/>
    <s v="​​​Se cumple con la programación de la actividad dado que se realizan (2) actividades de socialización y acompañamiento a las entidades vigiladas como punto de partida para la implementación de los sistemas de gestión de riesgos_x000a_"/>
    <b v="0"/>
    <m/>
    <s v="2025"/>
    <s v="Elemento"/>
    <s v="sites/PlanAnualdeGestin/Lists/REPORTE SEGUIMIENTO PAG"/>
  </r>
  <r>
    <s v="Delegatura para Operadores Logísticos de Tecnologías en Salud y Gestores Farmacéuticos"/>
    <x v="9"/>
    <x v="35"/>
    <s v="Realizar actividades de socialización, asistencia técnica, mesas de trabajo o acompañamiento a los actores del SGSSS respecto a la operación de los Gestores Farmacéuticos Gestores Farmacéuticos y/u Operadores Logísticos de Tecnologías en Salud"/>
    <s v="Actividades de socialización, asistencia técnica, mesas de trabajo o acompañamiento a los actores del SGSSS respecto a la operación de los GF y/u OLTS"/>
    <s v="Número de actividades de socialización, asistencia técnica, mesas de trabajo o acompañamiento a los actores del SGSSS respecto a la operación de los GF y/u OLTS"/>
    <s v="Numérica"/>
    <n v="1"/>
    <n v="1"/>
    <n v="1"/>
    <n v="1"/>
    <s v="Se cumple con la programación dado que se realiza (1) actividade de socialización sobre las funciones de la DOLTS-GF  y acompañamiento a los actores del SGSSS en la ciudad de Tunja  _x000a_"/>
    <b v="0"/>
    <m/>
    <s v="2025"/>
    <s v="Elemento"/>
    <s v="sites/PlanAnualdeGestin/Lists/REPORTE SEGUIMIENTO PAG"/>
  </r>
  <r>
    <s v="Delegatura para Operadores Logísticos de Tecnologías en Salud y Gestores Farmacéuticos"/>
    <x v="9"/>
    <x v="36"/>
    <s v="Realizar acompañamiento a las Direcciones Regionales en actividades de IVC a los Operadores Logísticos de Tecnologías en Salud y/o Gestores Farmacéuticos de su jurisdicción"/>
    <s v="Actividades de acompañamiento a las Direcciones Regionales en actividades de IVC a los Operadores Logísticos de Tecnologías en Salud y/o Gestores Farmacéuticos de su jurisdicción"/>
    <s v="Número de actividades de acompañamiento a las Direcciones Regionales en actividades de IVC a los Operadores Logísticos de Tecnologías en Salud y/o Gestores Farmacéuticos de su jurisdicción"/>
    <s v="Numérica"/>
    <n v="2"/>
    <n v="2"/>
    <n v="2"/>
    <n v="1"/>
    <s v="​Se cumple con la programación dado que se realizan (2) actividades de socialización y acompañamiento a las Direcciones Regionales en la ciudad de Bucaramanga y Santa Marta sobre las  funciones de la DOLTS-GF para efectos de supervisión de los GF_x000a_"/>
    <b v="0"/>
    <m/>
    <s v="2025"/>
    <s v="Elemento"/>
    <s v="sites/PlanAnualdeGestin/Lists/REPORTE SEGUIMIENTO PAG"/>
  </r>
  <r>
    <s v="Delegatura para Operadores Logísticos de Tecnologías en Salud y Gestores Farmacéuticos"/>
    <x v="9"/>
    <x v="2"/>
    <s v="Realizar auditorías a los Operadores Logísticos de Tecnologías en Salud y/o Gestores Farmacéuticos objeto de supervisión"/>
    <s v="Auditorías realizadas a los Operadores Logísticos de Tecnologías en Salud y/o Gestores Farmacéuticos"/>
    <s v="Número de auditorías realizadas a los Operadores Logísticos de Tecnologías en Salud y/o Gestores Farmacéuticos"/>
    <s v="Numérica"/>
    <n v="1"/>
    <n v="1"/>
    <n v="1"/>
    <n v="1"/>
    <s v="​​Se cumple con la programación de la actividad, dado que se realiza auditoría al Gestor Farmacéutico MARCAZSALUD ordenada mediante Auto No  2025600020001573-7 del 27 de octubre de 2025_x000a_"/>
    <b v="0"/>
    <m/>
    <s v="2025"/>
    <s v="Elemento"/>
    <s v="sites/PlanAnualdeGestin/Lists/REPORTE SEGUIMIENTO PAG"/>
  </r>
  <r>
    <s v="Dirección de Innovación y Desarrollo"/>
    <x v="9"/>
    <x v="104"/>
    <s v="Socializar, divulgar y brindar acompañamiento técnico para la implementación de instrumentos, guías, metodologías y lineamientos a nivel interno (nacional y regional) y externo (cuando aplique)."/>
    <s v="Jornadas de socialización y acompañamiento técnico de instrumentos, guías, metodologías y lineamientos durante la vigencia 2025"/>
    <s v="Número de jornadas de socializacion e implementación de instrumentos, guías, metodologías y lineamientos"/>
    <s v="Numérica"/>
    <n v="1"/>
    <n v="1"/>
    <n v="1"/>
    <n v="1"/>
    <s v="​Durante el mes de octubre se realizo visita tecnica a la  regional  Norte ( Barranquilla ) para realizar socializacion  del marco y de los modelos de supervision, en el marco del Plan de Fortalecimiento Institucional de la Estrategia  Territorial de la Dirección de Innovación y Desarrollo._x000a_"/>
    <b v="1"/>
    <s v="https://n9.cl/f4js5"/>
    <s v="2025"/>
    <s v="Elemento"/>
    <s v="sites/PlanAnualdeGestin/Lists/REPORTE SEGUIMIENTO PAG"/>
  </r>
  <r>
    <s v="Dirección Jurídica"/>
    <x v="9"/>
    <x v="3"/>
    <s v="Realizar actividades tendientes a la consolidación y publicación del boletín jurídico"/>
    <s v="Publicación trimestral del boletín jurídico en la página web de la Entidad"/>
    <s v="Número de boletines publicados en el periodo"/>
    <s v="Numérica"/>
    <n v="1"/>
    <n v="1"/>
    <n v="1"/>
    <n v="1"/>
    <s v="​Se realizó la publicación del boletin jurídico correspondiente al tercer trimestre de 2025, en el normograma de la Superintendencia Nacional de Salud: https://normograma.supersalud.gov.co/compilacion/boletines_juridicos_sns.html.,_x000a_"/>
    <b v="0"/>
    <m/>
    <s v="2025"/>
    <s v="Elemento"/>
    <s v="sites/PlanAnualdeGestin/Lists/REPORTE SEGUIMIENTO PAG"/>
  </r>
  <r>
    <s v="Dirección Jurídica"/>
    <x v="9"/>
    <x v="4"/>
    <s v="Ejecutar cronograma de actividades para la implementación y sostenibilidad de la política de gestión y desempeño de Mejora Normativa"/>
    <s v="Actividades ejecutadas en el cronograma de implementación y sostenibilidad de la política de gestión y desempeño de Mejora Normativa"/>
    <s v="Número de actividades ejecutadas en el cronograma de implementación y sostenibilidad de la política de gestión y desempeño de Mejora Normativa."/>
    <s v="Numérica"/>
    <n v="1"/>
    <n v="1"/>
    <n v="1"/>
    <n v="1"/>
    <s v="Para el mes de octubre se ejcutó actividades del cronograma de implementación y sostenibilidad de la política de gestión y desempeño de Mejora Normativa relacionadas con la elaboración del manual de mejora normativa:  Mesa de trabajo 23 de octubre de 2025 &quot;PRESENTACION VERSION FINAL MANUAL DE MEJORA NORMATIVA&quot; realizada en la Dirección Jurídica con la presencia de la Dirección de Innovación y Desarrollo con el acompañamiento de los enlaces de planeación. Mediante Memorando20251600100109193 de 30 de octubre de 2025 la Dirección Jurídica remitió el Manual de Mejora Normativa a la Oficina Asesora de Planeación para la respectiva gestión._x000a__x000a_"/>
    <b v="0"/>
    <m/>
    <s v="2025"/>
    <s v="Elemento"/>
    <s v="sites/PlanAnualdeGestin/Lists/REPORTE SEGUIMIENTO PAG"/>
  </r>
  <r>
    <s v="Oficina Asesora de Planeación"/>
    <x v="9"/>
    <x v="127"/>
    <s v="Realizar seguimiento a la implementación del Programa de Transaparencia y Etica Pública (Racionalización de Trámites, Integridad, Transparencia, Redes externas e Internas, Riesgos, Participación ciudadana) de acuerdo con los lineamientod definidos por la Secretaria de Transaparencia y Depto. Admitivo de Función Pública - DAFP"/>
    <s v="Porcentaje de avance en la ejecución del Programa de Transaparencia y Etica Publica"/>
    <s v="(Número de actividades ejecutadas en el periodo / Número de actividades programadas en el cronograma del Programa de Transaparencia y Etica Publica"/>
    <s v="Porcentual"/>
    <n v="0.3"/>
    <n v="39"/>
    <n v="73"/>
    <n v="0.534246575342466"/>
    <s v="La Oficina Asesora de Planeación, mediante el memorando N.º 20251200000102373, solicitó el reporte de monitoreo de las actividades contempladas en la versión actual de los cronogramas del Programa de Transparencia y Ética Pública, con el objetivo de identificar oportunidades de mejora en su formulación o la necesidad de incluir nuevas acciones._x000a_Este ejercicio de monitoreo abarca exclusivamente las actividades desarrolladas durante la vigencia actual, hasta el 30 de septiembre de 2025, en concordancia con lo establecido en la Circular CIR25-00000026 de 2025.Resultados del monitoreo_x000a_De las 73 actividades planteadas en el plan, distribuidas en los diferentes componentes:39 se cumplieron (algunas con cumplimiento trimestral continuo).4 presentan cumplimiento parcial.10 no se cumplieron.20 no estaban programadas para ejecutarse en el periodo evaluado, ya que tienen fechas previstas para el último trimestre de 2025._x000a__x000a_"/>
    <b v="0"/>
    <m/>
    <s v="2025"/>
    <s v="Elemento"/>
    <s v="sites/PlanAnualdeGestin/Lists/REPORTE SEGUIMIENTO PAG"/>
  </r>
  <r>
    <s v="Secretaria General"/>
    <x v="9"/>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259"/>
    <n v="259"/>
    <n v="1"/>
    <s v="​Durante el mes de Octubre, se gestionaron  259 cuentas que fueron radicadas en los tiempos estipulados de acuerdo con la Circular Interna 2022920020000026-4 de 2022,asi mismo, los documentos radicados despues del dia 25 calendario se tramitaron en el siguiente mes. Por lo cual, se cumplió con la meta del indicador del 100%, (259/259) habiendo gestionado la totalidad de las cuentas radicadas con un tiempo de gestión de 2,2 dias hábiles. Se adjunta base con relación de cuentas radicadas y gestionadas, asi como el reporte del indicador con la correspondiente gráfica._x000a_"/>
    <b v="0"/>
    <m/>
    <s v="2025"/>
    <s v="Elemento"/>
    <s v="sites/PlanAnualdeGestin/Lists/REPORTE SEGUIMIENTO PAG"/>
  </r>
  <r>
    <s v="Secretaria General"/>
    <x v="9"/>
    <x v="6"/>
    <s v="Evaluar y/o calificar los asuntos (NRCD) sobre los cuales se adopte decisión de Inhibitorio, Remisión por Competencia, Indagación Previa y/o Investigación Disciplinaria en etapa de instrucción en el orden en que hayan ingresado a la Oficina de Control Disciplinario Interno, salvo prelación legal o urgencia manifiesta."/>
    <s v="Porcentaje de asuntos (NRCD) sobre los cuales se adopte decisión en la Oficina de Control Disciplinario Interno en etapa de instrucción"/>
    <s v="(Número de asuntos (NRCD) con decisión adoptada en el período/Número total de asuntos (NRCD) recibidos) * 100"/>
    <s v="Porcentual"/>
    <n v="0.75"/>
    <n v="29"/>
    <n v="29"/>
    <n v="1"/>
    <s v="De las (29) noticias disciplinarias (Quejas, informe de servidor público o de oficio) recibidas en el quinto bimestre de 2025 (septiembre – octubre de 2025), se adelantaron las siguientes actuaciones: 10 (34,5%) Aperturas de Indagación Previa; 10 (34,5%) Autos Inhibitorios; 5 (17,2%) Traslados por competencia; 3 (10,3%) Aperturas de Investigación Disciplinaria y 1 (3,4%) Autos de Archivo, profiriendo igual número de autos por el Coordinador del Grupo de Instrucción Disciplinaria en el periodo:_x000a_ _x000a_Tipo Noticia/ Auto_x000a_ _x000a_De Oficio_x000a_ Informe de Servidor PúblicoQuejaTotal, Noticias V Bimestre 2025Auto de Indagación Previa 6410Auto Inhibitorio15410Auto Apertura de Investigación 213Auto Traslado por Competencia 325Auto de Archivo 1 4V Bimestre (septiembre – octubre) 2025, Total1171129"/>
    <b v="1"/>
    <s v="https://supersalud.sharepoint.com/:f:/r/sites/luisalberto/Documentos%20compartidos/Gesti%C3%B3n_OCDI_2025/Indicadores_PAG_2025/AC05_Noticias_Disciplinarias/V%20Bimestre%202025?csf=1&amp;web=1&amp;e=eMJAdH"/>
    <s v="2025"/>
    <s v="Elemento"/>
    <s v="sites/PlanAnualdeGestin/Lists/REPORTE SEGUIMIENTO PAG"/>
  </r>
  <r>
    <s v="Delegatura para Entidades Territoriales y Generadores y Recaudadores y Administradores de Recursos del SGSSS"/>
    <x v="10"/>
    <x v="20"/>
    <s v="Realizar seguimiento y verificación de las auditorias realizadas"/>
    <s v="Seguimientos a las auditorías de Inspección y Vigilancia Realizadas"/>
    <s v="Numero de Seguimientos realizados"/>
    <s v="Numérica"/>
    <n v="3"/>
    <n v="8"/>
    <n v="3"/>
    <n v="2.6666666666666701"/>
    <s v="​Se obtuvo para el periodo de reporte una sobre ejecución ya que se realizaron más seguimientos de los que inicialmente se habían identificado, lo que demuestra la capacidad oparativa de la Delegada para Entidades Territoriales y Generadores, Recaudadores y Administradores de Recursos del SGSSS._x000a__x000a_Durante noviembre se realizaron 8 seguimientos los cuales se listan a continuación:_x000a__x000a_- Se realizó el cierre de la auditoría de Dabeiba (antioquia). _x000a__x000a_- Se realizó aprobación plan de mejoramiento auditoría municipio de Arjona                                         ------ Se realizó la tercera evaluacion del plan de mejoramiento de la auditoria realizada en el Municipio de Puerto Carreño - Vichada _x000a_- Se oficializó la no aprobación del Plan Mejoramiento auditoria Quípama._x000a_-Se oficializó la no aprobación del Plan Mejoramiento auditoría Viracachá_x000a_-Se realizó la segunda evalucación al PM Auditoría Poblaciones Especiales Secretaría Departamental de Salud de Santander el 10/11/2025_x000a__x000a_-Se realizó la segunda revisión y aprobación del PM de Auditoría Poblaciones Especiales Secretaría Departamental de Salud de Caldas el 25/11/2025._x000a_-Se avanzó en el Plan de mejoramiento DIVGRA - auditoria Gobernación de la Guajira:_x000a__x000a_20 hallazgos: (1 abierto, 10 en Ejecución, 9 Cerrados)_x000a__x000a__x000a_"/>
    <b v="1"/>
    <s v="https://supersalud.sharepoint.com/:f:/s/DelegadaparaETyGRARdelSGSSS/IgAeSLppqw8KQo-2-_cJX_0SAYivH6_Ru5VV_rKDTxw52j0?e=P6mjIK"/>
    <s v="2025"/>
    <s v="Elemento"/>
    <s v="sites/PlanAnualdeGestin/Lists/REPORTE SEGUIMIENTO PAG"/>
  </r>
  <r>
    <s v="Delegatura para Entidades Territoriales y Generadores y Recaudadores y Administradores de Recursos del SGSSS"/>
    <x v="10"/>
    <x v="27"/>
    <s v="Realizar Mesas de Gobernanza desde las direcciones regionales"/>
    <s v="Mesas de Gobernanza realizadas en las direcciones regionales."/>
    <s v="Mesas de Gobernanza Realizadas"/>
    <s v="Numérica"/>
    <n v="1"/>
    <n v="17"/>
    <n v="1"/>
    <n v="17"/>
    <s v="​El sobre cumplimiento se debe a que hubo un rezago en el primer semestre el cual se esta subsanando en este periodo de reporte, junto con el cumplimiento del aumento de la meta solicitado  por la Delegada a la OAP._x000a__x000a_Para el periodo de reporte, se realizaron 11 mesas de Gobernanza en los siguientes municipios: _x000a__x000a__x000a__x000a_1. Socha- Departamento de Boyacá (Noviembre)_x000a__x000a_2. Quibdo- Departamento del Chocó (Octubre)_x000a__x000a_3. Lloró- Departamento del Chocó (Noviembre)_x000a__x000a_4. Suan- Departamento del Atlántico (Noviembre)_x000a__x000a_5. Acevedo- Departamento del Huila (Octubre)_x000a__x000a_6. Guapi- Departamento del Cauca (Julio)_x000a__x000a_7. Becerril- Departamento del Cesar (Septiembre)_x000a__x000a_8. Fonseca- La Guajira (Agosto)_x000a_9. Salamina- Departamento del Magdalena (Septiembre)_x000a__x000a_10. Pueblo Viejo-  Departamento del Magdalena (Septiembre)_x000a__x000a_11.Remolino-  Departamento del Magdalena (Agosto)_x000a__x000a__x000a__x000a_Por su parte la Dirección de Inspección y Vigilancia para Generadores, Recaudadores y Administradores de Recursos del SGSSS, realizó 6 mesas de gobernanza sobre rentas cedidas en los siguientes departamentos:_x000a__x000a__x000a__x000a_1. Departamento de La Guajira y Cesar_x000a_2. Departamento Tolima y Caquetá_x000a_3. Departamento de Arauca_x000a_4. Departamento de Vaupés_x000a_5. Departamento de Guaviare_x000a_6. Departamento de Nariño_x000a__x000a__x000a__x000a_3 se realizaron en agosto, 1 en septiembre y 2 en noviembre. _x000a__x000a__x000a_Con lo anterior se da por cumplida la meta para la presente vigencia._x000a__x000a__x000a__x000a__x000a__x000a_"/>
    <b v="1"/>
    <s v="https://supersalud.sharepoint.com/:f:/s/DelegadaparaETyGRARdelSGSSS/IgDsyz_Xc3rnTaflYh6f512xAXZCGpoQW-I3phsaOr9O_Rk?e=yLDBf3"/>
    <s v="2025"/>
    <s v="Elemento"/>
    <s v="sites/PlanAnualdeGestin/Lists/REPORTE SEGUIMIENTO PAG"/>
  </r>
  <r>
    <s v="Delegatura para Operadores Logísticos de Tecnologías en Salud y Gestores Farmacéuticos"/>
    <x v="10"/>
    <x v="2"/>
    <s v="Realizar auditorías a los Operadores Logísticos de Tecnologías en Salud y/o Gestores Farmacéuticos objeto de supervisión"/>
    <s v="Auditorías realizadas a los Operadores Logísticos de Tecnologías en Salud y/o Gestores Farmacéuticos"/>
    <s v="Número de auditorías realizadas a los Operadores Logísticos de Tecnologías en Salud y/o Gestores Farmacéuticos"/>
    <s v="Numérica"/>
    <n v="1"/>
    <n v="1"/>
    <n v="1"/>
    <n v="1"/>
    <s v="​​​Se cumple con la programación de la actividad, dado que se realiza auditoría integral al Gestor Farmacéutico INSERCOP ordenada mediante Auto No 2025600020001799-7 del 25 de noviembre de 2025_x000a_"/>
    <b v="0"/>
    <m/>
    <s v="2025"/>
    <s v="Elemento"/>
    <s v="sites/PlanAnualdeGestin/Lists/REPORTE SEGUIMIENTO PAG"/>
  </r>
  <r>
    <s v="Delegatura para Operadores Logísticos de Tecnologías en Salud y Gestores Farmacéuticos"/>
    <x v="10"/>
    <x v="35"/>
    <s v="Realizar actividades de socialización, asistencia técnica, mesas de trabajo o acompañamiento a los actores del SGSSS respecto a la operación de los Gestores Farmacéuticos Gestores Farmacéuticos y/u Operadores Logísticos de Tecnologías en Salud"/>
    <s v="Actividades de socialización, asistencia técnica, mesas de trabajo o acompañamiento a los actores del SGSSS respecto a la operación de los GF y/u OLTS"/>
    <s v="Número de actividades de socialización, asistencia técnica, mesas de trabajo o acompañamiento a los actores del SGSSS respecto a la operación de los GF y/u OLTS"/>
    <s v="Numérica"/>
    <n v="1"/>
    <n v="1"/>
    <n v="1"/>
    <n v="1"/>
    <s v="​Se cumple con la programación dado que se realiza (1) actividad de socialización sobre las funciones de la DOLTS-GF  y acompañamiento a los actores del SGSSS en la ciudad de Medellin._x000a_"/>
    <b v="0"/>
    <m/>
    <s v="2025"/>
    <s v="Elemento"/>
    <s v="sites/PlanAnualdeGestin/Lists/REPORTE SEGUIMIENTO PAG"/>
  </r>
  <r>
    <s v="Delegatura para Operadores Logísticos de Tecnologías en Salud y Gestores Farmacéuticos"/>
    <x v="10"/>
    <x v="36"/>
    <s v="Realizar acompañamiento a las Direcciones Regionales en actividades de IVC a los Operadores Logísticos de Tecnologías en Salud y/o Gestores Farmacéuticos de su jurisdicción"/>
    <s v="Actividades de acompañamiento a las Direcciones Regionales en actividades de IVC a los Operadores Logísticos de Tecnologías en Salud y/o Gestores Farmacéuticos de su jurisdicción"/>
    <s v="Número de actividades de acompañamiento a las Direcciones Regionales en actividades de IVC a los Operadores Logísticos de Tecnologías en Salud y/o Gestores Farmacéuticos de su jurisdicción"/>
    <s v="Numérica"/>
    <n v="2"/>
    <n v="2"/>
    <n v="2"/>
    <n v="1"/>
    <s v="_x000a_ Se cumple con la programación dado que se realizan (2) actividades de socialización y acompañamiento a las Direcciones Regionales en la ciudad de Medellin y Cali sobre las  funciones de la DOLTS-GF y Circular 9-5 de 2025_x000a__x000a_"/>
    <b v="0"/>
    <m/>
    <s v="2025"/>
    <s v="Elemento"/>
    <s v="sites/PlanAnualdeGestin/Lists/REPORTE SEGUIMIENTO PAG"/>
  </r>
  <r>
    <s v="Delegatura para Operadores Logísticos de Tecnologías en Salud y Gestores Farmacéuticos"/>
    <x v="10"/>
    <x v="91"/>
    <s v="Caracterizar a los nuevos Gestores Farmacéuticos identificados en los años 2023 y 2024 respecto del componente financiero."/>
    <s v="Caracterización individual de los nuevos Gestores Farmacéuticos identificados por la Dirección de Innovación y Desarrollo los años 2023 y 2024,respecto del componente financiero."/>
    <s v="Número de caracterizaciones realizadas a los Gestores Farmacéuticos Identificados respecto del componente financiero."/>
    <s v="Numérica"/>
    <n v="32"/>
    <n v="32"/>
    <n v="32"/>
    <n v="1"/>
    <s v="​Se cumple con el indicador dado que se realiza la Caracterización individual de los Gestores Farmacéuticos respecto del componente financiero (32)_x000a_"/>
    <b v="0"/>
    <m/>
    <s v="2025"/>
    <s v="Elemento"/>
    <s v="sites/PlanAnualdeGestin/Lists/REPORTE SEGUIMIENTO PAG"/>
  </r>
  <r>
    <s v="Delegatura Prestadores de Servicios en Salud"/>
    <x v="10"/>
    <x v="128"/>
    <s v="Establecer lineamientos para las Entidades de Salud del Estado (E.S.E.) con el fin de promover la formalización laboral y acciones orientadas a la atención en salud con un enfoque diferencial."/>
    <s v="Porcentaje de avance en la formulación de los lineamientos y monitoreo a las E.S.E de las acciones tendientes a la formalización laboral y atención en salud con enfoque diferencia."/>
    <s v="Numero de hitos en la formulación de lineamientos y monitoreos a las E.S.E / Numero de hitos o acciones programadas."/>
    <s v="Porcentual"/>
    <n v="0.2"/>
    <n v="11"/>
    <n v="11"/>
    <n v="1"/>
    <s v="En el periodo reportado correspondiente al segundo trimestre de 2025, se ejecutaron 11 acciones, dando como resultado un cumplimiento del 100% frente a la meta pogramada. De acuerdo con lo anterior, el indicador se encuentra en un rango bueno, la tendencia del indicador es ascendente lo que refleja una mejora, este resultado se debe a que la Dirección de Medidas Especiales para Prestadores de Servicios en Salud, ha gestionado la implementación del lineamiento de enfoque diferencial y el plan de trabajo de formalización laboral por parte de las Entidades de Salud del Estado (E.S.E.) en medida especial._x000a__x000a__x000a__x000a_ _x000a_Este resultado permitió que 11 entidades que actualmente se encuentran en medida dieran inicio a la implementacion y adopción de los lineamientos de formalización laboral y de la atención en salud con enfoque diferencial para el II trimestre de la vigencia 2025, por lo cual no se requieren ajustes por el momento, pero se recomienda realizar seguimiento para que estos vigilados continuen con la implementación de las acciones que a la fecha de corte se encuentran de la siguiente manera:_x000a__x000a__x000a__x000a_Para el indicador de Enfoque Diferencial , 8 entidades estan en etapa de medicion y 3 se encuentran en etapa de parametrizacion del sistema para el reporte de datos. Para el indicador de Formalizacion Laboral, las entidades avanzan segun su plan y sus correspondientes fases estimadas._x000a_"/>
    <b v="1"/>
    <s v="https://supersalud.sharepoint.com/:f:/s/Delegada_Prestadores_Servicios_Salud/IgDa6fyyPJOSR7WTlVL8cluGAVsiJMx_eIJUrHoo5ov9TT4?e=oJRa1r"/>
    <s v="2025"/>
    <s v="Elemento"/>
    <s v="sites/PlanAnualdeGestin/Lists/REPORTE SEGUIMIENTO PAG"/>
  </r>
  <r>
    <s v="Dirección de Innovación y Desarrollo"/>
    <x v="10"/>
    <x v="104"/>
    <s v="Socializar, divulgar y brindar acompañamiento técnico para la implementación de instrumentos, guías, metodologías y lineamientos a nivel interno (nacional y regional) y externo (cuando aplique)."/>
    <s v="Jornadas de socialización y acompañamiento técnico de instrumentos, guías, metodologías y lineamientos durante la vigencia 2025"/>
    <s v="Número de jornadas de socializacion e implementación de instrumentos, guías, metodologías y lineamientos"/>
    <s v="Numérica"/>
    <n v="1"/>
    <n v="1"/>
    <n v="1"/>
    <n v="1"/>
    <s v="​​Durante el mes de noviembre se realizo visita tecnica a las regionales de Barranquilla Riohacha, Quibdó y San Andrés para realizar socializacion  del marco y de los modelos de supervision, en el marco del Plan de Fortalecimiento Institucional de la Estrategia  Territorial de la Dirección de Innovación y Desarrollo. Y a la regional de Cali a socializar la Circular Externa 2025151000000009-5 de 2025 para efectos de supervisión como punto de partida para la implementación de los sistemas de gestión de riesgos. _x000a_"/>
    <b v="1"/>
    <s v="https://n9.cl/98q30"/>
    <s v="2025"/>
    <s v="Elemento"/>
    <s v="sites/PlanAnualdeGestin/Lists/REPORTE SEGUIMIENTO PAG"/>
  </r>
  <r>
    <s v="Oficina Asesora de Planeación"/>
    <x v="10"/>
    <x v="5"/>
    <s v="Liderar el cumplimiento de metas y compromisos del Plan Estratégico Institucional y Plan Anual de Gestión."/>
    <s v="Porcentaje de avance en el cumplimiento de actividades formuladas en PEI y PAG"/>
    <s v="(Número de actividades realizadas / Número de actividades formuladas en los planes)*100"/>
    <s v="Porcentual"/>
    <n v="0.98"/>
    <n v="0.94399999999999995"/>
    <n v="1"/>
    <n v="0.94399999999999995"/>
    <s v="​De los 89 indicadores suceptibes de reporte en el tercer trimestre de 2025, 84 de ellos cumplieron la meta a la superaron para el periodo, lo que indica un cumplimiento del 94.4%. _x000a__x000a_Es importante indicar que durante este periodo se presento la transición de personal, con el ingreso de los funcionarios de concurso, lo que por curva de aprendizaje impacto directamente en los resultados, sin embargo se vienen adelantando capacitaciones para concientizar al personal de la importancia del reporte oportuno de las actividades realizadas para el logro de los objetivos propuestos en el PAG 2025._x000a_"/>
    <b v="0"/>
    <m/>
    <s v="2025"/>
    <s v="Elemento"/>
    <s v="sites/PlanAnualdeGestin/Lists/REPORTE SEGUIMIENTO PAG"/>
  </r>
  <r>
    <s v="Oficina de Liquidaciones"/>
    <x v="10"/>
    <x v="79"/>
    <s v="Realizar las acciones para el seguimiento y monitoreo a los vigilados de las liquidaciones Ordenadas por la Superintendencia Nacional de Salud"/>
    <s v="Visitas de seguimiento de las liquidaciones Ordenadas por la Superintendencia Nacional de Salud"/>
    <s v="Número de visitas generadas por la adopción, seguimiento y monitoreo a vigilados en proceso de liquidación en el periodo"/>
    <s v="Numérica"/>
    <n v="7"/>
    <n v="9"/>
    <n v="9"/>
    <n v="1"/>
    <s v="​Se logro la cobertura de los sujetos vigilados mediante visitas de seguimiento y monitoreo cimpliendo con el 100% _x000a_"/>
    <b v="0"/>
    <m/>
    <s v="2025"/>
    <s v="Elemento"/>
    <s v="sites/PlanAnualdeGestin/Lists/REPORTE SEGUIMIENTO PAG"/>
  </r>
  <r>
    <s v="Oficina de Liquidaciones"/>
    <x v="10"/>
    <x v="113"/>
    <s v="Realizar las acciones para el seguimiento y monitoreo a las vigilados de las liquidaciones no Ordenadas por la Superintendencia Nacional de Salud"/>
    <s v="Visitas de seguimiento de las liquidaciones No Ordenadas por la Superintendencia Nacional de Salud."/>
    <s v="Número de visitas generadas por la adopción, seguimiento y monitoreo a vigilados en proceso de liquidación en el periodo"/>
    <s v="Numérica"/>
    <n v="2"/>
    <n v="3"/>
    <n v="3"/>
    <n v="1"/>
    <s v="​Mediante visita de Seguimiento t monitoreo se logro la cobertura del 100% de las entidades programadas a vigilados no ordenados por la SNS _x000a_"/>
    <b v="0"/>
    <m/>
    <s v="2025"/>
    <s v="Elemento"/>
    <s v="sites/PlanAnualdeGestin/Lists/REPORTE SEGUIMIENTO PAG"/>
  </r>
  <r>
    <s v="Secretaria General"/>
    <x v="10"/>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302"/>
    <n v="302"/>
    <n v="1"/>
    <s v="​Durante el mes de Noviembre, se gestionaron  302 cuentas que fueron radicadas en los tiempos estipulados de acuerdo con la Circular Interna 2022920020000026-4 de 2022, asi mismo, los documentos radicados despúes del dia 25 calendario se tramitaron en el siguiente mes. Por lo cual, se cumplió con la meta del indicador del 100%, (302/302) habiendo gestionado la totalidad de las cuentas radicadas con un tiempo de gestión de 1,9 dias hábiles. Se adjunta base con relación de cuentas radicadas y gestionadas, asi como el reporte del indicador con la correspondiente gráfica._x000a_"/>
    <b v="0"/>
    <m/>
    <s v="2025"/>
    <s v="Elemento"/>
    <s v="sites/PlanAnualdeGestin/Lists/REPORTE SEGUIMIENTO PAG"/>
  </r>
  <r>
    <s v="Delegatura de Investigaciones Administrativas"/>
    <x v="11"/>
    <x v="8"/>
    <s v="Expedir los actos administrativos de la DIA en el marco del proceso administrativo sancionatorio"/>
    <s v="Número de actos administrativos expedidos"/>
    <s v="Número de actos administrativos expedidos"/>
    <s v="Numérica"/>
    <n v="1"/>
    <n v="644"/>
    <n v="212"/>
    <n v="3.0377358490566038"/>
    <s v="​Indicador a demanda, en donde se concluye que se expidieron 318 actos administrativos en el trimestre y el número de solicitudes de investigación aceptadas fueron 147 en total _x000a_"/>
    <b v="0"/>
    <m/>
    <s v="2025"/>
    <s v="Elemento"/>
    <s v="sites/PlanAnualdeGestin/Lists/REPORTE SEGUIMIENTO PAG"/>
  </r>
  <r>
    <s v="Delegatura de Investigaciones Administrativas"/>
    <x v="11"/>
    <x v="9"/>
    <s v="Gestionar con decisión de fondo (sanción, cierre y archivo y caducidad) las investigaciones administrativas con riesgo de caducidad 2025"/>
    <s v="Porcentaje de  decisión de fondo de  las investigaciones administrativas con riesgo de caducidad 2025 y primer trimestre de 2026"/>
    <s v="(Número de investigaciones administrativas con riesgo de caducidad 2025, que hayan sido objeto de decisión dentro del trimestre de reporte / Número de investigaciones con caducidad 2025 y primer trimestre de 2026)*100"/>
    <s v="Porcentual"/>
    <n v="0.25"/>
    <n v="41"/>
    <n v="441"/>
    <n v="9.297052154195011E-2"/>
    <s v="Para 2025 se identificaron 441 procesos administrativos con riesgo de caducidad 2025 , en el primer trimestre se reportaron como expedidas 166 decisiones equivalentes al 37.6%_x000a_Para el segundo trimestre de 2025 se profirieron 136 decisiones con riesgo 2025 equivalente al 30,83%_x000a__x000a_para el tercer trimestre se profirieron 97 decisiones con riesgos 2025 equivalente al 22% _x000a_y para el cuarto trimestre se profieron 41 decisiones con riesgo 2025 equivalente al 9,5% _x000a_Por lo anterior se entiende que para el 31 de diciembre de 2025 se ha realizado un avance del  99,5% , dando cumplimiento al indicador _x000a__x000a__x000a_"/>
    <b v="0"/>
    <m/>
    <s v="2025"/>
    <s v="Elemento"/>
    <s v="sites/PlanAnualdeGestin/Lists/REPORTE SEGUIMIENTO PAG"/>
  </r>
  <r>
    <s v="Delegatura de Investigaciones Administrativas"/>
    <x v="11"/>
    <x v="10"/>
    <s v="Gestionar las solicitudes de investigación, procesos en trámite, decisiones, recursos y demás actos relacionados con los procesos administrativos sancionatorios con riesgo de caducidad, relacionados con las vigencias 2025-2029."/>
    <s v="Ejecución presupuestal de recursos solicitados y asignados para el presupuesto para el Mejoramiento en la ejecución de las acciones de supervisión y control frente a la gestión en el SGSSS de los vigilados de la Supersalud Nacional"/>
    <s v="Obligaciones totales/ Apropiación total asignada"/>
    <s v="Porcentual"/>
    <n v="0.25"/>
    <n v="724231179"/>
    <n v="724431179"/>
    <n v="1.00027615491545"/>
    <s v="​Total por rubro de INVERSIÓN $ 724.431.179 _x000a__x000a_Total, ejecución acumulada:   = $724.231.179 a corte 31 Diciembre 2025_x000a__x000a_Teniendo en cuenta la información suministrada por la Dra Camila Andrea Mejia Tovar, encargada de proyectos de inversion financiera de la Delegatura, informa que el CDP, es por $724.431.179, y  para el ultimo trimestre de Diciembre 2025 se ejecuto un valor de $724.231.179, lo cual corresponde al 99,97% del cumplimiento de este indicador. _x000a__x000a_"/>
    <b v="0"/>
    <m/>
    <s v="2025"/>
    <s v="Elemento"/>
    <s v="sites/PlanAnualdeGestin/Lists/REPORTE SEGUIMIENTO PAG"/>
  </r>
  <r>
    <s v="Delegatura de Investigaciones Administrativas"/>
    <x v="11"/>
    <x v="85"/>
    <s v="Determinar las solcitudes de investagaciones aceptadasque cumplen con los lineamientos establecidos en los Ans del proceso de la delegada."/>
    <s v="Porcentaje de solicitudes de investigación aceptadas tras cumplir ANS"/>
    <s v="(Número de solicitudes de investigación aceptadas) / Número de solicitudes de investigación recibidas  en el semestre de reporte)*100"/>
    <s v="Porcentual_x000a_"/>
    <n v="1"/>
    <n v="143"/>
    <n v="222"/>
    <n v="0.644144144144144"/>
    <s v="​Indicador a demanda, _x000a__x000a_Solicitudes aceptadas por ANS: 143 en el semestre_x000a__x000a_Solicitudes recibidas en el semestre 222, _x000a__x000a_Ante el porcentaje de devoluciones a las areas proveedoras, durante el ultimo trimestre 2025 se adelantaron mesas de actualizacion de ANS con todos los proveedores del proceso administrativo sancionatorio, en donde se recordaron acuerdos y areas y se resolvieron dudas, con el fin de reducir estas devoluciones a la luz de los acuerdos de nivel de servicio. _x000a_"/>
    <b v="1"/>
    <s v="https://supersalud-my.sharepoint.com/my?id=%2Fpersonal%2Fnixon%5Fgil%5Fsupersalud%5Fgov%5Fco%2FDocuments%2FSOLICITUDES%20DE%20INVESTIGACION&amp;viewid=5613f640%2D5d8a%2D4de1%2Db97e%2Dfa24ee80b93e&amp;login_hint=Nixon%2EGil%40supersalud%2Egov%2Eco&amp;source=waffle"/>
    <s v="2025"/>
    <s v="Elemento"/>
    <s v="sites/PlanAnualdeGestin/Lists/REPORTE SEGUIMIENTO PAG"/>
  </r>
  <r>
    <s v="Delegatura Entidades Aseguramiento en Salud"/>
    <x v="11"/>
    <x v="15"/>
    <s v="Resolver o gestionar las solicitudes de los vigilados en los tiempos establecidos en el proceso"/>
    <s v="Emitir los estudios de viabilidad o recomendación al Superintendente en 140 días o menos, a partir de la completitud de la información radicada por la entidad solicitante"/>
    <s v="(Cantidad de trámites con estudio de viabilidad o recomendación gestionados en 140 días o menos / Total de trámites gestionados en el periodo)*100"/>
    <s v="Porcentual"/>
    <n v="0.85"/>
    <n v="5"/>
    <n v="5"/>
    <n v="1"/>
    <s v="​_x000a_Durante el cuarto trimestre de 2025, se finalizaron 5 trámites de los cuales 5 fueron gestionados con estudio de viabilidad o recomendación en 140 días o menos, cumpliendo así con el 100 % de la meta programada._x000a_Para la vigencia 2025 se cumplió con la meta propuesta para este indicador, sin embargo, se presentan casos en los que no se puede cumplir con el termino estipulado por cambios de los directivos o de personal, así como en la revisión de otras dependencias. Por lo que es necesario buscar alternativas que permitan que no se afecten los tiempos para dar gestión a los trámites radicados por los vigiados._x000a__x000a__x000a_"/>
    <b v="0"/>
    <m/>
    <s v="2025"/>
    <s v="Elemento"/>
    <s v="sites/PlanAnualdeGestin/Lists/REPORTE SEGUIMIENTO PAG"/>
  </r>
  <r>
    <s v="Delegatura Entidades Aseguramiento en Salud"/>
    <x v="11"/>
    <x v="13"/>
    <s v="Realizar el seguimiento a las Entidades sujetas a vigilancia de la Delegada de Entidades de Aseguramiento en Salud - EAS y auxiliares de justicia"/>
    <s v="Seguimiento y monitoreo a entidades en medida de vigilancia."/>
    <s v="Numero de seguimientos en campo a las entidades en medida especial"/>
    <s v="Numérica"/>
    <n v="5"/>
    <n v="5"/>
    <n v="5"/>
    <n v="1"/>
    <s v="​_x000a_Para el cuarto trimestre se realizó seguimiento a 5 de las 10 EPS que actualmente se encuentran en medida especial, cumpliendo así con el 100% del indicador._x000a_Para la vigencia 2025 se cumplió con la meta propuesta para este indicador, no se presentaron inconvenientes para el cumplimiento del indicador, sin embargo, teniendo en cuenta el cambio de personal se considera importante fortalecer las competencias de los nuevos funcionarios._x000a__x000a__x000a_"/>
    <b v="0"/>
    <m/>
    <s v="2025"/>
    <s v="Elemento"/>
    <s v="sites/PlanAnualdeGestin/Lists/REPORTE SEGUIMIENTO PAG"/>
  </r>
  <r>
    <s v="Delegatura Entidades Aseguramiento en Salud"/>
    <x v="11"/>
    <x v="12"/>
    <s v="Realizar seguimiento a las EPS a las entidades bajo medida y a la gestión de los agentes interventores y contralores designados por la Superintendencia Nacional de Salud."/>
    <s v="Porcentaje de avance en la actualización de la información de las fichas productos de los seguimientos"/>
    <s v="Fichas técnicas con información actualizadas / Número de entidades en medida*100"/>
    <s v="Porcentual"/>
    <n v="0.85"/>
    <n v="30"/>
    <n v="30"/>
    <n v="1"/>
    <s v="​Durante el IV trimestre de 2025 se realizó la actualización de las fichas de las 10 eps que actualmente se encuentran en medida especial, se reportan las fichas con corte a agosto, septiembre y octubre de 2025 para un total de 30 fichas en el trimestre. Se indica que las fichas a corte de noviembre de 2025, no se pudieron realizar debido al cambio de interventores, lo que ha ocasionado demoras en el reporte de los indicadores fénix, los cuales tambien hacen parte de la informacion relacionada en la ficha de seguimiento._x000a__x000a_Para la vigencia 2025, se presentaron dificultades para el cumplimiento de este indicador dado el alto volumen de requerimientos por partes del congreso entes de control, lo que demanda la atención de los profesionales a cargo del seguimiento de las EPS._x000a_"/>
    <b v="0"/>
    <m/>
    <s v="2025"/>
    <s v="Elemento"/>
    <s v="sites/PlanAnualdeGestin/Lists/REPORTE SEGUIMIENTO PAG"/>
  </r>
  <r>
    <s v="Delegatura Entidades Aseguramiento en Salud"/>
    <x v="11"/>
    <x v="11"/>
    <s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
    <s v="Auditorias realizadas a las entidades de aseguramiento en salud y otras entidades de aseguramiento"/>
    <s v="Número de auditorías ejecutadas / Número total de auditorías proyectadas en el periodo de acuerdo con el Programa Anual de Auditorías de la Delegada."/>
    <s v="Porcentual"/>
    <n v="0.85"/>
    <n v="9"/>
    <n v="9"/>
    <n v="1"/>
    <s v="​Para el IV trimestre se realizaron 9 auditorias de las 9 proyectadas para el trimestre, cumpliendo con el 100% de las auditorias proyectadas. Superando la meta del 85% proyectada._x000a__x000a_Para la vigencia 2025 se presentaron dificultades al inicio de la vigencia debido a la falta de tiquetes, situación que afecto el cumplimiento de este indicador en el primer trimestre, se sugiere proyectar este tipo contratos con vigencias futuras a fin de no afectar las acciones de Inspección y Vigilancia proyectadas desde esta dependencia_x000a_"/>
    <b v="0"/>
    <m/>
    <s v="2025"/>
    <s v="Elemento"/>
    <s v="sites/PlanAnualdeGestin/Lists/REPORTE SEGUIMIENTO PAG"/>
  </r>
  <r>
    <s v="Delegatura Entidades Aseguramiento en Salud"/>
    <x v="11"/>
    <x v="14"/>
    <s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
    <s v="Porcentaje de EPS y otras EAS con acciones de Inspección y vigilancia por parte de la Delegada de EAS"/>
    <s v="(mediana de los porcentajes de cobertura (# de vigilados a los que se efectúo la acción de IV / # de vigilados objeto o susceptibles de la acción))"/>
    <s v="Porcentual"/>
    <n v="0.8"/>
    <n v="0.76"/>
    <n v="1"/>
    <n v="0.76"/>
    <s v="​Una vez realizada la consolidación de las actividades de IV desarrolladas por los grupos internos de trabajo se indica que el cumplimiento del indicador para el cuarto trimestre correspondiente al 76 %., es decir se realizaron acciones de IV al 76% de los vigilados_x000a__x000a_Se aclara que cada grupo tienen diferentes tipos de vigilados por lo que el total de vigilados no son objeto de acciones de IV por todos los grupos internos de trabajo._x000a__x000a__x000a__x000a_Para el IV trimestre no se alcanzo la meta programada, dado que se debio priorizar las auditorias, sumado al cambio de directivos y personal de planta_x000a_"/>
    <b v="1"/>
    <s v="https://supersalud-my.sharepoint.com/:f:/g/personal/sulma_cabanilla_supersalud_gov_co/IgDGj8odaAhNTa044cJhm8AZAQwdmYgm-eoVcfimm5gQFmo?email=Sulma.Cabanilla%40supersalud.gov.co&amp;e=vZ5Cwp"/>
    <s v="2025"/>
    <s v="Elemento"/>
    <s v="sites/PlanAnualdeGestin/Lists/REPORTE SEGUIMIENTO PAG"/>
  </r>
  <r>
    <s v="Delegatura Función Jurisdiccional y de Conciliación"/>
    <x v="11"/>
    <x v="86"/>
    <s v="Realizar las Pre jornadas de la función de conciliación con el fin de dirimir los conflictos entre los actores del SGSS con informes de resultados."/>
    <s v="Pre jornadas de la función de conciliación con informes de resultados"/>
    <s v="Número de Pre jornadas de la función de conciliación con informes de resultados"/>
    <s v="Numérica"/>
    <n v="7"/>
    <n v="7"/>
    <n v="7"/>
    <n v="1"/>
    <s v="Se realizaron 5 prejornadas en el ultimo trimestre , las otras 2 corresponden al tercer trimestre. Se da cumplimiento a la meta establecida para el semestre, esto se logro a travez del ejercicio de la facultad oficiosa consagrada en el artículo 38 de la Ley 1122 de 2007, la Delegada  para la Función Jurisdiccional y de Conciliación cita  de oficio a a los actores involucrados del SGSS de estas regiones que atendieron la invitacion y se inicia el proceso para llevar posterioremente los acuerdos conciliatorios en las jornadas . se anexan las evidencias de las prejornadas . _x000a_"/>
    <b v="0"/>
    <m/>
    <s v="2025"/>
    <s v="Elemento"/>
    <s v="sites/PlanAnualdeGestin/Lists/REPORTE SEGUIMIENTO PAG"/>
  </r>
  <r>
    <s v="Delegatura Función Jurisdiccional y de Conciliación"/>
    <x v="11"/>
    <x v="87"/>
    <s v="Realizar las jornadas de la función de conciliación con el fin de dirimir los conflictos entre los actores del SGSS con informes de resultados."/>
    <s v="Jornadas de la función de conciliación con informes de resultados"/>
    <s v="Numero de jornadas de la función de conciliación con informes de resultados"/>
    <s v="Numérica"/>
    <n v="7"/>
    <n v="7"/>
    <n v="7"/>
    <n v="1"/>
    <s v="​La Delegada para la Función Jurisdiccional y de Conciliación, en cumplimiento de sus funciones  procedió a convocar de manera virtual, por llamada, por correos para citar a las 7 jornadas de conciliación extrajudicial en derecho, las cuales se realizaron  en la modalidad presencial y/o virtual con la red de prestadoras de servicios de salud , se dio cumplimento a cabalidad con los requisitos exigidos para la  celebración de audiencias de conciliación extrajudicial en derecho y trámites conciliatorios,  evidenciado que el proceso fue útil para la continuidad de la gestión de conciliación, la recuperación  del flujo los recursos independientemente de su monto, permitió establecer acercamientos entre las  partes, quienes se comprometieron a aclarar y depurar las cuentas, realizar trámites de auditoría y de  liquidación de contratos, verificar el estado de glosas y devoluciones; entre otras, de manera virtual, a  través de correos electrónicos, llamadas telefónicas y/o reuniones vía Skype, con el fin de determinar  la deuda real y establecer posibles acuerdos de pago, logrando uno de losl objetivos primordiales de la DJFC. _x000a_"/>
    <b v="0"/>
    <m/>
    <s v="2025"/>
    <s v="Elemento"/>
    <s v="sites/PlanAnualdeGestin/Lists/REPORTE SEGUIMIENTO PAG"/>
  </r>
  <r>
    <s v="Delegatura Función Jurisdiccional y de Conciliación"/>
    <x v="11"/>
    <x v="16"/>
    <s v="Realizar las audiencias de conciliación admitidas de la red pública y privada como actores del SGSS propendiendo por el animo conciliatorio"/>
    <s v="Porcentaje de Audiencias de Conciliación de la función de conciliación"/>
    <s v="Número de audiencias de conciliación realizadas en el período / Total de solicitudes de conciliación a petición de parte admitidas"/>
    <s v="Porcentual"/>
    <n v="1"/>
    <n v="2737"/>
    <n v="2737"/>
    <n v="1"/>
    <s v="​En el cuarto trimestre del 2025, la Dirección de conciliación programó y surtió un total de audiencias de conciliación extrajudiciales en Derecho 2.737, de las cuales 879 se atendieron en Sede Bogotá de manera virtual, como resultado del reparto ordinario, aplazamientos, reprogramaciones y/o suspensiones y 1.858 en el desarrollo de 5 jornadas de conciliación adelantadas en territorio. _x000a_"/>
    <b v="0"/>
    <m/>
    <s v="2025"/>
    <s v="Elemento"/>
    <s v="sites/PlanAnualdeGestin/Lists/REPORTE SEGUIMIENTO PAG"/>
  </r>
  <r>
    <s v="Delegatura Función Jurisdiccional y de Conciliación"/>
    <x v="11"/>
    <x v="17"/>
    <s v="Realizar seguimiento al cumplimiento de los acuerdos de conciliación suscritos ante la Delegada que sean exigibles, y reportar su incumplimiento a la Delegada competente."/>
    <s v="Porcentaje de acuerdos de conciliación con seguimiento que sean exigibles"/>
    <s v="Número de acuerdos conciliatorios con seguimientos realizados / Número de acuerdos conciliatorios suscritos que sean exigibles"/>
    <s v="Porcentual"/>
    <n v="1"/>
    <n v="0"/>
    <n v="0"/>
    <n v="0.99021215138615903"/>
    <s v="Se realizaron juiciosa y adecuadamente las prejornadas y las jornadas de CONCILIACION , en estas se concilian los valores determinados y se llegan a acuerdos de pago que prestan merito ejecutivo y hacen transito a cosa juzgada. Una vez el documento es exigible, los actores participes del proceso conciliatorio informan si las obligaciones consignadas dentro del acta de conciliacion se cumplieron._x000a_Para el caso en particular se observa que en el ultimo trimestre el cumplimiento de los acuerdos conciliatorios segun lo informado por los actores corresponde al 99.02% de las actas de conciliacion, por valor de 12061828243 de $12181054561   _x000a_"/>
    <b v="0"/>
    <m/>
    <s v="2025"/>
    <s v="Elemento"/>
    <s v="sites/PlanAnualdeGestin/Lists/REPORTE SEGUIMIENTO PAG"/>
  </r>
  <r>
    <s v="Delegatura Función Jurisdiccional y de Conciliación"/>
    <x v="11"/>
    <x v="18"/>
    <s v="Conocer y gestionar los procesos jurisdiccionales de asuntos relacionados con Glosas y Devoluciones"/>
    <s v="Providencias Jurisdiccionales de Glosas y Devoluciones gestionados"/>
    <s v="Número de autos y sentencias Jurisdiccionales de Glosas y Recobros gestionados en el periodo de reporte"/>
    <s v="Numérica"/>
    <n v="30"/>
    <n v="30"/>
    <n v="30"/>
    <n v="1"/>
    <s v="​Con las actividades realizadas por el area encargada, se hizo una adecuada intervencion de los 30 procesos de  GLOSAS y recobros; a pesar de que estos tienen la caracteristica de ser muy complejos en tiempos de oportunidad ya que muchos son enviados a pruebas a otras estancias judiciales ( tribunales etc ) y pueden afectar lo que se llama la MORA JUDICIAL normal en nuestro medio , con lo cual  se van gestionando durante los periodos de seguimiento, otros expedientes en algun grado de avance para ir sometiendo la mora judicial_x000a_"/>
    <b v="0"/>
    <m/>
    <s v="2025"/>
    <s v="Elemento"/>
    <s v="sites/PlanAnualdeGestin/Lists/REPORTE SEGUIMIENTO PAG"/>
  </r>
  <r>
    <s v="Delegatura Función Jurisdiccional y de Conciliación"/>
    <x v="11"/>
    <x v="19"/>
    <s v="Conocer y gestionar los procesos jurisdiccionales de asuntos relacionados con Reconocimiento Económico"/>
    <s v="Procesos Jurisdiccionales de reconocimiento economico gestionados"/>
    <s v="Número de procesos Jurisdiccionales de Reconocimiento Económico gestionados."/>
    <s v="Numérica"/>
    <n v="120"/>
    <n v="120"/>
    <n v="120"/>
    <n v="1"/>
    <s v="Con la optimizacion del recurso humano en tiempos y movimientos para el estudio de este tipo de expedientes se puede lograr la meta establecida , aun asi la demanda de expedientes o quejas de este tipo son altas y el area si requiere el apoyo de nuevos profesionales en derecho para lograr mas aun la posiblidad de mayor satisfacción del usuario en oportunidad de entrega de solución juridica a sus requerimientos . _x000a_"/>
    <b v="0"/>
    <m/>
    <s v="2025"/>
    <s v="Elemento"/>
    <s v="sites/PlanAnualdeGestin/Lists/REPORTE SEGUIMIENTO PAG"/>
  </r>
  <r>
    <s v="Delegatura Función Jurisdiccional y de Conciliación"/>
    <x v="11"/>
    <x v="88"/>
    <s v="Conocer y gestionar el proceso de Cobertura de servicios incluidos en el Plan de Beneficios de Salud - PBS, Cobertura de servicios NO incluidos en el PBS, Multiafiliación y Libre Elección y Movilidad conforme a la Ley 1949 de 2019 //"/>
    <s v="Porcentaje de demandas gestionadas en el semestre"/>
    <s v="Número de demandas gestionadas en el semestre / Totalidad de las demandas radicadas en igual período"/>
    <s v="Porcentual"/>
    <n v="1"/>
    <n v="531"/>
    <n v="531"/>
    <n v="1"/>
    <s v="​Area con mayor numero de estudios a desarrollar en demandas judiciales , pero con un equipo humano fortalecido en numero por una contratación de (02) profesionales en el segundo semestre del año que presto el apoyo para el logro de la meta. Es de comentar que se van a requerir mas profesionales ya que las demandas van en aumento por el reconocimiento en el sector de la DFJC como juez de la salud._x000a_"/>
    <b v="0"/>
    <m/>
    <s v="2025"/>
    <s v="Elemento"/>
    <s v="sites/PlanAnualdeGestin/Lists/REPORTE SEGUIMIENTO PAG"/>
  </r>
  <r>
    <s v="Delegatura Función Jurisdiccional y de Conciliación"/>
    <x v="11"/>
    <x v="89"/>
    <s v="Realizar socialización de las funciones jurisdiccional y de conciliación a los usuarios y actores del S.G.S.S.S para el efectivo acceso a la justicia."/>
    <s v="Socialización de las funciones jurisdiccional y de conciliación a los usuarios y actores del S.G.S.S.S."/>
    <s v="Numero de socializaciones de las funciones jurisdiccional y de conciliación a los usuarios y actores del S.G.S.S.S."/>
    <s v="Numérica"/>
    <n v="7"/>
    <n v="7"/>
    <n v="7"/>
    <n v="1"/>
    <s v="​Dentro de las actividades que realiza la Delegada en territorios en las acciones de prejornadas de conciliación , se realiza socialización de las funciones Jurisdiccional y actos conciliatorios con la normatividad que las ampara y asi se pondera de la mejor manera la presencia de la Supersalud con los actores del SGSSS involucrados en el proceso conciliatorio. Estas actividades de socializan siempre que se realizan las prejornadas y obviamente se refuerzan en las Jornadas Cociliatorias como parte de las actividades de dialogo con dichos actores.  Se anexa un informe realizado por al Coordinadora de Glosas de la Direccion Jurisdiccional donde ella siempre via teams o en su defecto con el apoyo del personal profesional de Conciliaciones realiza socializaciones de las funciones de la DFJC. _x000a_ _x000a_Con la oferta de programas o campañas desconcentradas de promoción de derechos y acceso a la justicia en salud, se realizaron las prejornadas con el objetivo de cumplir con la finalidad del proceso y tambien con el fin de proteger y promover el cumplimiento igualitario de los derechos de las personas en el sistema general de salud, y el flujo adecuado de los recursos del SGSSS con oportunidad, eficiencia y equidad, en el marco de los conflictos derivados de las facturación en salud que presenten inconformidades ( Art.  de la Ley 1949 de 2019),  desplegando siempre la informacion para que los actores accedan a la función jurisdiccional donde se les explica a los asistentes los asuntos que conoce la función jurisdiccional, en especial la competencia consagrada en el literal f) de la Ley 1949 de 2019, cuando se suscita ese tipo deconflictos  y como se presenta la respectiva demanda ante el juez técnico de la salud._x000a__x000a_"/>
    <b v="0"/>
    <m/>
    <s v="2025"/>
    <s v="Elemento"/>
    <s v="sites/PlanAnualdeGestin/Lists/REPORTE SEGUIMIENTO PAG"/>
  </r>
  <r>
    <s v="Delegatura para Entidades Territoriales y Generadores y Recaudadores y Administradores de Recursos del SGSSS"/>
    <x v="11"/>
    <x v="21"/>
    <s v="Implementar la red de Controladores en los territorios del país."/>
    <s v="Redes de Controladores departamentales activadas"/>
    <s v="Número de departamentos con red de Controladores activadas"/>
    <s v="Numérica"/>
    <n v="4"/>
    <n v="1"/>
    <n v="4"/>
    <n v="0.25"/>
    <s v="​Durante este periodo, se activó una Red de Controladores en el Departamento del Tomila, cerrando la vigencia con un total de 15 Redes activadas._x000a_"/>
    <b v="1"/>
    <s v="https://supersalud.sharepoint.com/:f:/s/DelegadaparaETyGRARdelSGSSS/IgAsTF0n9gJbT4ijcEc6YSenAXrwqkYfMepwMZMzvrNOtoo?e=mhv0T8"/>
    <s v="2025"/>
    <s v="Elemento"/>
    <s v="sites/PlanAnualdeGestin/Lists/REPORTE SEGUIMIENTO PAG"/>
  </r>
  <r>
    <s v="Delegatura para Entidades Territoriales y Generadores y Recaudadores y Administradores de Recursos del SGSSS"/>
    <x v="11"/>
    <x v="66"/>
    <s v="Realizar auditorías para verificar el cumplimiento de las funciones y obligaciones de los vigilados de la Delegada."/>
    <s v="Auditorías de Inspección y Vigilancia realizadas por la Delegada de Entidades territoriales"/>
    <s v="Número de Auditorías realizadas"/>
    <s v="Numérica"/>
    <n v="6"/>
    <n v="2"/>
    <n v="6"/>
    <n v="0.33333333333333298"/>
    <s v="Se realizaron 2 auditorias en el mes de septiembre al Concesionario de Apuestas Permanentes red de Servicios del Cesar S.A. y al Distrito Turístico y Cultural de Cartagena de Indias - Departamento Administrativo Distrital de Salud._x000a__x000a_Es importante resaltar que no se realizaron más auditorias, ya que con las reportadas en este periodo se cumplia con el 100% de las 20 auditorias propuestas para esta vigencia._x000a_"/>
    <b v="1"/>
    <s v="https://supersalud.sharepoint.com/:f:/s/DelegadaparaETyGRARdelSGSSS/IgAKzun-CuNmQ5YnqH6gZcBeAc8LkNT-96vf7-fNgQyNxVI?e=NuTzj0"/>
    <s v="2025"/>
    <s v="Elemento"/>
    <s v="sites/PlanAnualdeGestin/Lists/REPORTE SEGUIMIENTO PAG"/>
  </r>
  <r>
    <s v="Delegatura para Entidades Territoriales y Generadores y Recaudadores y Administradores de Recursos del SGSSS"/>
    <x v="11"/>
    <x v="67"/>
    <s v="Realizar mesas internas de apropiación y aplicabilidad del Sistema Integrado de Gestión a los funcionarios de la Delegada._x000a_"/>
    <s v="Mesas ejecutadas para la apropiación del Sistema Integrado de Gestión al interior de la Delegada."/>
    <s v="Número de mesas ejecutadas para la apropiación del Sistema Integrado de Gestión al interior de la Delegada realizadas"/>
    <s v="Numérica"/>
    <n v="4"/>
    <n v="5"/>
    <n v="4"/>
    <n v="1.25"/>
    <s v="​Se realizó 1 actividad de apropiación del SIG adicional con el proposito de cubrir el rezago presentado en el tercer trimestre._x000a_1. Para el mes de septiembre se realizó una capacitación sobre los procesos, haciendo especial enfasis en el de seguimiento y evaluación al vigilado. Para esta sesión se realizó una dinamica para determinar el nivel de aprehención de las personas participantes._x000a_2. En octubre se capacito sobre el componente de Gestión Ambiental el cual finalizó con un pequeño test para identificar el nivel de aprehensión._x000a_3. Para noviembre se enfatizó en las líneas de defensa y en la importancia que tienen en el marco del MIPG._x000a_4. Para el mes de noviembre se realizó una sesión donde se trabajo de manera dinámica los procedimientos del proceso de Seguimiento y Evaluación al Vigilado y el Código de Integridad._x000a_5. Para diciembre se realizó una sesión de manera articulada con la Oficina de Control Interno y la Oficina Asesora de Planeación con el proposito de hablar de la confidencialidad en la información y de la importancia de preservar los documentos para evitar perdidas de información y accesos por parte de personas no autorizadas._x000a__x000a_"/>
    <b v="1"/>
    <s v="https://supersalud.sharepoint.com/:f:/s/DelegadaparaETyGRARdelSGSSS/IgCA6fhJ6cRtRJeIaFT8lKYcAR5omhxHryOkeTtMnkFrs5Q?e=eloBXr"/>
    <s v="2025"/>
    <s v="Elemento"/>
    <s v="sites/PlanAnualdeGestin/Lists/REPORTE SEGUIMIENTO PAG"/>
  </r>
  <r>
    <s v="Delegatura para Entidades Territoriales y Generadores y Recaudadores y Administradores de Recursos del SGSSS"/>
    <x v="11"/>
    <x v="27"/>
    <s v="Realizar Mesas de Gobernanza desde las direcciones regionales_x000a_"/>
    <s v="Mesas de Gobernanza realizadas en las direcciones regionales."/>
    <s v="Mesas de Gobernanza Realizadas"/>
    <s v="Numérica"/>
    <n v="2"/>
    <n v="0"/>
    <n v="2"/>
    <n v="0"/>
    <s v="​Para el mes de diciembre no se realizó ninguna Mesa de Gobernanza, ya que para el reporte del mes de noviembre se habia superado la meta propuesta para la vigencia._x000a_"/>
    <b v="0"/>
    <m/>
    <s v="2025"/>
    <s v="Elemento"/>
    <s v="sites/PlanAnualdeGestin/Lists/REPORTE SEGUIMIENTO PAG"/>
  </r>
  <r>
    <s v="Delegatura para Entidades Territoriales y Generadores y Recaudadores y Administradores de Recursos del SGSSS"/>
    <x v="11"/>
    <x v="24"/>
    <s v="Efectuar seguimiento y evaluación a la gestión de las Direcciones Regionales de conformidad con las directrices y lineamientos formulados por la Superintendencia Delegada."/>
    <s v="Seguimiento a las actividades de las Direcciones regionales."/>
    <s v="Número de seguimientos realizados"/>
    <s v="Numérica"/>
    <n v="8"/>
    <n v="14"/>
    <n v="8"/>
    <n v="1.75"/>
    <s v="Para este reporte se cuenta con un número mayor de seguimientos, ya que para el III Trimestre se presentó un rezago en la meta establecida para ese periodo._x000a__x000a_En el mes de octubre se realizaron 5 seguimientos en el marco del Plan Padrino a las siguientes regionales: Nororiental, Occidental, Sede Agualongo, Sur y Orinoquía._x000a__x000a_Para los meses de noviembre y diciembre se realizaron 9 seguimientos a las siguientes Direcciones Regionales: Caribe, Andina, Chocó, Orinoquía, Norte, Sur, Sede Agualongo, Sede Insular y Nororiental._x000a_"/>
    <b v="1"/>
    <s v="https://supersalud.sharepoint.com/:f:/s/DelegadaparaETyGRARdelSGSSS/IgCtRkvOu3xARaCdzKM1cEmQAeScb-MMXqrPE14IyO9LSfk?e=6WWNjO"/>
    <s v="2025"/>
    <s v="Elemento"/>
    <s v="sites/PlanAnualdeGestin/Lists/REPORTE SEGUIMIENTO PAG"/>
  </r>
  <r>
    <s v="Delegatura para Entidades Territoriales y Generadores y Recaudadores y Administradores de Recursos del SGSSS"/>
    <x v="11"/>
    <x v="26"/>
    <s v="Realizar asistencia y seguimientos a las mesas de saneamiento de cartera de Circular Conjunta 030 de 2013"/>
    <s v="Seguimientos a Circular 030"/>
    <s v="Numero de Seguimientos realizados - Circular 030"/>
    <s v="Numérica"/>
    <n v="20"/>
    <n v="15"/>
    <n v="20"/>
    <n v="0.75"/>
    <s v="Para este último trimestre se realizaron 15 asistencias al desarrollo de mesas de saneamiento de cartera de Circular Conjunta 030 de 2013, de las siguientes ET: Antioquia, Barranquilla, Bogotá, Buenaventura, Cali, Cartagena, Casanare, Córdoba, Cundinamarca, Huila, Norte de Santander, San Andrés, Santander, Vaupés y Vichada. Estas asistencias se soportan a través de informes de resultados del ejercicio de acompañamiento._x000a__x000a_Es importante resaltar que no se reportaron las 20 asistencias establecidas para este trimestre, ya que se superaron las metas en el primer y tercer trimestre. Con estas 15 asistencias alcanzamos el 100% del cumplimiento establecido para la vigencia._x000a__x000a_"/>
    <b v="1"/>
    <s v="https://supersalud.sharepoint.com/:f:/s/DelegadaparaETyGRARdelSGSSS/IgDt1upPQFmnTrB0krcDg9_1AecuUqkOdBQmITQEpZczZro?e=38nsPk"/>
    <s v="2025"/>
    <s v="Elemento"/>
    <s v="sites/PlanAnualdeGestin/Lists/REPORTE SEGUIMIENTO PAG"/>
  </r>
  <r>
    <s v="Delegatura para Entidades Territoriales y Generadores y Recaudadores y Administradores de Recursos del SGSSS"/>
    <x v="11"/>
    <x v="23"/>
    <s v="Supervisar las alertas interpuestas a los Generadores, Recaudadores y Administradores de Recursos del SGSSSS mediante acciones de IV"/>
    <s v="Porcentaje de alertas generadas en desarrollo de las acciones de IV a generadores, recaudadores y administradores de recursos del SGSSS con acciones de gestión sobre el total de alertas"/>
    <s v="(Número de alertas generadas en el informe del trimestre anterior con acciones de gestión / Total de alertas encontradas en el informe del trimestre anterior)*100"/>
    <s v="Porcentual"/>
    <n v="1"/>
    <n v="1"/>
    <n v="1"/>
    <n v="1"/>
    <s v="Durante los meses de noviembre y diciembre no se generaron alertas en las acciones de IV a Generadores, Recaudadores y Administradores de recursos del SGSSS con acciones de gestión sobre el total de alertas. Siendo un indicador a demanda se alcanza el 100%._x000a_"/>
    <b v="0"/>
    <m/>
    <s v="2025"/>
    <s v="Elemento"/>
    <s v="sites/PlanAnualdeGestin/Lists/REPORTE SEGUIMIENTO PAG"/>
  </r>
  <r>
    <s v="Delegatura para Entidades Territoriales y Generadores y Recaudadores y Administradores de Recursos del SGSSS"/>
    <x v="11"/>
    <x v="22"/>
    <s v="Ampliar el campo de acción de las Direcciones Regionales respecto de los actores del sistema, a través de la definición de acuerdos con las demás Delegadas para la desconcentración de acciones de inspección y vigilancia"/>
    <s v="Porcentaje del total de Actores del sistema con acciones de inspección y vigilancia por parte de la Dirección Regional"/>
    <s v="(Número de categoría de Actores del sistema con acciones de inspección y vigilancia por parte de la Direcciones regional / 09 categorías de actores del sistema sujeto de acciones de inspección y vigilancia de la SNS)*100"/>
    <s v="Porcentual"/>
    <n v="0.66"/>
    <n v="66"/>
    <n v="66"/>
    <n v="1"/>
    <s v="​_x000a_Para el reporte correspondientes al trimestre pasado (III), se evidenció un cumplimiento parcial de la meta, debido a que no fue posible reportar oportrunamente las acciones con aseguradores por parte de las Direcciones Regionales de Chocó y Norte. Esta situación se presentó como consecuencias de fallas técnicas que impidieron el cargue de la información dentro de los tiempos establecidos. _x000a__x000a__x000a_No obstante, una vez superadas dichas contingencias, se registran los avances en estas dos regionales, lo que permite dar cumplimiento a la meta establecida para la vigencia, corresponidente a 2 actores del sistema de salud con acciones por parte de las Direcciones Regionales. A continuación, presenta esta información de manera detallada:_x000a__x000a__x000a__x000a__x000a_REGIONAL CHOCÓ:Mesa técnica en el marco RIAS . Mesa de PQRD FOMAG_x000a_REGIONAL NORTE: Se realizaron 3 Mesas de PQRD Cajacopi, Coosalud y Mutualser_x000a__x000a__x000a__x000a__x000a_De igual forma, se realizaron más acciones por parte de otras Direcciones Regionales, las cuales se presentan a continuación:_x000a__x000a__x000a_REGIONAL NORORIENTAL: Seguimiento mesa de contratacióncon Coosalud_x000a_REGIONAL ORINOQUIA: Mesa de contingencia de medicamentos con Nueva EPS y el Gestor Farmacéutico de MyT -  Mesa problemática de prestación de servicios con Coosalud y los prestadores Salud Renal y MyT - Mesa problemática de prestación de servicios con Sanitas y los prestadores Salud Renal y MyT - Mesa problemática de prestación de servicios con Nueva EPS y los prestadores Salud Renal y MyT_x000a_REGIONAL OCCIDENTAL SEDE AGUALONGO: Mesa problemática de prestación  de servicios  con Asmet Salud y las ESE de la Costa Pacífica._x000a_REGIONAL CARIBE: Mesa técnica en el  marco RIAS en Valledpar, Cesar._x000a_DIRECCIÓN REGIONAL SUR: mesa de trabajo con los Seguro Obligatorio de Accidentes de Tránsito (SOAT) y la Nueva EPS_x000a_"/>
    <b v="1"/>
    <s v="https://supersalud.sharepoint.com/:f:/s/DelegadaparaETyGRARdelSGSSS/IgC88IL8oFzwTrt_1l0mgFTnAX67WN_LUTvJFoL7ibTXPZo?e=hTGbto"/>
    <s v="2025"/>
    <s v="Elemento"/>
    <s v="sites/PlanAnualdeGestin/Lists/REPORTE SEGUIMIENTO PAG"/>
  </r>
  <r>
    <s v="Delegatura para Entidades Territoriales y Generadores y Recaudadores y Administradores de Recursos del SGSSS"/>
    <x v="11"/>
    <x v="25"/>
    <s v="Implementar acciones de inspección y vigilancia en nuevos territorios que han carecido de ellas de manera adecuada."/>
    <s v="Porcentaje de Nuevos territorios (Departamentos, Municipios o Distritos) impactados con acciones de IV por parte de las Direcciones Regionales sobre el total de Nuevos Territorios programados."/>
    <s v="(Número de nuevos territorios impactados con Acciones de IV / Número de Nuevos territorios programados por la Direcciones Regionales para intervenir)*100"/>
    <s v="Porcentual"/>
    <n v="1"/>
    <n v="1"/>
    <n v="1"/>
    <n v="1"/>
    <s v="Para el último trimestre, se programó la intervención de once (11) nuevos territorios, los cuales fueron atendidos mediante acciones preventivas y/o de inspección y vigilancia, adelantadas por las diferentes Direcciones Regionales, así:   _x000a__x000a__x000a_Regional Andina: Durante el trimestre se realizaron mesas de inspección y vigilancia en Arboletes y Turbo. Adicionalmente, se abordaron nueve (9) sentencias en Valdivia y una mesa convocada por terceros en Sabanalarga._x000a__x000a__x000a_Regional Nororiental: Se llevó a cabo una mesa de inspección y vigilancia en el municipio de Toledo y una mesa de gobernanza en Socha._x000a__x000a__x000a_Regional Occidental – Sede Agualongo: Se realizó una mesa de inspección y vigilancia en el municipio de Aldana._x000a__x000a__x000a_Regional Sur: Se desarrolló una mesa de gobernanza con el municipio de Acevedo, así como una acción de inspección y vigilancia a la ejecución técnica y financiera del Plan de Intervenciones Colectivas (PIC) vigencia 2024, en los municipios de Murillo y Yondó._x000a__x000a__x000a_Regional Occidental: Se ejecutó una Acción Integral en Territorio en el municipio de Sevilla, departamento del Valle del Cauca._x000a__x000a__x000a_Es importante resaltar, que en algunas direcciones regionales no se pudo programar acciones de IV en nuevos territorios debido a los problemas de orden público presentados en algunas regiones del país._x000a_"/>
    <b v="1"/>
    <s v="https://supersalud.sharepoint.com/:f:/s/DelegadaparaETyGRARdelSGSSS/IgD5HDehXRXvRLzvNqRi2eLtARwSVDW3I-i-thWbRio2_rs?e=cZV7V5"/>
    <s v="2025"/>
    <s v="Elemento"/>
    <s v="sites/PlanAnualdeGestin/Lists/REPORTE SEGUIMIENTO PAG"/>
  </r>
  <r>
    <s v="Delegatura para Entidades Territoriales y Generadores y Recaudadores y Administradores de Recursos del SGSSS"/>
    <x v="11"/>
    <x v="20"/>
    <s v="Realizar seguimiento y verificación de las auditorias realizadas"/>
    <s v="Seguimientos a las auditorías de Inspección y Vigilancia Realizadas"/>
    <s v="Numero de Seguimientos realizados"/>
    <s v="Numérica"/>
    <n v="1"/>
    <n v="10"/>
    <n v="10"/>
    <n v="1"/>
    <s v="Durante el periodo evaluado, las Direcciones Regionales adelantaron las siguientes acciones de seguimiento y cierre de auditorías, así:_x000a__x000a__x000a_Regional Andina:Se realizaron seguimientos a las auditorías del Distrito de Medellín y el cierre de la auditoría al municipio de Frontino._x000a__x000a__x000a_Regional Nororiental:Se efectuó el tercer seguimiento a las auditorías de Puerto Boyacá (vigencia 2024). Adicionalmente, se aprobó el Plan de Mejoramiento derivado de las auditorías a los municipios de Viracachá y Quípama (vigencia 2025)._x000a__x000a__x000a_Regional Orinoquía:Se realizó el tercer seguimiento a la auditoría del municipio de Puerto Carreño._x000a__x000a__x000a_Regional Caribe:se efectuó el primer seguimiento a la auditoría del municipio de La Jagua de Ibirico (Cesar)._x000a__x000a__x000a_Dirección Regional Occidental: Se adelantaron seguimientos y se efectuó el cierre de la auditoría de Timbiquí (Cauca)._x000a__x000a__x000a_Dirección Regional Sur: Se realizó el tercer seguimiento y cierre del Plan de Mejoramiento derivado de la auditoría al municipio de Pitalito. Asimismo, se reiteró la solicitud de presentación de soportes del Plan de Mejoramiento producto de la auditoría al municipio de Prado._x000a_"/>
    <b v="1"/>
    <s v="https://supersalud.sharepoint.com/:f:/s/DelegadaparaETyGRARdelSGSSS/IgCr7LABc8A0T7gjbsrwIZRPAfoJiczmDD67xsK7Dlpuvdw?e=wljSxg"/>
    <s v="2025"/>
    <s v="Elemento"/>
    <s v="sites/PlanAnualdeGestin/Lists/REPORTE SEGUIMIENTO PAG"/>
  </r>
  <r>
    <s v="Delegatura para Entidades Territoriales y Generadores y Recaudadores y Administradores de Recursos del SGSSS"/>
    <x v="11"/>
    <x v="68"/>
    <s v="Realizar mesas técnicas de fortalecimiento de competencias dirigidas a los sujetos vigilados de la Delegada de acuerdo a su competencia."/>
    <s v="Mesas Técnicas para el fortalecimiento de competencias"/>
    <s v="Número de Mesas Técnicas realizadas"/>
    <s v="Numérica"/>
    <n v="2"/>
    <n v="9"/>
    <n v="2"/>
    <n v="4.5"/>
    <s v="Durante el periodo evaluado, se desarrollaron Mesas Técnicas de Fortalecimiento Territorial en las diferentes Direcciones Regionales, conforme se detalla a continuación:   _x000a__x000a__x000a_Regional Andina: Se realizaron dos (2) Mesas Técnicas de Fortalecimiento Territorial: una en el departamento de Antioquia, con participación de los distritos de Medellín y Turbo, y otra en la ciudad de Pereira, con participación de los departamentos de Risaralda, Caldas y Quindío._x000a__x000a__x000a_Regional Nororiental: Se llevaron a cabo dos (2) Mesas Técnicas de Fortalecimiento Territorial, una en el departamento de Boyacá y otra en Santander, esta última con la participación de la Entidad Territorial de Norte de Santander y la totalidad de sus municipios._x000a__x000a__x000a_Regional Occidental: Se realizó una (1) Mesa Técnica de Fortalecimiento Territorial en la ciudad de Santiago de Cali, con la participación de los departamentos de Valle del Cauca, Cauca y Nariño, así como de los distritos de Santiago de Cali, Buenaventura y Tumaco._x000a__x000a__x000a_Regional Norte: Se desarrolló una (1) mesa de fortalecimiento territorial en la ciudad de Montería, con la participación de los departamentos de Córdoba y Sucre._x000a__x000a__x000a_Regional Caribe: Se realizó una (1) Mesa Técnica de Fortalecimiento Territorial en el Distrito de Santa Marta, con la participación de los departamentos de La Guajira, Cesar y Magdalena._x000a__x000a__x000a_Regional Sur: Se desarrolló una (1) Mesa Técnica de Fortalecimiento Territorial en la ciudad de Neiva, durante los días 26, 27 y 28 de noviembre, con la participación de los departamentos de Huila, Tolima, Caquetá y Putumayo._x000a__x000a__x000a_Regional Orinoquía: Se llevó a cabo una (1) Mesa Técnica de Fortalecimiento Territorial en la ciudad de Villavicencio, con la participación de los departamentos de Vichada, Guainía, Vaupés, Meta, Guaviare, Casanare y Arauca._x000a_"/>
    <b v="1"/>
    <s v="https://supersalud.sharepoint.com/:f:/s/DelegadaparaETyGRARdelSGSSS/IgCIsy40F7gjTqYAbpLye9EYAUACV44M1LR5e_gl9B5CZqY?e=PIQbRF"/>
    <s v="2025"/>
    <s v="Elemento"/>
    <s v="sites/PlanAnualdeGestin/Lists/REPORTE SEGUIMIENTO PAG"/>
  </r>
  <r>
    <s v="Delegatura para Entidades Territoriales y Generadores y Recaudadores y Administradores de Recursos del SGSSS"/>
    <x v="11"/>
    <x v="70"/>
    <s v="Realizar mesas de Inspección y Vigilancia a los sujetos vigilados de la Delegada conforme a la priorización realizada."/>
    <s v="Ejecución de las mesas de Inspección y Vigilancia programadas."/>
    <s v="Mesas de Inspección y Vigilancia realizadas"/>
    <s v="Numérica"/>
    <n v="22"/>
    <n v="24"/>
    <n v="22"/>
    <n v="1.0909090909090899"/>
    <s v="​_x000a_Durante el cuatrimestre evaluado, las Direcciones Regionales adelantaron mesas de Inspección y Vigilancia (Mesas IV), conforme se detalla a continuación:_x000a__x000a__x000a_Regional Andina: se realizaron mesas de Inspección y Vigilancia en los municipios de Arboletes, Turbo, Anserma, Mistrató, Cañasgordas, Tarso, Risaralda y Zaragoza. _x000a__x000a__x000a_Regional Nororiental: Se realizó una mesa de Inspección y Vigilancia en el municipio de Toledo. _x000a__x000a__x000a_Regional Chocó: En el cuatrimestre se llevaron a cabo mesas de Inspección y Vigilancia en los municipios de Unión Panamericana, Bagadó, Bojayá y Tadó. _x000a__x000a__x000a_Regional Caribe: Se realizaron mesas de Inspección y Vigilancia en los municipios de Maicao, Riohacha y Manaure, así como a nivel del departamento de La Guajira, conforme a lo establecido en la Circular Externa 202315100000015-5 de 2023 y en concordancia con la Sentencia T-302 de 2017. Adicionalmente, se efectuaron mesas de IV en los municipios de Albania (La Guajira) y González (Cesar)._x000a__x000a__x000a_Regional Orinoquía: se realizó una mesa de Inspección y Vigilancia en el municipio de Puerto López._x000a__x000a__x000a_Regional Occidental – Sede Agualongo: Se desarrollaron dos (2) mesas de Inspección y Vigilancia: una en el municipio de Aldana y otra en el municipio de Policarpa, esta última con participación de la Entidad Territorial Departamental._x000a__x000a_Regional Norte: Se realizó una mesa de Inspección y Vigilancia en el municipio de Guaranda (Sucre). Adicionalmente, en el marco de una Acción Integral en Territorio (AIT), se llevó a cabo en el mes de octubre una mesa de IV en el municipio de Magangué (Bolívar)._x000a_"/>
    <b v="1"/>
    <s v="https://supersalud.sharepoint.com/:f:/s/DelegadaparaETyGRARdelSGSSS/IgBjEIPHktwdSow9Imx03VkAAU1GoTvMm4jQUHmYDJyedCg?e=osgSJ4"/>
    <s v="2025"/>
    <s v="Elemento"/>
    <s v="sites/PlanAnualdeGestin/Lists/REPORTE SEGUIMIENTO PAG"/>
  </r>
  <r>
    <s v="Delegatura para Entidades Territoriales y Generadores y Recaudadores y Administradores de Recursos del SGSSS"/>
    <x v="11"/>
    <x v="69"/>
    <s v="Ejecutar las actividades de apoyo a las Delegadas y Oficinas de la SNS por parte de las direcciones regionales conforme a los Acuerdos de nivel de servicio"/>
    <s v="Porcentaje de acciones ejecutadas en el marco de los ANS con las Dependencias de la Entidad"/>
    <s v="Número acciones ejecutadas / Número de acciones que sean requeridas"/>
    <s v="Porcentual"/>
    <n v="1"/>
    <n v="1"/>
    <n v="1"/>
    <n v="1"/>
    <s v="​_x000a_Durante el periodo evaluado, las Direcciones Regionales adelantaron 53 acciones  en el marco del Acuardo a Nivel de Servicios con otras Delegadas de la SNS:_x000a__x000a__x000a_Regional Caribe: Se realizó la aplicación de IVR a los gestores farmacéuticos Pharmasan S.A.S., Cafam y Audifarma en el municipio de Valledupar; Difimedicas en Aguachica (Cesar); CAFAM en Pueblo Viejo y Suplimedic en Salamina (Magdalena); y Éticos en Albania (La Guajira)._x000a_Adicionalmente, se desarrollaron actividades lúdicas en el marco de mecanismos de participación ciudadana dirigidos a niños, niñas y adolescentes en Maicao; jornadas de atención en Riohacha (La Guajira) y Ciénaga (Magdalena); así como verificación de demoras en el proceso de referencia y contrarreferencia en las ESE José David Padilla y Luis Carlos Galán (Aguachica, Cesar), Samuel Villanueva (La Guajira), La Candelaria (El Banco, Magdalena), Hospital San Rafael (Albania, La Guajira), Hospital 7 de Agosto y Hospital Fray Luis (Plato, Magdalena)._x000a__x000a__x000a_Regional Occidental – Sede Agualongo: Se realizó la aplicación de IVR a los gestores farmacéuticos FOMAG – Proinsalud y Nueva EPS – Medico Colombia, en la sede Valle del Atriz._x000a__x000a__x000a_Regional Occidental: Se efectuó seguimiento durante los meses de octubre y noviembre a la mesa de conciliación entre gestores farmacéuticos y EPS. Asimismo, se brindó apoyo a la Defensoría del Pueblo (DPU) en jornadas de atención al usuario en Yopal, y se socializó el plan de acción relacionado con la IVR al gestor farmacéutico Colsubsidio._x000a__x000a__x000a_Regional Norte: Se aplicó IVR a Pharmaser (Cartagena) el 15 y 16 de octubre de 2025, y a Disfarma (San Onofre) el 15 de octubre de 2025. Igualmente, se desarrolló una jornada de capacitación al usuario en el año 2025._x000a__x000a__x000a_Regional Nororiental: Se aplicó IVR a los gestores farmacéuticos Difimedicas (Socorro), Disfarma (Cúcuta), Colsubsidio (Sogamoso) y Discolmed (Socha). Asimismo, se adelantó verificación y acompañamiento a la ESE Sansegcoop (Cúcuta)._x000a__x000a__x000a_Regional Chocó: Se realizó IVR a los gestores Humansalud, Contrafachada, Servimedic, Combate, Germis y El Descuento._x000a__x000a__x000a_Dirección Regional Sur: Se desarrollaron acciones con los gestores farmacéuticos Audifarma (Ibagué), Comfandi (Florencia), Acevedo, Disfarma (Ibagué) y Líbano._x000a_Adicionalmente, se realizó seguimiento al sistema de referencia y contrarreferencia del Hospital María Inmaculada y Medilaser (Florencia), así como del Hospital San Juan Bautista de Chaparral._x000a_Se efectuaron jornadas de atención al usuario y capacitación en los municipios de Ábaco, Chaparral, Neiva, Puerto Asís, Honda y Mariquita, y se brindó apoyo a la Delegada de Aseguramiento en el seguimiento a mesas de IV para la implementación de RIAS con EPS en la ciudad de Ibagué._x000a__x000a_"/>
    <b v="1"/>
    <s v="https://supersalud.sharepoint.com/:f:/s/DelegadaparaETyGRARdelSGSSS/IgCjeix3rIX0TJrBrklPpHf_Afc7SKHhEUy-RE-xYt88LAY?e=k9LHZy"/>
    <s v="2025"/>
    <s v="Elemento"/>
    <s v="sites/PlanAnualdeGestin/Lists/REPORTE SEGUIMIENTO PAG"/>
  </r>
  <r>
    <s v="Delegatura para Entidades Territoriales y Generadores y Recaudadores y Administradores de Recursos del SGSSS"/>
    <x v="11"/>
    <x v="71"/>
    <s v="Realizar acciones Integrales en Territorio"/>
    <s v="Territorios con acciones Integrales"/>
    <s v="Número de Acciones Integrales en territorio Ejecutadas"/>
    <s v="Numérica"/>
    <n v="3"/>
    <n v="8"/>
    <n v="3"/>
    <n v="2.6666666666666701"/>
    <s v="Durante el periodo evaluado, las Direcciones Regionales adelantaron las siguientes Acciones Integrales en Territorio (AIT):   _x000a__x000a__x000a_Regional Andina: Se realizó (1) Acción Integral en Territorio (AIT) en el municipio de Turbo._x000a__x000a__x000a_Regional Nororiental: Se llevaron a cabo (2) Acciones Integrales en Territorio (AIT) en los municipios de Vélez y Villa del Rosario._x000a__x000a__x000a_Regional Chocó: Se realizó (1) Acción Integral en Territorio (AIT) en el municipio de Istmina._x000a__x000a__x000a_Regional Orinoquía: Se ejecutó (1) Acción Integral en Territorio (AIT) en el municipio de Puerto López._x000a__x000a__x000a_Regional Occidental: Se desarrollaron dos (2) Acciones Integrales en Territorio, una en el municipio de Sevilla (Valle del Cauca) y otra en el municipio de Popayán (Cauca)._x000a__x000a__x000a_Regional Norte: se realizó AIT en Magangue- Bolívar_x000a__x000a_Es importante resaltar, que el aumento de las AIT reportadas para este trimestre se debe a que se buscó disminuir el rezago presentado en los primeros 2 trimestres del año._x000a_"/>
    <b v="1"/>
    <s v="https://supersalud.sharepoint.com/:f:/s/DelegadaparaETyGRARdelSGSSS/IgCtY7kM5845T6l-pjbfQV8fAcPEe1jdKtx4MfN1ao-XFFw?e=ANcl9x"/>
    <s v="2025"/>
    <s v="Elemento"/>
    <s v="sites/PlanAnualdeGestin/Lists/REPORTE SEGUIMIENTO PAG"/>
  </r>
  <r>
    <s v="Delegatura para la Protección al Usuario"/>
    <x v="11"/>
    <x v="32"/>
    <s v="Seguimiento a los reclamos en salud presentados por la ciudadanía que asiste a los Diálogos con la Supersalud que no fueron cerrados por los vigilados en el evento"/>
    <s v="Porcentajes de reclamos en salud con seguimiento"/>
    <s v="Reclamos en salud con seguimiento / total de reclamos no cerrados por el vigilados* 100 ."/>
    <s v="Porcentual"/>
    <n v="1"/>
    <n v="12"/>
    <n v="17"/>
    <n v="0.70588235294117696"/>
    <s v="​Entre OCTUBRE Y DICIEMBRE 2025 se realizo 1 diálogo en donde se han recibido 17 reclamos en salud de los cuales a todos 100% se les ha realizado seguimiento, pero de estos se han cerrado 12 (70,6%) y permanecen abiertos 5 reclamos a pesar del seguimiento realizado. _x000a_"/>
    <b v="1"/>
    <s v="https://n9.cl/cyzji"/>
    <s v="2025"/>
    <s v="Elemento"/>
    <s v="sites/PlanAnualdeGestin/Lists/REPORTE SEGUIMIENTO PAG"/>
  </r>
  <r>
    <s v="Delegatura para la Protección al Usuario"/>
    <x v="11"/>
    <x v="31"/>
    <s v="Promover los derechos y deberes en salud y mecanismos de participación ciudadana en salud"/>
    <s v="Promoción de los derechos y deberes en salud y mecanismos de participación ciudadana en salud a la ciudadanía."/>
    <s v="Número de actividades que promueven el ejercicio de derechos y deberes y mecanismos de participación ciudadana en salud para ciudadanía en general desarrollados en el periodo.."/>
    <s v="Numérica"/>
    <n v="70"/>
    <n v="100"/>
    <n v="70"/>
    <n v="1.4285714285714299"/>
    <s v="​De las 70 actividades programadas en el cuarto trimestre se realizaron 100, lo que da un cumplimiento del 143 % frente a lo programado. Los 100 eventos se discriminan así: 48 jornadas de atención al usuario, 32 capacitaciones, 5 seminarios, 3 Conexión SuperSalud, 2 Diálogos con la SuperSalud, 3 piezas lúdicas, 3 Líder tiene la palabra y 4 acompañamientos). Este resultado obedece al fortalecimiento de las acciones de relacionamiento con la ciudadanía desarrolladas por el Grupo de Participación y Promoción._x000a_"/>
    <b v="1"/>
    <s v="https://n9.cl/4b71a"/>
    <s v="2025"/>
    <s v="Elemento"/>
    <s v="sites/PlanAnualdeGestin/Lists/REPORTE SEGUIMIENTO PAG"/>
  </r>
  <r>
    <s v="Delegatura para la Protección al Usuario"/>
    <x v="11"/>
    <x v="33"/>
    <s v="Ejecutar actividades para la implementación de la política de Servicio al Ciudadano"/>
    <s v="Actividades desarrolladas en el ámbito de la política de servicio al ciudadano"/>
    <s v="Número total de actividades desarrolladas en el periodo."/>
    <s v="Numérica"/>
    <n v="5"/>
    <n v="13"/>
    <n v="5"/>
    <n v="2.6"/>
    <s v="De 5 actividades programadas se realizaron 13 en el trimestre, lo que da un cumplimiento del 260% frente a la meta programada de 5. Esto se debe a que se desarrollaron de las siguientes acciones principales:_x000a__x000a_Fortalecimiento de canales de atención: Se mantuvieron y optimizaron los canales presenciales, telefónicos y virtuales, garantizando la atención oportuna y eficaz a las solicitudes, quejas, reclamos y peticiones de la ciudadanía._x000a__x000a__x000a_Capacitación al talento humano: Se realizaron jornadas de formación para los servidores públicos en temas de servicio al ciudadano y atención con enfoque diferencial ._x000a__x000a__x000a_Mejoras en formatos de respuestas a PQR y solicitudes de información en el marco de leguaje claro._x000a__x000a__x000a_Actualziación de manuales: Durante la vigencia se actualizaron documentos claves del proceso de Relacionamiento con la Ciudadania y Grupos de Valor . (Manual Operativo y Manual de Protocolo)_x000a__x000a__x000a_Encuentros Sectoriales: Se gestionaron espacios de encuentros sectoriales en el marco del Modelo Integrado de Servicio al Ciudadano MISC con el Ministerio de Salud y Protección Social para fortalecer el cumplimiento de los estandares del modelo y espacios de buenas practicas._x000a__x000a__x000a_En general, las acciones ejecutadas reflejan el compromiso institucional con la transparencia, la eficiencia y la calidad en la prestación de los servicios, contribuyendo al fortalecimiento de la confianza ciudadana en la gestión pública._x000a__x000a_"/>
    <b v="1"/>
    <s v="https://n9.cl/o1nnq"/>
    <s v="2025"/>
    <s v="Elemento"/>
    <s v="sites/PlanAnualdeGestin/Lists/REPORTE SEGUIMIENTO PAG"/>
  </r>
  <r>
    <s v="Delegatura para la Protección al Usuario"/>
    <x v="11"/>
    <x v="28"/>
    <s v="Realizar auditorías de inspección y vigilancia a los vigilados relacionadas con el Sistema de Información y Atención al Usuario - SIAU, mecanismos de Participación Ciudadana y sistema PQRD"/>
    <s v="Auditorías realizadas a los vigilados por parte de la Delegada de Protección al Usuario"/>
    <s v="Número de auditorías ejecutadas"/>
    <s v="Numérica"/>
    <n v="29"/>
    <n v="28"/>
    <n v="28"/>
    <n v="1"/>
    <s v="​Relación de las 26 Auditorías Específicas realizadas al Sistema de Información de Atención al Usuario y al Fomento de la Participación Ciudadana según responsabilidad  normativa de los diferentes Vigilados, realizadas por el Grupo SIAU._x000a__x000a_Relación de las 2 autorias realizadas al sistema de PQRD de la EPS EMSSANAR y COMFAORIENTE, realizadas por el Grupo de IV a las PQRD._x000a_"/>
    <b v="1"/>
    <s v="https://n9.cl/il4ye"/>
    <s v="2025"/>
    <s v="Elemento"/>
    <s v="sites/PlanAnualdeGestin/Lists/REPORTE SEGUIMIENTO PAG"/>
  </r>
  <r>
    <s v="Delegatura para la Protección al Usuario"/>
    <x v="11"/>
    <x v="29"/>
    <s v="Medir la percepción de los usuarios respecto a la atención telefónica y canal presencial de la Superintendencia Nacional de Salud"/>
    <s v="Medición de la percepción en canal telefonico y presencial de la SNS."/>
    <s v="Total de respuestas con calificación favorable (bueno y excelente) del instrumento de medición aplicado"/>
    <s v="Porcentual"/>
    <n v="0.87"/>
    <n v="181062"/>
    <n v="202681"/>
    <n v="0.89333484638422"/>
    <s v="Se presenta información con corte a octubre y noviembre 2025, en virtud de que el periodo de reporte de insumos es 5 días hábiles mes vencido. _x000a__x000a_Aclarado lo anterior se presenta el resultado de la aplicación de la encuesta de satisfacción realizada en el canal telefonico y presencial (Regionales, Puntos de Atención y CAC). Se identifica que para este trimestre el CAC bajo en su pordentaje bueno y exelente del indicador frente a sus historicos_x000a__x000a__x000a_Entre octubre y noviembre 2025 se recibieron 181.062 respuestas con calificación buena y exelente de un total de 202.681  respuestas las cuales correponden a un 89.33% de satisfacción_x000a__x000a_"/>
    <b v="1"/>
    <s v="https://n9.cl/vljh0"/>
    <s v="2025"/>
    <s v="Elemento"/>
    <s v="sites/PlanAnualdeGestin/Lists/REPORTE SEGUIMIENTO PAG"/>
  </r>
  <r>
    <s v="Delegatura para la Protección al Usuario"/>
    <x v="11"/>
    <x v="90"/>
    <s v="Realizar capacitaciones en derechos y deberes en salud y mecanismos de participación ciudadana en territorios incluidos en el Programa de Desarrollo con Enfoque Territorial PDET."/>
    <s v="Capacitaciones realizadas en  territorios cobijados por los programas de desarrollo con enfoque territorial PDET"/>
    <s v="Número de capacitaciones realizadas en territorios cobijados por los programas de desarrollo con enfoque territorial PDET"/>
    <s v="Numérica"/>
    <n v="7"/>
    <n v="16"/>
    <n v="7"/>
    <n v="2.28571428571429"/>
    <s v="De las 7 actividades programadas se realizaron 16 en el segundo semestre, lo que da un cumplimiento del 228% frente a la meta programada para el periodo. Esto se debe a que se realizaron 16 capacitaciones en territorios PDET, en municipios como Fonseca, Cereté, Mapiripán, Necoclí, Puerto Asís, Tolú Viejo, Santa Marta, Puerto Concordia, entre otros. El énfasis en la realización de estas actividades en municipios priorizados por el Programa de Desarrollo con Enfoque Territorial (PDET) respondió a la necesidad de fortalecer la presencia institucional en territorios históricamente afectados por el conflicto armado, el narcotráfico y otras formas de violencia, caracterizados por condiciones de alta vulnerabilidad y limitada oferta institucional. El logro de haber llegado a poblaciones apartadas y de difícil acceso representa un avance significativo en la garantía del derecho fundamental a la salud, al permitir acercar la Superintendencia Nacional de Salud a comunidades que tradicionalmente han enfrentado barreras geográficas, sociales e institucionales, contribuyendo así al empoderamiento ciudadano, la promoción de la participación activa y la construcción de confianza entre el Estado y la ciudadanía._x000a_"/>
    <b v="1"/>
    <s v="https://n9.cl/69fkdt"/>
    <s v="2025"/>
    <s v="Elemento"/>
    <s v="sites/PlanAnualdeGestin/Lists/REPORTE SEGUIMIENTO PAG"/>
  </r>
  <r>
    <s v="Delegatura para la Protección al Usuario"/>
    <x v="11"/>
    <x v="30"/>
    <s v="Radicar los reclamos en salud recibidos en el multicanal"/>
    <s v="Porcentaje de reclamos en salud radicados y gestionados a través del multicanal"/>
    <s v="Número de reclamos en salud radicados y gestionadas en el trimestre*"/>
    <s v="Porcentual"/>
    <n v="1"/>
    <n v="458199"/>
    <n v="458199"/>
    <n v="1"/>
    <s v="​Entre octubre a diciembre se radicaron y trasladaron al responsable del aseguramiento a través de una orden de inmediato y obligatorio cumplimiento 458.199 reclamos en salud recibidos por multicanal (escrito, web, telefonico, chat y redes sociales)_x000a_"/>
    <b v="1"/>
    <s v="https://n9.cl/s4kyu"/>
    <s v="2025"/>
    <s v="Elemento"/>
    <s v="sites/PlanAnualdeGestin/Lists/REPORTE SEGUIMIENTO PAG"/>
  </r>
  <r>
    <s v="Delegatura para la Protección al Usuario"/>
    <x v="11"/>
    <x v="34"/>
    <s v="Radicar los reclamos en salud recibidos en el canal presencial"/>
    <s v="Porcentaje de reclamos en salud radicados y gestionados a través del canal presencial"/>
    <s v="Número de reclamos en salud radicados y gestionadas en el trimestre*"/>
    <s v="Porcentual"/>
    <n v="1"/>
    <n v="86630"/>
    <n v="86630"/>
    <n v="1"/>
    <s v="​Entre octubre a diciembre se radicaron y trasladaron al responsable del aseguramiento a travez de una orden de inmediato y obligatorio cumplimiento 86.630 reclamos en salud recibidos por el canal presencial._x000a_"/>
    <b v="1"/>
    <s v="https://n9.cl/tzltb"/>
    <s v="2025"/>
    <s v="Elemento"/>
    <s v="sites/PlanAnualdeGestin/Lists/REPORTE SEGUIMIENTO PAG"/>
  </r>
  <r>
    <s v="Delegatura para Operadores Logísticos de Tecnologías en Salud y Gestores Farmacéuticos"/>
    <x v="11"/>
    <x v="73"/>
    <s v="Gestionar las solicitudes de información y/ reclamos en salud presentados por los grupos de valor o de interés a la Delegada para Operadores Logísticos de Tecnologías en Salud y Gestores Farmacéuticos"/>
    <s v="Porcentaje de solicitudes de información y/ reclamos en salud gestionados finalizados tramitados a los grupos de valor o de interés de la SNS presentados a la DOLTS-GF"/>
    <s v="(Sumatoria del número de solicitudes de información y/ reclamos en salud finalizados / Número de solicitudes de información y/ reclamos en salud interpuestos por los grupos de valor o de interés) * 100"/>
    <s v="Porcentual"/>
    <n v="0.96"/>
    <n v="513"/>
    <n v="645"/>
    <n v="0.79534883720930205"/>
    <s v="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_x000a_"/>
    <b v="0"/>
    <m/>
    <s v="2025"/>
    <s v="Elemento"/>
    <s v="sites/PlanAnualdeGestin/Lists/REPORTE SEGUIMIENTO PAG"/>
  </r>
  <r>
    <s v="Delegatura para Operadores Logísticos de Tecnologías en Salud y Gestores Farmacéuticos"/>
    <x v="11"/>
    <x v="74"/>
    <s v="Gestionar solicitudes de información y/ reclamos en salud presentados por falta de oportunidad en la entrega o entrega incompleta de Tecnologías en salud presentados por los grupos de valor o interés a la Delegada para Operadores Logísticos de Tecnologías en Salud y Gestores Farmacéuticos"/>
    <s v="Porcentaje de solicitudes de información y/ reclamos en salud finalizados por falta de oportunidad en la entrega o entrega incompleta de tecnologías en salud tramitados a los grupos de valor o interés de la SNS presentados a la DOLTS-GF"/>
    <s v="(Sumatoria del número de solicitudes de información y/ reclamos en salud finalizados por falta de oportunidad en la entrega o entrega incompleta de tecnologías en salud en el periodo / Número de solicitudes de información y/ reclamos en salud interpuestos por los grupos de valor o interés por falta de oportunidad en la entrega o entrega incompleta de tecnologías en salud) * 100"/>
    <s v="Porcentual"/>
    <n v="0.96"/>
    <n v="114"/>
    <n v="126"/>
    <n v="0.90476190476190499"/>
    <s v="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_x000a_"/>
    <b v="0"/>
    <m/>
    <s v="2025"/>
    <s v="Elemento"/>
    <s v="sites/PlanAnualdeGestin/Lists/REPORTE SEGUIMIENTO PAG"/>
  </r>
  <r>
    <s v="Delegatura para Operadores Logísticos de Tecnologías en Salud y Gestores Farmacéuticos"/>
    <x v="11"/>
    <x v="72"/>
    <s v="Tramitar los reclamos en salud trasladados por la Delegada de Protección al Usuario a la Delegada para Operadores Logísticos de Tecnologías en Salud y Gestores Farmacéuticos"/>
    <s v="Porcentaje de reclamos en salud trasladados por la Delegada para la Protección al Usuario a la DOLTS-GF finalizados tramitados"/>
    <s v="(Sumatoria del número de reclamos en salud trasladados por DPU finalizados / Número de reclamos en salud trasladados por DPU) * 100"/>
    <s v="Porcentual"/>
    <n v="0.96"/>
    <n v="131"/>
    <n v="173"/>
    <n v="0.75722543352601202"/>
    <s v="​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_x000a_"/>
    <b v="0"/>
    <m/>
    <s v="2025"/>
    <s v="Elemento"/>
    <s v="sites/PlanAnualdeGestin/Lists/REPORTE SEGUIMIENTO PAG"/>
  </r>
  <r>
    <s v="Delegatura Prestadores de Servicios en Salud"/>
    <x v="11"/>
    <x v="37"/>
    <s v="Realizar auditorías a los Prestadores de Servicios en Salud (PSS) para verificar el cumplimiento de las normas que regulan el Sistema de Salud y la gestión de los riesgos inherentes del sistema."/>
    <s v="Auditorías realizadas a los Prestadores de Servicios en Salud (PSS) en cumplimiento del Programa Anual de Auditoría de la Delegada"/>
    <s v="Número de auditorías realizadas a los Prestadores de Servicios en Salud (PSS)"/>
    <s v="Numérica"/>
    <n v="16"/>
    <n v="24"/>
    <n v="16"/>
    <n v="1.5"/>
    <s v="Para el cuarto trimestre de la vigencia 2025, la Dirección de Inspección y Vigilancia para Prestadores de Servicios de Salud programó un total de dieciséis (16) auditorías, cuya ejecución se desarrolló de la siguiente manera:   _x000a_• Octubre: se programaron cinco (5) auditorías, de las cuales se ejecutaron la totalidad._x000a_• Noviembre: se programaron nueve (9) auditorías, ejecutándose igualmente la totalidad._x000a_• Diciembre: se programaron dos (2) auditorías; no obstante, se ejecutaron diez (10) auditorías en total._x000a__x000a__x000a_Las ocho (8) auditorías adicionales realizadas durante el mes de diciembre obedecieron a necesidades del servicio, orientadas a verificar el cumplimiento de las responsabilidades de diversos prestadores de servicios de salud, particularmente en lo relacionado con la garantía de la prestación efectiva de los servicios y el acatamiento de los principios del Sistema General de Seguridad Social en Salud (SGSSS), asegurando condiciones de accesibilidad, oportunidad, continuidad y seguridad en el proceso de atención, con el fin de prevenir la generación de barreras que afecten el goce efectivo del derecho fundamental a la salud._x000a__x000a__x000a_En consecuencia, para el IV trimestre de 2025 se alcanzó una ejecución del 150%, correspondiente a la realización de veinticuatro (24) auditorías, frente a las dieciséis (16) programadas para el periodo evaluado._x000a__x000a__x000a_Cabe señalar que, en el desarrollo de las auditorías integrales, se verificó el cumplimiento de las responsabilidades de los prestadores de servicios de salud en los ejes financiero, administrativo y legal, así como en la prestación de servicios de salud. Por su parte, en las auditorías con alcance específico se evaluaron, entre otros aspectos, los siguientes temas: el manejo integral de la desnutrición aguda, moderada y severa en niños y niñas de 0 a 59 meses de edad; el cumplimiento de los lineamientos establecidos en la Ruta Integral de Atención en Salud para la Promoción y Mantenimiento de la Salud y en la Ruta Integral de Atención en Salud para la Población Materno Perinatal; la adecuada prestación de los servicios de salud; el incumplimiento en el reporte de información financiera exigida por esta Superintendencia a través de la Circular Única y su incidencia en la Contribución de Vigilancia; así como la atención de reclamaciones SOAT._x000a_"/>
    <b v="1"/>
    <s v="https://supersalud-my.sharepoint.com/:f:/g/personal/gina_cortes_supersalud_gov_co/IgDaRXfJ9w51TqS9TRmZRU0tAXid2oAjreUx5Ndz9CjCoOk?e=LtnxB9"/>
    <s v="2025"/>
    <s v="Elemento"/>
    <s v="sites/PlanAnualdeGestin/Lists/REPORTE SEGUIMIENTO PAG"/>
  </r>
  <r>
    <s v="Delegatura Prestadores de Servicios en Salud"/>
    <x v="11"/>
    <x v="38"/>
    <s v="Realizar análisis a los Planes de Mejoramiento suscritos por los Prestadores de Servicios de Salud durante el periodo de evaluación."/>
    <s v="Porcentaje de Planes de Mejoramiento evaluados"/>
    <s v="Número de Planes de Mejoramiento evaluados al corte / Número de Planes de Mejoramiento gestionados en el periodo"/>
    <s v="Porcentual"/>
    <n v="1"/>
    <n v="50"/>
    <n v="50"/>
    <n v="1"/>
    <s v="Durante el cuarto trimestre de la vigencia 2025, la Dirección de Inspección y Vigilancia para Prestadores de Servicios de Salud recibió un total de cincuenta (50) planes de mejoramiento, discriminados así: cinco (5) planes para primera revisión de aprobación, cinco (5) para segunda revisión, y cuarenta (40) planes radicados con soportes de ejecución. La totalidad de los planes fueron evaluados y gestionados dentro de los términos establecidos, alcanzando un cumplimiento del 100 % frente a la meta programada del 100 % para el periodo evaluado.   _x000a__x000a__x000a_La evaluación oportuna y efectiva de los planes de mejoramiento presentados por los prestadores vigilados permite subsanar, corregir y prevenir las causas que originan las situaciones identificadas, así como gestionar los riesgos críticos asociados a factores que afectan su desempeño y el cumplimiento de su cometido institucional. Lo anterior contribuye de manera directa al fortalecimiento de la calidad en la prestación de los servicios de salud y al mejoramiento continuo del Sistema._x000a_ _x000a_"/>
    <b v="1"/>
    <s v="https://supersalud-my.sharepoint.com/:f:/g/personal/gina_cortes_supersalud_gov_co/IgCmZdswm0ycS7ZgkKap5EDTAY43cQDeSNKi2ILtsRoLVKA?e=3DAPKd"/>
    <s v="2025"/>
    <s v="Elemento"/>
    <s v="sites/PlanAnualdeGestin/Lists/REPORTE SEGUIMIENTO PAG"/>
  </r>
  <r>
    <s v="Delegatura Prestadores de Servicios en Salud"/>
    <x v="11"/>
    <x v="96"/>
    <s v="Realizar seguimiento a la implementación del Programa de Equipos Básicos en Salud desde la estrategia de Atención Primaria en Salud desplegada por el Ministerio de Salud y Protección Social."/>
    <s v="Porcentaje de seguimiento a los recursos asignados para la implementación de los equipos basicos en Salud en las ESE"/>
    <s v="Número de seguimientos efectuados / Total de ESE con asignación de recursos para el Programa de Equipos Básicos en Salud, conocidas por la Supersalud."/>
    <s v="Porcentual"/>
    <n v="1"/>
    <n v="102"/>
    <n v="102"/>
    <n v="1"/>
    <s v="La Dirección de Inspección y Vigilancia para Prestadores de Servicios de Salud continuó con el seguimiento a la ejecución de dicho programa y, para el segundo semestre de la vigencia 2025, priorizó ciento dos (102) ESE, correspondientes a aquellas con mayor asignación de recursos durante la vigencia 2023. Para tal efecto, se diseñó un papel de trabajo que permite la captura sistemática de información y el monitoreo de los resultados asociados a la gestión de las ESE en relación con la implementación de los Equipos Básicos en Salud (EBS).   _x000a__x000a__x000a_Con el fin de socializar y entregar dicho instrumento, se programó la realización de diez (10) mesas técnicas a nivel nacional, organizadas por regiones, dirigidas a las ESE priorizadas. Posteriormente, se efectuó el requerimiento formal para el suministro de la información necesaria, con el propósito de adelantar el correspondiente seguimiento en el marco de las acciones de Inspección y Vigilancia a cargo de la Dirección._x000a_Para el proceso de consolidación y análisis de la información reportada, se desarrolló una herramienta en Power BI que facilita el análisis de variables financieras y asistenciales, a partir de la cual se generará un informe técnico que actualmente se encuentra en elaboración._x000a__x000a__x000a_En concordancia con lo anterior, se viene adelantando un ejercicio de seguimiento a la implementación de los Equipos Básicos en Salud (EBS), orientado no solo a evaluar la ejecución presupuestal de los recursos asignados, sino también a verificar el cumplimiento de su objetivo misional: garantizar el acceso equitativo, oportuno y resolutivo a los servicios de salud en los territorios priorizados. Dicho seguimiento permite establecer si las acciones desarrolladas por las entidades receptoras se encuentran alineadas con los objetivos estructurales de la estrategia EBS, concebida para fortalecer la atención primaria en salud, reducir barreras de acceso y mejorar los indicadores de salud mediante intervenciones comunitarias integrales. En este sentido, las acciones de inspección y vigilancia se enfocan en verificar la coherencia entre el uso de los recursos, la operación territorial de los equipos y el impacto efectivo en las condiciones de salud de la población atendida."/>
    <b v="1"/>
    <s v="https://supersalud-my.sharepoint.com/:f:/g/personal/gina_cortes_supersalud_gov_co/IgAW5f7NLi3FQ7y6LbMespgOAaSxucoGuZERFCgxoPSXRaw?e=dV5ulL"/>
    <s v="2025"/>
    <s v="Elemento"/>
    <s v="sites/PlanAnualdeGestin/Lists/REPORTE SEGUIMIENTO PAG"/>
  </r>
  <r>
    <s v="Delegatura Prestadores de Servicios en Salud"/>
    <x v="11"/>
    <x v="95"/>
    <s v="Adelantar seguimiento a la gestión del Programa de Mejoramiento Institucional - PMI"/>
    <s v="Porcentaje de seguimiento a la ejecución del Programa de Mejoramiento Institucional"/>
    <s v="(La formula del indicador quedaría de la siguiente manera: Número de seguimientos adelantados a los PMI / Numero de PMI reportados a la Dirección IV para PSS)*100"/>
    <s v="Porcentual"/>
    <n v="1"/>
    <n v="1"/>
    <n v="1"/>
    <n v="1"/>
    <s v="Durante el segundo semestre de la vigencia 2025 se efectuó un (1) seguimiento de un (1) programado en el marco del Programa de Mejoramiento Institucional al cual se encontraba adscrita la ESE Hospital San Juan de Sahagún, lo que permitió dar cumplimiento al 100% de la meta establecida para el período evaluado.   _x000a__x000a__x000a_Este Programa de Mejoramiento Institucional (PMI), es una herramienta de inspección y vigilancia que ha permitido la identificación, medición, evaluación y control de riesgos financieros y de salud, a partir de los reportes efectuados por el Ministerio de Hacienda y Crédito Público - MHCP a la Superintendencia Nacional de Salud, acerca de los incumplimientos del Programa de Saneamiento Fiscal y Financiero – PSFF por parte de las ESE, por lo cual, se aplicó un modelo de supervisión basado en riesgos, que incluyó la evaluación continua de indicadores financieros y de prestación de servicios, así como la formulación de planes de mejora, con seguimiento periódico de su ejecución. Como resultado, la gran mayoría de las instituciones bajo seguimiento lograron estabilizar sus condiciones operativas y fueron reclasificadas como entidades sin riesgo por el Ministerio de Salud y Protección Social, contribuyendo a una red pública hospitalaria más sólida y confiable."/>
    <b v="1"/>
    <s v="https://supersalud-my.sharepoint.com/:f:/g/personal/gina_cortes_supersalud_gov_co/IgC9I21Ab6BiQIlsH9yahPf_AUzfPg9i0y0h24e_DlvnVBA?e=l9xtL2"/>
    <s v="2025"/>
    <s v="Elemento"/>
    <s v="sites/PlanAnualdeGestin/Lists/REPORTE SEGUIMIENTO PAG"/>
  </r>
  <r>
    <s v="Delegatura Prestadores de Servicios en Salud"/>
    <x v="11"/>
    <x v="101"/>
    <s v="Resolver o gestionar las solicitudes de los vigilados relacionadas con las Reformas Estatutarias de IPS conforme a los descrito en la normatividad vigente."/>
    <s v="Porcentaje de solicitudes gestionadas de los vigilados relacionados con reformas estatutarias"/>
    <s v="Número de solicitudes de reformas estatutarias gestionadas/Número de solicitudes de reformas estatutarias recibidas para trámite en la vigencia."/>
    <s v="Porcentual"/>
    <n v="1"/>
    <n v="7"/>
    <n v="7"/>
    <n v="1"/>
    <s v="Durante el segundo semestre de la vigencia 2025, la Dirección IV para Prestadores de Servicios de Salud gestionó siete (7) solicitudes de reforma estatutaria de un total de siete (7) recibidas para trámite. De estas, tres (3) culminaron con la expedición del respectivo acto administrativo, mientras que cuatro (4) fueron tramitadas mediante la elaboración del estudio de viabilidad y la remisión a la Oficina Jurídica de los correspondientes proyectos de resolución. En consecuencia, se dio cumplimiento del 100% de la meta establecida para el periodo evaluado.   _x000a__x000a__x000a_Lo anterior se desarrolla en concordancia con lo dispuesto en el Decreto 1080 de 2021, el cual establece como función de la Superintendencia Nacional de Salud “autorizar o negar, de manera previa, a las instituciones prestadoras de servicios de salud, las operaciones relacionadas con la disminución de capital y la ampliación del objeto social a actividades no relacionadas con la prestación de los servicios de salud”_x000a_"/>
    <b v="1"/>
    <s v="https://supersalud-my.sharepoint.com/:f:/g/personal/gina_cortes_supersalud_gov_co/IgDYgVBhzu52T4f1yWr6Sb74AQXUysyh6IBOk4PDakuU39U?e=zIuADs"/>
    <s v="2025"/>
    <s v="Elemento"/>
    <s v="sites/PlanAnualdeGestin/Lists/REPORTE SEGUIMIENTO PAG"/>
  </r>
  <r>
    <s v="Delegatura Prestadores de Servicios en Salud"/>
    <x v="11"/>
    <x v="102"/>
    <s v="Resolver los recursos de apelación por evaluación de gerentes y evaluación no satisfactoria por no presentación de proyecto de plan de gestión o de informe de cumplimiento de plan de gestión de las Empresas Sociales del Estado."/>
    <s v="Porcentaje de recursos de apelación por evaluación de gerentes y evaluación no satisfactoria por no presentación del plan de gestión."/>
    <s v="Número de recursos de apelación por evaluación de gerentes y evaluación no satisfactoria por no presentación del plan de gestión, gestionadas en los tiempos establecidos/ Número de recursos de apelación por evaluación de gerentes y evaluación no satisfactoria por no presentación del plan de gestión recibidas."/>
    <s v="Porcentual"/>
    <n v="1"/>
    <n v="1"/>
    <n v="1"/>
    <n v="1"/>
    <s v="​Durante el segundo semestre de la vigencia 2025, no se presentaron trámites a la Dirección IV para Prestadores de Servicios de Salud relacionados con recursos de apelación derivados de la evaluación de gerentes o de evaluaciones no satisfactorias por la no presentación del plan de gestión por parte de los gerentes de las Empresas Sociales del Estado._x000a_"/>
    <b v="0"/>
    <m/>
    <s v="2025"/>
    <s v="Elemento"/>
    <s v="sites/PlanAnualdeGestin/Lists/REPORTE SEGUIMIENTO PAG"/>
  </r>
  <r>
    <s v="Delegatura Prestadores de Servicios en Salud"/>
    <x v="11"/>
    <x v="99"/>
    <s v="Brindar apoyo técnico científico, jurídico, financiero y admistrativo para el seguimiento y monitoreo de los vigilados a cargo de la Oficina de Liquidaciones_x000a_"/>
    <s v="Orientaciones técnicas a los Prestadores de Servicios en Salud ejecutadas"/>
    <s v="Número de orientaciones técnicas realizadas a los prestadores de servicios de salud"/>
    <s v="Numérica"/>
    <n v="8"/>
    <n v="17"/>
    <n v="8"/>
    <n v="2.125"/>
    <s v="Para el segundo semestre de la vigencia 2025, la Dirección de Inspección y Vigilancia para Prestadores de Servicios de Salud, si bien programó la realización de ocho (8) orientaciones técnicas, ejecutó un total de diecisiete (17), lo cual representa un nivel de cumplimiento del 213% frente a la meta establecida del 100 % para el período evaluado.   _x000a__x000a__x000a_En este sentido, las nueve (9) orientaciones técnicas adicionales a las inicialmente programadas se priorizaron en atención a la necesidad de brindar acompañamiento y seguimiento a los sujetos vigilados, derivada de la ocurrencia de eventos de interés en salud pública y de alertas asociadas a la prestación de los servicios de salud. Lo anterior evidencia la capacidad de respuesta institucional de la Superintendencia Nacional de Salud frente a situaciones críticas y prioritarias del sistema, particularmente en los siguientes aspectos:_x000a__x000a__x000a_• Mortalidad materna: En el marco del Plan de Aceleración para la Reducción de la Mortalidad Materna, se abordaron las barreras que limitan el acceso oportuno y con calidad a los servicios de salud para las gestantes, identificadas en los diferentes comités, tales como barreras administrativas, geográficas, sociales y culturales._x000a__x000a__x000a_• Manejo integral de la desnutrición aguda, moderada y severa en niños menores de cinco (5) años: En desarrollo del Plan de Desaceleración de la Mortalidad por Desnutrición Aguda, se adelantaron acciones orientadas a incidir en la reducción de la mortalidad infantil mediante la implementación de estrategias sectoriales e intersectoriales en las entidades territoriales priorizadas, conforme a los criterios de focalización definidos._x000a__x000a__x000a_• Atención Primaria en Salud (APS): Se reiteraron los lineamientos establecidos en la Ley 1438 de 2011 y en el Plan Decenal de Salud Pública, resaltando la coordinación intersectorial y la concurrencia de las instancias del Sistema de Protección Social y demás actores, para la intervención articulada sobre los determinantes sociales en salud, bajo las directrices del Consejo Nacional de Política Social (CONPES) y del Ministerio de Salud y Protección Social._x000a__x000a__x000a_• Sistema de Administración del Riesgo de Lavado de Activos, Financiación del Terrorismo y Financiación de la Proliferación de Armas de Destrucción Masiva (SARLAFT): Se brindaron orientaciones conforme a lo dispuesto en la Circular Externa No. 009 de 2016 y su modificación mediante la Circular Externa No. 20211700000005-5 de 2021, relacionadas con la implementación del sistema y el reporte de información._x000a__x000a__x000a_• Equipos básicos de salud: Se abordó la conformación y fortalecimiento de estas estructuras funcionales y organizativas del talento humano en salud, orientadas a facilitar el acceso, la continuidad y la integralidad de la atención en salud en los distintos entornos de desarrollo, en el marco de la estrategia de Atención Primaria en Salud._x000a_"/>
    <b v="1"/>
    <s v="https://supersalud-my.sharepoint.com/:f:/g/personal/gina_cortes_supersalud_gov_co/IgCrWrNv9t7WSJ5caY_uUlVIAUUPngevK9gS4JIzJFKnyaY?e=EaT6nF"/>
    <s v="2025"/>
    <s v="Elemento"/>
    <s v="sites/PlanAnualdeGestin/Lists/REPORTE SEGUIMIENTO PAG"/>
  </r>
  <r>
    <s v="Delegatura Prestadores de Servicios en Salud"/>
    <x v="11"/>
    <x v="97"/>
    <s v="Monitorear los riesgos y su gestión a los prestadores de servicios de salud priorizados conforme a las herramientas definidas en la Dirección de Inspección y Vigilancia para Prestadores."/>
    <s v="Total de acciones de Inspección y Vigilancia para el monitoreo de los riesgos"/>
    <s v="Numero total de acciones de Inspección y Vigilancia para el monitoreo de los riesgos"/>
    <s v="Numérica"/>
    <n v="3"/>
    <n v="3"/>
    <n v="3"/>
    <n v="1"/>
    <s v="Para el segundo semestre de la vigencia 2025, la Dirección de IV para Prestadores de Servicios de Salud adelantó tres (3) acciones de inspección y vigilancia orientadas al monitoreo de riesgos de los Prestadores de Servicios de Salud (PSS), dando cumplimiento al 100 % de la meta establecida para el periodo, la cual contemplaba la realización de tres (3) acciones.   _x000a_Estas acciones se enmarcan en lo siguiente:_x000a__x000a__x000a_Supervisión basada en cumplimiento_x000a_• Avidanti S.A.S.: Se realizó una auditoría integral enfocada en el Sistema Integrado de Gestión de Riesgos, motivada por denuncias difundidas en medios de comunicación. Como resultado del ejercicio de inspección y vigilancia, se surtieron las etapas de planeación y elaboración del informe correspondiente (radicado No. 20254100002470031), así como el traslado de los hallazgos a las autoridades y dependencias competentes, entre ellas la Fiscalía General de la Nación (radicado No. 20254100003134241), la Dirección Territorial de Salud de Caldas (radicado No. 20254100002732801), la Delegada para Investigaciones Administrativas (radicado No. 20254100000118503) y la Delegada para Entidades de Aseguramiento (radicado No. 20254100200118433)._x000a_•Clínica La Sabana S.A.: Se efectuó un requerimiento de información relacionado con el cumplimiento de los requisitos del Oficial de Cumplimiento del SARLAFT/FPADM, a partir de una denuncia ciudadana. El requerimiento fue formulado mediante el radicado No. 20254100003152881 y, una vez analizados los soportes allegados por la entidad, se remitió el oficio con las observaciones correspondientes a través del radicado No. 20264100000042291._x000a__x000a__x000a_Supervisión basada en riesgos / Supervisión basada en cumplimiento_x000a_•Orthoplan S.A.S.: Se adelantó un ejercicio de seguimiento y evaluación al prestador, enfocado en los subsistemas de riesgos de Lavado de Activos y Financiación del Terrorismo (LA/FT) y de Corrupción, Opacidad y Fraude (COF), así como en el cumplimiento de la normatividad legal vigente, motivado por una denuncia ciudadana. En el desarrollo de esta actuación se realizaron, entre otras, las siguientes actividades: i) requerimiento de información a la IPS (radicado No. 20254100000894641); ii) análisis de la información remitida para el diagnóstico de la entidad; iii) emisión del concepto técnico correspondiente (radicado No. 20254100003362741); y iv) traslado de los hallazgos a las instancias competentes, incluyendo el Tribunal de Ética Odontológica (radicado No. 20264100000019751), la Secretaría de Salud de Cali (radicado No. 20264100000026241) y la Delegada para Investigaciones Administrativas (radicado No. 20264100000001403)._x000a_Como resultado de las acciones adelantadas, se identificaron incumplimientos a la normatividad aplicable y alertas relevantes en materia de gestión de riesgos, las cuales constituyen insumos fundamentales para la adopción de medidas de seguimiento y, de ser procedente, la apertura de actuaciones administrativas, en el marco de las funciones de inspección, vigilancia y control de la Superintendencia Nacional de Salud."/>
    <b v="1"/>
    <s v="https://supersalud-my.sharepoint.com/:f:/g/personal/gina_cortes_supersalud_gov_co/IgBEKdlxLJg8ToaaTYWV_YBRAeQsaFl491pQUdW5kGHQ1qE?e=JKXfwl"/>
    <s v="2025"/>
    <s v="Elemento"/>
    <s v="sites/PlanAnualdeGestin/Lists/REPORTE SEGUIMIENTO PAG"/>
  </r>
  <r>
    <s v="Delegatura Prestadores de Servicios en Salud"/>
    <x v="11"/>
    <x v="39"/>
    <s v="Realizar seguimiento en campo a las ESE bajo medida con el fin de hacer seguimiento a la gestión de agentes interventores, contralores, gerentes y revisores fiscales"/>
    <s v="Porcentaje de cumplimiento de seguimientos en campo a ESE bajo medida"/>
    <s v="Numero de seguimientos en campo realizados a los Prestadores de Servicios de Salud (PSS) bajo acción o medida especial / Total de seguimientos programados a ESE bajo medida"/>
    <s v="Porcentual"/>
    <n v="0.25"/>
    <n v="7"/>
    <n v="7"/>
    <n v="1"/>
    <s v="Durante el cuarto trimestre de la vigencia 2025, la Dirección de Medidas Especiales para Prestadores de Servicios de Salud ejecutó la totalidad de los siete (7) seguimientos programados a Prestadores de Servicios de Salud (PSS) bajo medida especial, correspondientes a: Nueva ESE Hospital Departamental San Francisco de Asís (2), Hospital Regional Magdalena Medio – Barrancabermeja, ESE Hospital Rosario Pumarejo de López, ESE Hospital de Nazareth, Hospital Luis Ablanque de la Plata ESE y ESE Universitaria del Atlántico, logrando un cumplimiento del 100% de la meta establecida para el periodo evaluado.   _x000a__x000a__x000a_En el marco de sus competencias, la Dirección de Medidas Especiales para Prestadores de Servicios de Salud adelanta seguimientos en campo a las entidades prestadoras de servicios de salud bajo medida especial, con el fin de verificar el cumplimiento de la normatividad vigente, así como de los planes, programas y cronogramas establecidos, desde los componentes administrativo-financiero, jurídico y técnico-científico. De igual manera, realiza el monitoreo de los indicadores de gestión._x000a__x000a__x000a_A través de estas actuaciones, la Dirección de Medidas Especiales para Prestadores de Servicios de Salud contribuye al fortalecimiento del Sistema General de Seguridad Social en Salud, garantizando la prestación oportuna, continua y de calidad de los servicios, y promoviendo la sostenibilidad financiera de las instituciones prestadoras intervenidas, bajo los principios de eficiencia, eficacia y legalidad._x000a_"/>
    <b v="1"/>
    <s v="https://supersalud-my.sharepoint.com/:f:/g/personal/gina_cortes_supersalud_gov_co/IgBAQygM5MPFSJHyR7MfZvQaAUFxsw0CxIrA9rtmHOZY410?e=7qCQPI"/>
    <s v="2025"/>
    <s v="Elemento"/>
    <s v="sites/PlanAnualdeGestin/Lists/REPORTE SEGUIMIENTO PAG"/>
  </r>
  <r>
    <s v="Delegatura Prestadores de Servicios en Salud"/>
    <x v="11"/>
    <x v="94"/>
    <s v="Realizar monitoreo y verificación al cumplimiento de las ordenes impartidas por la SNS a agentes interventores, contralores, gerentes y revisores fiscales de las ESE bajo medida, mediante acciones como mesas de trabajo, análisis reporte resultados indicadores mínimos de gestión y avance plan de acción del agente interventor."/>
    <s v="Porcentaje de acciones de monitoreo y verificación adelantadas a agentes interventores, contralores, gerentes y revisores fiscales de los Prestadores de Servicios en Salud - PSS con medida adoptada"/>
    <s v="Número de acciones de monitoreo y verificación realizadas a los Prestadores de Servicios de Salud- PSS con medida adoptada / Número de acciones de monitoreo y verificación a los prestadores de servicios de salud PSS bajo medida programadas."/>
    <s v="Porcentual"/>
    <n v="1"/>
    <n v="204"/>
    <n v="204"/>
    <n v="1"/>
    <s v="Durante el segundo semestre de la vigencia 2025, la Dirección de Medidas Especiales para Prestadores de Servicios de Salud ejecutó la totalidad de las doscientas cuatro (204) acciones de monitoreo y verificación programadas a los agentes interventores de los Prestadores de Servicios de Salud (PSS) con medida especial adoptada. Dichas acciones se distribuyeron en treinta y dos (32) fichas, ocho (8) conceptos, catorce (14) seguimientos en campo, cincuenta y cinco (55) análisis de indicadores Fénix y noventa y cinco (95) seguimientos virtuales a decisiones de impacto, alcanzando un cumplimiento del  100% de la meta establecida para el periodo evaluado.   _x000a__x000a__x000a_Las actuaciones adelantadas permitieron medir y evaluar de manera integral el desempeño de los agentes interventores de los PSS bajo medida especial, así como determinar, a partir del análisis realizado, el nivel de cumplimiento de las metas institucionales, la eficiencia en la gestión y los avances logrados en los procesos de mejora, contribuyendo al fortalecimiento del control y la supervisión del sector salud._x000a_"/>
    <b v="1"/>
    <s v="https://supersalud-my.sharepoint.com/:f:/g/personal/gina_cortes_supersalud_gov_co/IgCal6RbjZ4TQpEKdO5iZBVsAUMKTw37zFfAYFxoRcVpFJs?e=EOqU5x"/>
    <s v="2025"/>
    <s v="Elemento"/>
    <s v="sites/PlanAnualdeGestin/Lists/REPORTE SEGUIMIENTO PAG"/>
  </r>
  <r>
    <s v="Delegatura Prestadores de Servicios en Salud"/>
    <x v="11"/>
    <x v="100"/>
    <s v="Analizar y tramitar las solicitudes para la promoción de acuerdos de reestructuración de pasivos presentadas ante la Superintendencia Nacional de Salud por los prestadores de servicios de salud públicos, determinando las causales de aceptación o rechazo según corresponda"/>
    <s v="Porcentaje de solicitudes de promoción de acuerdos de restructuración de pasivos tramitadas"/>
    <s v="Número de solicitudes de acuerdos de restructuración de pasivos evaluados en el periodo/ Número de acuerdos de restructuración de pasivos solicitados con vencimiento del término."/>
    <s v="Porcentual"/>
    <n v="1"/>
    <n v="1"/>
    <n v="1"/>
    <n v="1"/>
    <s v="​Para el II semestre del año 2025, no se  presentaron solicitudes  para la promoción  de acuerdo de reestructuración  de pasivos, por lo que no se hizo necesaria la validación de cumplimiento de requisitos establecidos en el articulo 6 de la ley 550 de 1999_x000a_"/>
    <b v="0"/>
    <m/>
    <s v="2025"/>
    <s v="Elemento"/>
    <s v="sites/PlanAnualdeGestin/Lists/REPORTE SEGUIMIENTO PAG"/>
  </r>
  <r>
    <s v="Delegatura Prestadores de Servicios en Salud"/>
    <x v="11"/>
    <x v="92"/>
    <s v="Realizar seguimiento a la gestión de promotores designados en la promoción de acuerdos de reestructuración de pasivos que se encuentran en etapa de celebración del acuerdo"/>
    <s v="Porcentaje de acciones de seguimiento a promotores de acuerdos de reestructuración de pasivos hasta la etapa de celebración del acuerdo respectivo"/>
    <s v="Número de acciones de seguimiento a la gestión de promotores de acuerdos de reestructuración de pasivos realizadas / Número de acciones de seguimiento a la gestión de promotores de acuerdos de reestructuración de pasivos programadas"/>
    <s v="Porcentual"/>
    <n v="1"/>
    <n v="1"/>
    <n v="1"/>
    <n v="1"/>
    <s v="Durante el segundo (II) semestre de la vigencia 2025, la Dirección de Medidas Especiales para Prestadores de Servicios de Salud ejecutó una (1) visita de seguimiento programada a la ESE Hospital Nuestra Señora de los Remedios, del departamento de La Guajira, alcanzando un cumplimiento del cien por ciento (100%) de la meta establecida para el periodo evaluado.   _x000a__x000a__x000a_Las visitas de seguimiento adelantadas por la Dirección de Medidas Especiales para Prestadores de Servicios de Salud permiten verificar el adecuado cumplimiento de las funciones asociadas a la ejecución de los acuerdos de reestructuración de pasivos, así como evaluar el avance de los compromisos adquiridos, contribuyendo al fortalecimiento del control, la sostenibilidad financiera y la estabilidad administrativa de las entidades sometidas a medida especial._x000a_"/>
    <b v="1"/>
    <s v="https://supersalud-my.sharepoint.com/:f:/g/personal/gina_cortes_supersalud_gov_co/IgAc8nY3aUYbSKyBSM2AhqCpAYThHX1WeVw7_9H5qi3N8Cg?e=iRsd9J"/>
    <s v="2025"/>
    <s v="Elemento"/>
    <s v="sites/PlanAnualdeGestin/Lists/REPORTE SEGUIMIENTO PAG"/>
  </r>
  <r>
    <s v="Delegatura Prestadores de Servicios en Salud"/>
    <x v="11"/>
    <x v="128"/>
    <s v="Establecer lineamientos para las Entidades de Salud del Estado (E.S.E.) con el fin de promover la formalización laboral y acciones orientadas a la atención en salud con un enfoque diferencial."/>
    <s v="Porcentaje de avance en la formulación de los lineamientos y monitoreo a las E.S.E de las acciones tendientes a la formalización laboral y atención en salud con enfoque diferencia."/>
    <s v="Numero de hitos en la formulación de lineamientos y monitoreos a las E.S.E / Numero de hitos o acciones programadas."/>
    <s v="Porcentual"/>
    <n v="1"/>
    <n v="11"/>
    <n v="11"/>
    <n v="1"/>
    <s v="Durante el período reportado, correspondiente al segundo semestre de la vigencia 2025, se ejecutaron once (11) acciones de seguimiento a la implementación de los lineamientos dirigidos a las Entidades de Salud del Estado (E.S.E.), orientadas a promover la formalización laboral y el fortalecimiento de la atención en salud con enfoque diferencial, alcanzando un cumplimiento del 100 % frente a la meta programada.   _x000a_ _x000a__x000a__x000a_ _x000a_En relación con las acciones asociadas a la atención en salud con enfoque diferencial, se evidenció un cumplimiento del 100 % en los procesos de adopción y medición en las once (11) E.S.E. bajo medida especial. Adicionalmente, se registró un avance significativo en la parametrización del sistema, al pasar de tres (3) entidades en el segundo trimestre a nueve (9) entidades, equivalentes al 82 %, al cierre del segundo semestre de la vigencia 2025, lo cual refleja una mejora sustancial en la capacidad de reporte y análisis de la información._x000a_ _x000a__x000a__x000a_ _x000a_En cuanto a la implementación de los lineamientos de formalización laboral, las E.S.E. continuaron con la ejecución de los planes y fases proyectadas, logrando la vinculación de personal asistencial y administrativo, con incrementos que, en algunos casos, superaron los ciento cincuenta (150) cargos formalizados, contribuyendo a la reducción de la contratación mediante prestación de servicios y al fortalecimiento de la estabilidad laboral._x000a_"/>
    <b v="1"/>
    <s v="https://supersalud-my.sharepoint.com/:f:/g/personal/gina_cortes_supersalud_gov_co/IgAkNs_GTVaIS4EZQpNMTBSaAVGWt8bA8wodSnWtPOebKNU?e=gte2Wb"/>
    <s v="2025"/>
    <s v="Elemento"/>
    <s v="sites/PlanAnualdeGestin/Lists/REPORTE SEGUIMIENTO PAG"/>
  </r>
  <r>
    <s v="Delegatura Prestadores de Servicios en Salud"/>
    <x v="11"/>
    <x v="93"/>
    <s v="Realizar eventos de difusión y socialización a los Agentes Especiales Interventores y Contralores respecto a los fines, acciones y cumplimiento de las medidas especiales"/>
    <s v="Eventos de difusión, socialización y capacitación realizados en relación con las acciones y medidas especiales adoptadas a los Prestadores de Servicios de Salud-PSS de la Superintendencia Nacional de Salud"/>
    <s v="Número de Eventos de difusión, socialización y capacitación realizados/Número de Eventos de difusión, socialización y capacitación programados"/>
    <s v="Porcentual"/>
    <n v="1"/>
    <n v="2"/>
    <n v="2"/>
    <n v="1"/>
    <s v="Durante el segundo (II) semestre de la vigencia 2025, la Delegada para Prestadores de Servicios de Salud realizó dos (2) eventos de difusión relacionados con las acciones y medidas especiales adoptadas frente a los Prestadores de Servicios de Salud (PSS), de un total de dos (2) eventos programados, alcanzando un cumplimiento del cien por ciento (100%) de la meta establecida para el periodo evaluado.   _x000a__x000a__x000a_La realización de estos eventos permitió socializar y conocer el balance de gestión correspondiente al primer semestre del año de las Empresas Sociales del Estado (ESE) que se encuentran bajo Medida Especial, facilitando el seguimiento a las acciones adelantadas y a los resultados obtenidos en el marco de las medidas de control implementadas._x000a__x000a__x000a_Adicionalmente, estos espacios constituyen un mecanismo fundamental de rendición de cuentas por parte de los agentes interventores de las ESE bajo medida especial, en tanto permiten verificar la gestión desarrollada, el cumplimiento de los planes, metas y compromisos establecidos, así como la adecuada administración de los recursos públicos, fortaleciendo la transparencia, el control institucional y la toma de decisiones informadas por parte de la Superintendencia Nacional de Salud._x000a_"/>
    <b v="1"/>
    <s v="https://supersalud-my.sharepoint.com/:f:/g/personal/gina_cortes_supersalud_gov_co/IgABtiHpRWxhSpHl0blQ0lPeAWbW4rAEGO-lNspn2xBSkHU?e=fRbJY0"/>
    <s v="2025"/>
    <s v="Elemento"/>
    <s v="sites/PlanAnualdeGestin/Lists/REPORTE SEGUIMIENTO PAG"/>
  </r>
  <r>
    <s v="Delegatura Prestadores de Servicios en Salud"/>
    <x v="11"/>
    <x v="98"/>
    <s v="Generar alertas a partir del monitoreo de los riesgos financieros en las Empresas Sociales del Estado priorizadas, que les permitan establecer controles y anticipen la afectación que se pueda ocasionar en la atención de los usuarios por una inadecuada gestión de los recursos."/>
    <s v="Alertas identificadas y gestionadas en el monitoreo y vigilancia de los recursos financieros a 25 ESE durante la vigencia 2025, respecto de 4 indicadores financieros."/>
    <s v="Número alertas gestionadas en las ESE"/>
    <s v="Numérica"/>
    <n v="60"/>
    <n v="72"/>
    <n v="60"/>
    <n v="1.2"/>
    <s v="_x000a_En el marco de las acciones desarrolladas por la Dirección IV para Prestadores de Servicios de Salud, se adelanta el monitoreo de cuatro (4) indicadores financieros, calculados con base en la información reportada por las Empresas Sociales del Estado (E.S.E.) al cierre de la vigencia anterior (2024). Estos indicadores incorporan variables relacionadas con la cartera, los pasivos, en especial aquellos asociados al talento humano en salud, las pérdidas operacionales y la capacidad de recaudo frente a los ingresos causados._x000a_ _x000a_Para el segundo semestre de la vigencia 2025, se estableció como meta el seguimiento y la ejecución de acciones de inspección y vigilancia sobre treinta y tres (33) Empresas Sociales del Estado, con el propósito de verificar el comportamiento de los indicadores financieros y detectar oportunamente posibles desviaciones o fallas en la gestión de los recursos._x000a_ _x000a_Como resultado de estas actuaciones, se elaboraron informes de auditoría, se efectuaron traslados a las autoridades competentes y se adelantaron acciones de inspección y vigilancia asociadas al componente financiero, orientadas a mitigar los riesgos identificados y a fortalecer la sostenibilidad financiera de las entidades evaluadas._x000a_ _x000a_En consecuencia, durante el segundo semestre de la vigencia 2025, se analizaron ciento treinta y dos (132) indicadores derivados del seguimiento realizado a las treinta y tres (33) E.S.E. monitoreadas, de los cuales se generaron setenta y dos (72) alertas, las cuales fueron gestionadas en su totalidad. Este resultado permitió alcanzar un 120% frente a la meta programada para el segundo semestre de la vigencia 2025, correspondiente a sesenta (60) acciones de inspección y vigilancia orientadas al monitoreo de los riesgos financieros en las Empresas Sociales del Estado priorizadas._x000a_ _x000a_En ese orden de ideas, para la vigencia 2025, en específico para este indicador, se ejecutaron en su totalidad cien (100) acciones de inspección y vigilancia programadas, alcanzando un cumplimiento del 100% frente a la meta establecida, contribuyendo a la generación de controles preventivos que anticipen posibles afectaciones en la atención de los usuarios derivadas de una inadecuada gestión de los recursos._x000a_"/>
    <b v="1"/>
    <s v="https://supersalud-my.sharepoint.com/:f:/g/personal/gina_cortes_supersalud_gov_co/IgBlFHF0oIrPT7EulDhbBqy1AeBLIAPz_OAMX842y7mNe2M?e=2PQiaX"/>
    <s v="2025"/>
    <s v="Elemento"/>
    <s v="sites/PlanAnualdeGestin/Lists/REPORTE SEGUIMIENTO PAG"/>
  </r>
  <r>
    <s v="Dirección de Innovación y Desarrollo"/>
    <x v="11"/>
    <x v="40"/>
    <s v="Ejecutar cronograma de actividades diseñado para fortalecer sistema de Gestión de Innovación de la Superintendencia Nacional de Salud"/>
    <s v="Porcentaje de implementación del Sistema de Gestión de Innovación"/>
    <s v="Número de actividades ejecutadas para el fortalecimiento del Sistema de Gestión de Innovación de la Superintendencia Nacional de Salud / Número de actividades definidas para el fortalecimiento del Sistema de Gestión de Innovación de la Superintendencia Nacional de Salud * 100"/>
    <s v="Porcentual"/>
    <n v="1"/>
    <n v="5"/>
    <n v="5"/>
    <n v="1"/>
    <s v="​Para el periodo reportado, se avanzaron en las siguientes actividades: _x000a__x000a_1. Se avanzó En el marco del Sistema de Gestión de Innovación, se retomó la relación con SENATIC – una iniciativa entre MINTIC1 / OIT2/ SENA3 potenciar la formación por competencias en tecnologías de la información y contribuir al cierre de la brecha digital en el país._x000a__x000a_Este es un programa de formación en diversos temas tecnológicos, digitales y con aptitudes blandas,_x000a_que busca fortalecer las competencias de los funcionarios de la Superintendencia Nacional de Salud  en temáticas como:_x000a_1. Tecnologías Emergentes._x000a_2. Experiencia Digital._x000a_3. Gestión de Proyectos._x000a_4. Introducción a las tecnologías._x000a_5. Lenguaje de programación_x000a__x000a__x000a_Durante el mes de septiembre se sostuvo la primera mesa de trabajo con la representante de esta alianza, la Dirección de Innovación y Desarrollo y la Dirección de Talento Humano vía TEAMS._x000a__x000a__x000a_El día 11 de noviembre se hizo el lanzamiento oficial en la sede principal de la Superintendencia y se hizo socialización por medio del correo electrónico, SUPERBOLETÍN_x000a__x000a__x000a__x000a_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quot;BANCO DE PROYECTOS&quot; para la vigencia 2026. Con esta actividad se abarcan también las siguientes actividades planteadas: Generar estrategia de cierre de brechas de necesidades del conocimiento alineadas a la metodología de función pública yGenerar estrategia de capacitación y sensibilización en gestión del conocimiento_x000a__x000a__x000a__x000a_3. Durante el segundo semestre de la presente vigencia, en compañía de la Oficina Asesora de Planeación se gestionó la identifcación de brechas y elaboración de cronograma de actividades para hacer el cierre de éstas, es importante mencionar que la ejecución de las mismas se ha venido desarrollando conforme a lo programado._x000a__x000a__x000a_4. En el marco de las acciones diseñadas y ejecutadas para mitigar la fuga de conocimiento en la transición de persona, desde la Dirección de Innovación y Desarrollo se estructuraron y pusieron a dispoción de la entidad los REPOSITORIOS DE INFORMACIÓN INSTITUCIONALES para estandarizar un poco el control y accesibilidad de la información producida por las dependencias de la entidad: https://supersalud.sharepoint.com/teams/Gestiondelconocimiento/Shared%20Documents/Forms/AllItems.aspx_x000a__x000a_5.Los días 24 y 25 de octubre, la Supersalud adelantó la segunda versión de la Hackaton 2025 con el apoyo de la UNICAFAM en la cual se fomentó un espacio de Innovación Abierta y creación de soluciones."/>
    <b v="1"/>
    <s v="https://supersalud-my.sharepoint.com/:f:/r/personal/gerson_ruiz_supersalud_gov_co/Documents/GESTI%C3%93N%20DID%202024/PLANEACI%C3%93N%202025/P.E.I_2025/REQUERIMIENTO%20OAP%2017122025?csf=1&amp;web=1&amp;e=lqdtze"/>
    <s v="2025"/>
    <s v="Elemento"/>
    <s v="sites/PlanAnualdeGestin/Lists/REPORTE SEGUIMIENTO PAG"/>
  </r>
  <r>
    <s v="Dirección de Innovación y Desarrollo"/>
    <x v="11"/>
    <x v="124"/>
    <s v="Ejecutar cronograma de actividades para la implementación y sostenibilidad de la política de gestión y desempeño de Gestión del Conocimiento y la Innovación: implementar el programa de gestión del conocimiento."/>
    <s v="Porcentaje de Implementación del Programa de Gestión del Conocimiento"/>
    <s v="Número de actividades ejecutadas para la implementación del Programa de Gestión del Conocimiento / Número de actividades definidas para la implementación en la vigencia 2025 Programa de Gestión del Conocimiento *100"/>
    <s v="Porcentual"/>
    <n v="1"/>
    <n v="1"/>
    <n v="1"/>
    <n v="1"/>
    <s v="​Para el periodo de tiempo reportado, se avanzó en lo siguiente:_x000a__x000a_1. Para este indicador se avanzó En el marco del Sistema de Gestión de Innovación, se retomó la relación con SENATIC – una iniciativa entre MINTIC1 / OIT2/ SENA3 potenciar la formación por competencias en tecnologías de la información y contribuir al cierre de la brecha digital en el país._x000a__x000a_Este es un programa de formación en diversos temas tecnológicos, digitales y con aptitudes blandas,_x000a_que busca fortalecer las competencias de los funcionarios de la Superintendencia Nacional de Salud  en temáticas como:_x000a_1. Tecnologías Emergentes._x000a_2. Experiencia Digital._x000a_3. Gestión de Proyectos._x000a_4. Introducción a las tecnologías._x000a_5. Lenguaje de programación_x000a__x000a__x000a_Durante el mes de septiembre se sostuvo la primera mesa de trabajo con la representante de esta alianza, la Dirección de Innovación y Desarrollo y la Dirección de Talento Humano vía TEAMS: SENATIC_x000a__x000a__x000a_El día 11 de noviembre se hizo el lanzamiento oficial en la sede principal de la Superintendencia y se hizo socialización por medio del correo electrónico, SUPERBOLETÍN._x000a__x000a__x000a__x000a_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quot;BANCO DE PROYECTOS&quot; para la vigencia 2026: INFORME WORKSHOP INNOVACIÓN EN TERRITORIOS 2025.pptx_x000a__x000a_3. Los días 24 y 25 de octubre, la Supersalud adelantó la segunda versión de la Hackaton 2025 con el apoyo de la UNICAFAM en la cual se fomentó un espacio de Innovación Abierta y creación de soluciones. HACKATON 2025_x000a__x000a_4. Se ejecutó la primera semana de la Innovación en la Supersalud durante los días 1,2 y 3 de diciembre._x000a__x000a_5. Se creó y formalizó el Manual de Innovación de ls Supersalud.(se adjunta en word, toda vez que a la fecha de este reporte elportal web de la entidad presenta fallas en su funcionamiento y no permite descargar el documento directamente)_x000a_6. Se realizaron los primeros &quot;CAFÉ CON CONEXIÓN&quot; como estrategia de interrelacionamiento institucional e identificación del conocimiento tácito de la entidad. _x000a__x000a_"/>
    <b v="1"/>
    <s v="https://supersalud-my.sharepoint.com/:f:/r/personal/gerson_ruiz_supersalud_gov_co/Documents/GESTI%C3%93N%20DID%202024/PLANEACI%C3%93N%202025/P.E.I_2025/REQUERIMIENTO%20OAP%2017122025/SENATIC?csf=1&amp;web=1&amp;e=SAZEb9"/>
    <s v="2025"/>
    <s v="Elemento"/>
    <s v="sites/PlanAnualdeGestin/Lists/REPORTE SEGUIMIENTO PAG"/>
  </r>
  <r>
    <s v="Dirección de Innovación y Desarrollo"/>
    <x v="11"/>
    <x v="41"/>
    <s v="Diseñar las políticas. instrumentos, guías, metodologías y lineamientos, a partir de las solicitudes y necesidades identificadas y gestionadas"/>
    <s v="Porcentaje de solicitudes gestionadas de políticas, instrumentos, guías, metodologías y lineamientos"/>
    <s v="Número de solicitudes de políticas, instrumentos, guías, metodologías y lineamientos gestionadas / Número de solicitudes de políticas, instrumentos, guías, metodologías y lineamientos identificadas * 100"/>
    <s v="Porcentual"/>
    <n v="1"/>
    <n v="6"/>
    <n v="6"/>
    <n v="1"/>
    <s v="​de las 6 solicitudes identificadas del DIFT 33 que llegaron a la SMIS se gestionaron 6 solicitudes en el ultimo trimestre del año dando un cumplimiento del 100% frente a la meta programada de realizar gestion al 100% de las solicitudes identificadas. esto se debe al plan de trabajo de cada una de las solicitudes realizadas. _x000a_"/>
    <b v="0"/>
    <m/>
    <s v="2025"/>
    <s v="Elemento"/>
    <s v="sites/PlanAnualdeGestin/Lists/REPORTE SEGUIMIENTO PAG"/>
  </r>
  <r>
    <s v="Dirección de Innovación y Desarrollo"/>
    <x v="11"/>
    <x v="103"/>
    <s v="Diseñar el Marco Integral de Supervisión y generar estrategias de uso y apropiación"/>
    <s v="Porcentaje de avance en el diseño e implementación de estrategias de uso y apropiación del Marco Integral de Supervisión."/>
    <s v="Número de productos términados del Marco Integral de Supervisión / Número total de productos programados para el diseño del Marco Integral de Supervisión"/>
    <s v="Numérica"/>
    <n v="1"/>
    <n v="4"/>
    <n v="4"/>
    <n v="1"/>
    <s v="El resultado para el año 2025 corresponde a la consolidacion de los  4 modelos  de supervision :_x000a_ 1. modelo de supervision para PSS_x000a_ 2. Modelo de supervision para entidades territoriales_x000a_ 3. Modelo de supervision DEAS_x000a_ 4. Modelo de supervision para operadores Logisticos y/o gestores farmaceuticos._x000a__x000a_De las 4 actividades programadas se ejecutaron todas dando cumplimiento al 100% frente a las metas establecidas para está vigencia; esto se debe al trabajo colaborativo entre las diferentes delegaturas, la UDEA y la Subdirección de Metodologías e Instrumentos de Supervisión._x000a_Para el 2026 el 20% faltante corresponde a la implementacion de los modelos, la construccion de la caja de herramientas y el diseño de alertas tempranas. _x000a_"/>
    <b v="1"/>
    <s v="https://n9.cl/sygme"/>
    <s v="2025"/>
    <s v="Elemento"/>
    <s v="sites/PlanAnualdeGestin/Lists/REPORTE SEGUIMIENTO PAG"/>
  </r>
  <r>
    <s v="Dirección de Innovación y Desarrollo"/>
    <x v="11"/>
    <x v="46"/>
    <s v="Ejecutar acciones para el desarrollo de los programas de Gobernanza, Inteligencia de Negocios y Gestión de Datos y de Información de la SNS"/>
    <s v="Acciones ejecutadas para el desarrollo de los programas de Gobernanza, Inteligencia de Negocios y Gestión de Datos y de Información de la SNS"/>
    <s v="Número total de acciones ejecutada para el desarrollo de los programas de Gobernanza, inteligencia de negocios y Gestión de Datos y de Información de la SNS"/>
    <s v="Numérica"/>
    <n v="7"/>
    <n v="40"/>
    <n v="40"/>
    <n v="1"/>
    <s v="En realizó la ejecución el contrato 116 de 2025 por valor de $1,634,000,000 con avance técnico del 100%. Este contrato abarca dos proyectos independientes que hacen parte de dos programas y el Objeto es: Desarrollar e Implementar el Programa de Gobernanza de Datos en las etapas restantes de diseño y arquitectura, implementación, y operación y control, y el Programa de Inteligencia de Negocios y Analítica de la Superintendencia Nacional de Salud _x000a__x000a_ ALCANCE: Terminar de desarrollar e implementar las etapas restantes del programa de Gobernanza de Datos, iniciado en el 2024: _x000a__x000a__x000a__x000a_Fase 3: Arquitectura y Diseño en las subfases y actividades restantes no desarrolladas en el Contrato 131 de 2024 Subfase 3.1. actividad 3.1.3. para identificar herramientas y tecnología que apoye las capacidades de la GoD, subfases _x000a_Subfase 3.2, Definición de Marcos de operación, _x000a_Subfase 3.3, Formalización del compromiso y flujo de trabajo _x000a_Fase 4: Implementación (implantación) _x000a_Fase 5: Operación y Cambio _x000a__x000a__x000a_* Desarrollar e Implementar el Programa de Inteligencia de Negocios de la Superintendencia Nacional de Salud: _x000a__x000a_Fase 1 Estructuración _x000a_Fase 2 Desarrollo _x000a_Fase 3 Despliegue _x000a_Fase 4 Implementación, operación, seguimiento y evaluación _x000a__x000a__x000a__x000a__x000a_"/>
    <b v="0"/>
    <m/>
    <s v="2025"/>
    <s v="Elemento"/>
    <s v="sites/PlanAnualdeGestin/Lists/REPORTE SEGUIMIENTO PAG"/>
  </r>
  <r>
    <s v="Dirección de Innovación y Desarrollo"/>
    <x v="11"/>
    <x v="47"/>
    <s v="Ejecutar acciones para la implementación de la Política de Gestión de la Información Estadística en la SNS"/>
    <s v="Porcentaje de acciones ejecutadas para la implementación de la Política de Gestión de la Información Estadística en la SNS"/>
    <s v="Número de acciones ejecutados para la Gestión de la Información Estadística / Número de acciones definidas en la vigencia 2025 para Gestión de la Información Estadística * 100"/>
    <s v="Porcentual"/>
    <n v="1"/>
    <n v="10"/>
    <n v="10"/>
    <n v="1"/>
    <s v="_x000a__x000a_En lo relacionado con la Implementación de la Política de Gestión de Información Estadística, para lo cual se realizó la contratación prestación de servicios de dos OPS, por valor de $71,093,972, que apoyaron a la entidad en avanzar en la formulación del Plan Estadístico Institucional y en la preparación para la certificación de las operaciones estadísticas y en el desarrollo de los mecanismos de la Política de Gestión de la Información Estadística de la Superintendencia Nacional de Salud. _x000a__x000a__x000a_Los profesionales contratados fueron Yamit Juliana Tovar y Hernado Trilleros, con los cuales se realizó ajuste y socialización del Procedimiento de Gestión de Información Estadística (PRGIE) en la SNS.  _x000a__x000a_Se envió a Planeación el procedimiento PRGIE actualizado para su publicación. _x000a__x000a__x000a_Se revisó el procedimiento de Formular y Gestionar el Plan Estadístico Institucional PESI._x000a__x000a__x000a__x000a_Se participó en reuniones con las Delegaturas y Direcciones para revisar la calidad de los archivos tipos y su uso, para generar análisis de fortalecimiento de registros administrativos (RRAA). _x000a_ _x000a_Se trabajó en la metodología para el fortalecimiento de RRAA, en la metodología para anonimización de bases de datos, y en una Propuesta de actualización del Plan estadístico institucional. _x000a__x000a__x000a_  _x000a_ "/>
    <b v="0"/>
    <m/>
    <s v="2025"/>
    <s v="Elemento"/>
    <s v="sites/PlanAnualdeGestin/Lists/REPORTE SEGUIMIENTO PAG"/>
  </r>
  <r>
    <s v="Dirección de Innovación y Desarrollo"/>
    <x v="11"/>
    <x v="75"/>
    <s v="Generar estrategia para la caracterización de grupos de interés y de valor para la SNS"/>
    <s v="Porcentaje de cumplimiento de la estrategia definida para la caracterización"/>
    <s v="Número de actividades ejecutadas para generar la estrategia para la caracterización de grupos de interés y de valor para la SNS / Número de actividades ejecutadas para generar la estrategia para la caracterización de grupos de interés y de valor para la SNS * 100"/>
    <s v="Porcentual"/>
    <n v="0.33"/>
    <n v="0.34"/>
    <n v="1"/>
    <n v="0.34"/>
    <s v="Durante el periodo evaluado se han adelantado las actvidades correspondientes para mantener actualizada la Base Única de Vigilados (grupo de valor), realizando, además, procesos de revisiones y/o actualizaciones en los sistemas de Génesis y nRVCC sobre los vigilados. _x000a__x000a__x000a_Y se alcanzó el 100% de propuesto en la vigencia, para lo cual se ha mantenido permanente interlocución con las Delegaturas y Direccciones de la Entidad como Financiera y el Grupo de Contribución.  "/>
    <b v="0"/>
    <m/>
    <s v="2025"/>
    <s v="Elemento"/>
    <s v="sites/PlanAnualdeGestin/Lists/REPORTE SEGUIMIENTO PAG"/>
  </r>
  <r>
    <s v="Dirección de Innovación y Desarrollo"/>
    <x v="11"/>
    <x v="43"/>
    <s v="Actualizar e implementar el Plan Estratégico de Tecnologías de la información (PETI)"/>
    <s v="Porcentaje de avance en el cumplimiento del Plan Estratégico de Tecnologías de la Información y las Comunicaciones PETI."/>
    <s v="Número de acciones ejecutadas para actualización e implementación del Plan Estratégico de Tecnologías de la información (PETI) / Número de acciones definidas para la actualización e implementación del Plan Estratégico de Tecnologías de la información (PETI) * 100"/>
    <s v="Porcentual"/>
    <n v="21"/>
    <n v="17"/>
    <n v="21"/>
    <n v="0.80952380952380998"/>
    <s v="​_x000a_Justificación:_x000a_Se procede a modificar el Plan de Acción de Gestión (PAG) con la eliminación de los proyectos PR_05, PR_11, PR_13 y PR_16 del reporte correspondiente a la vigencia 2025. Esta decisión obedece a diversas circunstancias institucionales que han impedido su ejecución durante el presente año, aunque se prevé su continuidad en la vigencia 2026. A continuación, se detallan las razones específicas para cada proyecto:PR_05 – Consolidación de las PQRS en torno a la prestación de los servicios de salud:_x000a_ No se relacionó el perfil profesional adecuado para el desarrollo efectivo del proyecto en el PAA 2025. Durante la vigencia 2026 se tendrán avances sobre este proyecto._x000a_PR_11 – Fortalecimiento de las funciones de IVC de la SNS mediante la implementación de procedimientos y controles de auditoría a sistemas de información, cadena de custodia y laboratorio forense:_x000a_Se encuentra pendiente la definición institucional relacionada con el laboratorio forense.PR_13 – Acompañamiento a la implementación del Plan de Continuidad del Negocio (BCP):_x000a_ La ejecución de este proyecto depende de la culminación previa del proyecto PR_12. Por esta razón, su desarrollo y reporte están previstos para la vigencia 2026.PR_16 – Fortalecimiento de la Arquitectura Empresarial:_x000a_No se relacionó el perfil profesional adecuado para el desarrollo efectivo del proyecto en el PAA 2025. Se aprovisinó en el PAA 2026 para desarrollar este proyecto._x000a__x000a_Estas acciones, una vez reactivadas, contribuirán significativamente al fortalecimiento institucional de la Supersalud, mejorando la eficiencia y eficacia de los procesos de inspección, vigilancia y control, mediante el uso de herramientas tecnológicas, metodologías de auditoría, y mecanismos que optimicen la gestión de riesgos, la seguridad de la información y la protección de datos personales._x000a__x000a_"/>
    <b v="1"/>
    <s v="https://supersalud.sharepoint.com/GEGATI/Documentos%20compartidos/Forms/AllItems.aspx?id=%2FGEGATI%2FDocumentos%20compartidos%2FGobierno%20y%20Cumplimiento%2FGestor%20OAP%2FPAG%2F2025&amp;viewid=6ad9fcac%2D3448%2D49b7%2Dbf4c%2D16401a637e50"/>
    <s v="2025"/>
    <s v="Elemento"/>
    <s v="sites/PlanAnualdeGestin/Lists/REPORTE SEGUIMIENTO PAG"/>
  </r>
  <r>
    <s v="Dirección de Innovación y Desarrollo"/>
    <x v="11"/>
    <x v="122"/>
    <s v="Realizar convocatoria RILCO"/>
    <s v="Actividades correspondientes para realizar la convocatoria que permita fortalecer y actualizar el registro de agentes Liquidadores, Interventores y Contralores - RILCO"/>
    <s v="Número de actividades ejecutadas para realizar la convocatoria que permita fortalecer y actualizar el registro de agentes Liquidadores, Interventores y Contralores - RILCO"/>
    <s v="Numérica"/>
    <n v="1"/>
    <n v="1"/>
    <n v="1"/>
    <n v="1"/>
    <s v="​En el segundo sementre del 2025 se ejecutaron las fases II y II del proyecto asi:_x000a__x000a_En la Fase II (Estructuración, elaboración y aplicación de la prueba) se definieron perfiles y categorías, se diseñó y validó el banco de preguntas por rol (interventor, liquidador, contralor), se adoptaron guías y manuales de seguridad, se aplicó la prueba con soporte logístico y técnico, y se consolidaron informes de resultados y actas finales con puntajes y justificación de respuestas. En la Fase III (Análisis integral) se ejecutó el análisis de riesgos y la verificación de autenticidad/antecedentes según anexo técnico, y se administraron los análisis de personalidad, emitiendo informes individuales con perfiles comportamentales, recomendaciones y hallazgos. Todo lo anterior se documentó y remitió al supervisor dentro de los plazos establecidos, asegurando calidad metodológica, objetividad en la valoración y trazabilidad completa del RILCO. Con Entregables análisis de Riesgo, Entregables Análisis de Personalidad, Entregables Finales._x000a__x000a_Por lo que Se expidió la resolución 2025100000008450-6 de 16 – 09 - 2025 mediante la cual se conformó y publicó el listado definitivo de inscritos en el registro de agentes interventores, liquidadores y contralores de la Superintendencia Nacional de Salud. Delegar en la Secretaría General – Dirección Administrativa, la administración del Registro de Interventores, Liquidadores y Contralores de la Superintendencia Nacional de Salud – RILCO._x000a__x000a_ Con lo anterior, se cumplieron las tres fases (Actividades) previstas para la convocatoria que permita fortalecer y actualizar el registro de agentes Liquidadores, Interventores y Contralores - RILCO del 2025, con un complimiento del 100% del indicador . _x000a__x000a__x000a__x000a__x000a__x000a__x000a__x000a_"/>
    <b v="0"/>
    <m/>
    <s v="2025"/>
    <s v="Elemento"/>
    <s v="sites/PlanAnualdeGestin/Lists/REPORTE SEGUIMIENTO PAG"/>
  </r>
  <r>
    <s v="Dirección Jurídica"/>
    <x v="11"/>
    <x v="109"/>
    <s v="Solicitar, en grado de consulta, la inaplicación y/o revocatoria de sanciones impuestas por desacato, en contra de la superintendencia nacional de salud."/>
    <s v="Porcentaje de sanciones enviadas en grado de consulta en contra de la SNS."/>
    <s v="(Numero de sanciones revocadas en grado de consulta en el periodo / Numero de sanciones enviadas al grado de consulta en el periodo)x100."/>
    <s v="Porcentual"/>
    <n v="1"/>
    <n v="21"/>
    <n v="21"/>
    <n v="1"/>
    <s v="​ De 21 sanciones enviadas en grado de consulta, 21 sanciones fueron  revocadas. En el periodo informado no se materializó  ninguna sancion en contra del superintendente._x000a_"/>
    <b v="0"/>
    <m/>
    <s v="2025"/>
    <s v="Elemento"/>
    <s v="sites/PlanAnualdeGestin/Lists/REPORTE SEGUIMIENTO PAG"/>
  </r>
  <r>
    <s v="Dirección Jurídica"/>
    <x v="11"/>
    <x v="107"/>
    <s v="Gestionar los requerimientos radicados por los despachos judiciales en el grupo de tutelas"/>
    <s v="Porcentaje de requerimientos tramitados oportunamente en desarrollo de las acciones constitucionales de tutela"/>
    <s v="(Número de requerimientos gestionados por el grupo de tutelas / Número de requerimientos notificados al grupo de tutelas en el periodo) x100."/>
    <s v="Porcentual"/>
    <n v="1"/>
    <n v="115491"/>
    <n v="123166"/>
    <n v="0.93768572495656299"/>
    <s v="​El grupo de tutelas obtuvo un 93.76% de efectividad frente a las respuestas de procesos de tutelas asignadas.  El porcentaje de efectividad disminuyó frente al reporte del semestre anterior en la medida que se aumentó  progresivamente el flujo de tutelas en los que la SNS hace parte  y la capacidad instalada de la Dirección jurídica no creció en la misma proporción._x000a_"/>
    <b v="0"/>
    <m/>
    <s v="2025"/>
    <s v="Elemento"/>
    <s v="sites/PlanAnualdeGestin/Lists/REPORTE SEGUIMIENTO PAG"/>
  </r>
  <r>
    <s v="Dirección Jurídica"/>
    <x v="11"/>
    <x v="105"/>
    <s v="Proyectar los actos administrativos que resuelven los recursos de reposición, y solicitudes de revocatoria directa que se presenten dentro de los procesos de única instancia."/>
    <s v="Porcentaje de actos administrativos entregados para firma, numeración y su posterior notificación, que resuelven los recursos y solicitudes de revocatoria directa que se presenten dentro de los procesos de única instancia."/>
    <s v="(Número de proyectos de actos administrativos entregados para firma del Superintendente Nacional de Salud, que resuelven recursos y solicitudes de única instancia, que vencen dentro del periodo a reportar / No solicitudes de única instancia con vencimiento dentro del periodo a reportar) x 100."/>
    <s v="Porcentual"/>
    <n v="1"/>
    <n v="6"/>
    <n v="6"/>
    <n v="1"/>
    <s v="Dentro del período objeto de reporte se cumplió en su totalidad con el indicador propuesto (100%), en la medida en que los recursos de única instancia fueron resueltos y entregados dentro del término de oportunidad de dos (2) meses contados a partir de la fecha de recepción del respectivo recurso._x000a__x000a_A la fecha, se remitieron seis (6) solicitudes para el trámite de recursos de reposición en única instancia, de las cuales seis (6) fueron resueltas dentro del término establecido._x000a_​_x000a_"/>
    <b v="0"/>
    <m/>
    <s v="2025"/>
    <s v="Elemento"/>
    <s v="sites/PlanAnualdeGestin/Lists/REPORTE SEGUIMIENTO PAG"/>
  </r>
  <r>
    <s v="Dirección Jurídica"/>
    <x v="11"/>
    <x v="106"/>
    <s v="Proyectar los actos administrativos que resuelven los recursos de apelación y queja y solicitudes de revocatoria directa que se presentaron dentro de los procesos administrativos sancionatorios en segunda instancia."/>
    <s v="Actos administrativos entregados para firma, numeración y su posterior notificación oportuna, que resuelven los recursos de apelación, queja y solicitudes de revocatoria directa que se presentaron dentro de los procesos sancionatorios en segunda instancia."/>
    <s v="(Número de recursos entregados para la firma del Superintendente Nacional de Salud resolviendo solicitudes de segunda instancia que se vencen dentro del periodo a reportar / No solicitudes de segunda instancia con vencimiento dentro del periodo a reportar) x 100"/>
    <s v="Porcentual"/>
    <n v="1"/>
    <n v="58"/>
    <n v="58"/>
    <n v="1"/>
    <s v="Dentro del período objeto de reporte se cumplió con el indicador propuesto (100%),  entregando para firma y notificación 58 actos administrativos que resuelven los recursos de apelación,  queja y solicitudes de revocatoria directa  antes de la fecha de caducidad de que trata el artículo 52 de la ley 1437 de 2011- Código de Procedimiento Administrativo y de lo Contencioso Administrativo._x000a__x000a_"/>
    <b v="0"/>
    <m/>
    <s v="2025"/>
    <s v="Elemento"/>
    <s v="sites/PlanAnualdeGestin/Lists/REPORTE SEGUIMIENTO PAG"/>
  </r>
  <r>
    <s v="Dirección Jurídica"/>
    <x v="11"/>
    <x v="108"/>
    <s v="Proyectar dentro de los términos de ley, las respuestas conceptos, solicitudes y derechos de petición recibidos que sean competencia del grupo de conceptos de la Dirección Jurídica"/>
    <s v="Porcentaje de conceptos, solicitudes y derechos de petición tramitados."/>
    <s v="(Número de conceptos, derechos de petición y solicitudes tramitados en el semestre/ Número de conceptos, solicitudes y derechos de petición recibidos en el periodo)x 100"/>
    <s v="Porcentual_x000a_"/>
    <n v="1"/>
    <n v="524"/>
    <n v="524"/>
    <n v="1"/>
    <s v="Dentro del periodo reportado se gestionó  la respuesta de 524 solicitudes de conceptos cumpliendo con el  trámite del  100% de los radicados, de esta forma señalar la oportunidad y resolutividad en el cumplimiento de las funciones asignadas con el control  efectivo del indicador​"/>
    <b v="0"/>
    <m/>
    <s v="2025"/>
    <s v="Elemento"/>
    <s v="sites/PlanAnualdeGestin/Lists/REPORTE SEGUIMIENTO PAG"/>
  </r>
  <r>
    <s v="Dirección Jurídica"/>
    <x v="11"/>
    <x v="110"/>
    <s v="Implementar planes de acción de políticas de prevención de daño antijurídico"/>
    <s v="Cumplimiento de planes de políticas de prevención de daño antijurídico"/>
    <s v="(Cantidad de actividades ejecutadas en el periodo / Cantidad de actividades planificadas en la política de prevención del daño antijurídico para el periodo)*100"/>
    <s v="Porcentual"/>
    <n v="1"/>
    <n v="2"/>
    <n v="2"/>
    <n v="1"/>
    <s v="​Durante el segundo  semestre de 2025  se confirmó la realización de 2  capacitaciones en cumplimiento al seguimiento a la PPDA._x000a_"/>
    <b v="0"/>
    <m/>
    <s v="2025"/>
    <s v="Elemento"/>
    <s v="sites/PlanAnualdeGestin/Lists/REPORTE SEGUIMIENTO PAG"/>
  </r>
  <r>
    <s v="Dirección Jurídica"/>
    <x v="11"/>
    <x v="48"/>
    <s v="Proyectar contestaciones y ejercer la actividad procesal."/>
    <s v="Porcentaje de acciones contencioso administrativas y ordinarias tramitadas dentro de los términos de ley"/>
    <s v="(Número de acciones contencioso administrativas y ordinarias tramitadas dentro de los términos de ley en el periodo/Total de acciones contencioso administrativas y ordinarias recibidas para trámite en el periodo) x100"/>
    <s v="Porcentual"/>
    <n v="1"/>
    <n v="74"/>
    <n v="74"/>
    <n v="1"/>
    <s v="​Durante el periodo informado se tramitó 74 acciones contencioso adminstrativas y ordinarias atendiendo el 100% de los autos admisorios recepcionados,   lo que impactó favorablemente la prevención del daño antijurídico al cumplir con  los términos de ley._x000a_"/>
    <b v="0"/>
    <m/>
    <s v="2025"/>
    <s v="Elemento"/>
    <s v="sites/PlanAnualdeGestin/Lists/REPORTE SEGUIMIENTO PAG"/>
  </r>
  <r>
    <s v="Dirección Jurídica"/>
    <x v="11"/>
    <x v="49"/>
    <s v="Someter los asuntos de competencia al Comité de Conciliación"/>
    <s v="Porcentaje solicitudes de conciliaciones que cumplan requisitos de ley para ser presentadas al Comité de Conciliación"/>
    <s v="(Número de solicitudes de conciliaciones que cumplan los requisitos de ley para ser presentadas ante el Comité de conciliación, en un término de 15 días hábiles siguientes / Número total de solicitudes de conciliaciones recibidas que cumplen con los requisitos de ley durante el periodo de reporte) x 100."/>
    <s v="Porcentual"/>
    <n v="1"/>
    <n v="83"/>
    <n v="83"/>
    <n v="1"/>
    <s v="​Dentro del periodo se reporta en el 100%  este indicador,  al estudiar y resolver en términos 83 solicitudes de conciliación de un total de 83 recibidas conforme al aplicativo E-kogui,  por lo tanto se garantiza el debido proceso y la respuesta  oportuna de la Superintendencia  en el área de defensa técnica de la entidad _x000a_"/>
    <b v="0"/>
    <m/>
    <s v="2025"/>
    <s v="Elemento"/>
    <s v="sites/PlanAnualdeGestin/Lists/REPORTE SEGUIMIENTO PAG"/>
  </r>
  <r>
    <s v="Dirección Jurídica"/>
    <x v="11"/>
    <x v="0"/>
    <s v="Ejecutar cronograma de actividades para la implementación y sostenibilidad de la política de gestión y desempeño de defensa Jurídica."/>
    <s v="Actividades ejecutadas en el cronograma de implementación y sostenibilidad de la política de gestión y desempeño de Defensa Jurídica."/>
    <s v="Número de actividades ejecutadas en el cronograma de implementación y sostenibilidad de la política de gestión y desempeño de Defensa Jurídica."/>
    <s v="Numérica"/>
    <n v="4"/>
    <n v="4"/>
    <n v="4"/>
    <n v="1"/>
    <s v="​En el cuarto trimestre de 2025 y en desarrollo de la politica de gestion y desempeño de defensa juridica se desarrollaron las 4 actividades programadas  en el plan de gestión, por lo que se dio cumplimiento al 100% del indicador previsto._x000a_"/>
    <b v="0"/>
    <m/>
    <s v="2025"/>
    <s v="Elemento"/>
    <s v="sites/PlanAnualdeGestin/Lists/REPORTE SEGUIMIENTO PAG"/>
  </r>
  <r>
    <s v="Dirección Jurídica"/>
    <x v="11"/>
    <x v="111"/>
    <s v="Diseñar un sistema integral de seguimiento, monitoreo y evaluación de las órdenes judiciales y mandatos de organismos internacionales"/>
    <s v="Porcentaje de acciones cumplidas para el diseño del sistema integral de seguimiento a sentencias"/>
    <s v="Numero de acciones realizadas para el diseño del sistema integral / Total de acciones programadas para el diseño del sistema integral de seguimiento a sentencias *100"/>
    <s v="Porcentual"/>
    <n v="1"/>
    <n v="3"/>
    <n v="3"/>
    <n v="1"/>
    <s v="​Durante el segundo semestre se desarrolló  3  acciones para el diseño del sistema integral de seguimiento a sentencias.  Se evolucionó el procedimiento de seguimiento de sentencias judiciales y conjuntamente con  la Subdirección de Tecnologías de la Información se adelantó  el desarrollo del aplicativo que apoyará la identificación, seguimiento y cumplimiento de las diferentes órdenes judiciales.  En esta etapa se superó  la generación del insumo  por parte de la Dirección jurídica para la fase de diseño ( (1. Análisis de requerimientos  y  2, Diseño técnico y funcional) de manera tal que la subdirección de tecnologías de la información pueda dar continuidad a la elaboración e implementación  del programa informático que facilite el ejercicio de control y seguimiento a cargo de la Dirección Jurídica._x000a_"/>
    <b v="0"/>
    <m/>
    <s v="2025"/>
    <s v="Elemento"/>
    <s v="sites/PlanAnualdeGestin/Lists/REPORTE SEGUIMIENTO PAG"/>
  </r>
  <r>
    <s v="Dirección Jurídica"/>
    <x v="11"/>
    <x v="4"/>
    <s v="Ejecutar cronograma de actividades para la implementación y sostenibilidad de la política de gestión y desempeño de Mejora Normativa"/>
    <s v="Actividades ejecutadas en el cronograma de implementación y sostenibilidad de la política de gestión y desempeño de Mejora Normativa"/>
    <s v="Número de actividades ejecutadas en el cronograma de implementación y sostenibilidad de la política de gestión y desempeño de Mejora Normativa."/>
    <s v="Numérica"/>
    <n v="9"/>
    <n v="11"/>
    <n v="9"/>
    <n v="1.2222222222222223"/>
    <s v="​_x000a_​Se ejecutaron las 6 actividades programadas para el mes de diciembre conforme al cronograma de implementación y sostenibilidad de la Política de Mejora Normativa.  Con estas actividades se da por gestionado el cronograma establecido  y demás compromisos adquiridos en la implementación y sostenibilidad de la política de mejora normativa.  Se cumplieron con la expedición del manual de mejora normativa."/>
    <b v="0"/>
    <m/>
    <s v="2025"/>
    <s v="Elemento"/>
    <s v="sites/PlanAnualdeGestin/Lists/REPORTE SEGUIMIENTO PAG"/>
  </r>
  <r>
    <s v="Oficina Asesora de Comunicaciones"/>
    <x v="11"/>
    <x v="76"/>
    <s v="Realizar seguimiento a través de la herramienta metodológica del comportamiento de los canales digitales de la entidad"/>
    <s v="Informes de seguimiento sobre el comportamiento de canales digitales elaborados."/>
    <s v="Número de informes de seguimiento sobre el comportamiento de canales digitales elaborados."/>
    <s v="Numérica"/>
    <n v="1"/>
    <n v="1"/>
    <n v="1"/>
    <n v="1"/>
    <s v="​_x000a_El informe evidencia un resultado altamente satisfactorio al indicar que el indicador evaluado alcanza un nivel de cumplimiento del 100 %, lo cual da cuenta de la ejecución íntegra de la meta establecida para el periodo analizado. Este resultado refleja una gestión eficaz a nivel de comunicación digital, orientada al logro de los objetivos definidos. La referencia explícita al archivo INF-GESTION-DIGITAL-NOV2025.xlsx constituye un respaldo documental sólido, al aportar evidencia cuantitativa verificable que permite garantizar la trazabilidad, transparencia y consistencia del cumplimiento reportado._x000a_De igual manera, se resalta el incremento tanto en el número de seguidores como en los niveles de interacción en las redes sociales institucionales, lo cual puede interpretarse como un fortalecimiento progresivo del alcance, la visibilidad y el posicionamiento digital de la entidad ante la ciudadanía. Este comportamiento demuestra que las estrategias de comunicación digital implementadas han sido efectivas, al lograr captar el interés de los públicos objetivos y fomentar una relación más cercana y dinámica con los usuarios de los servicios de salud y la sociedad en general._x000a_En este sentido, el fortalecimiento del ecosistema digital resulta especialmente relevante para la Superintendencia Nacional de Salud, cuyo rol misional exige no solo la vigilancia y el control, sino también la generación de confianza, legitimidad institucional y percepción de cercanía con la ciudadanía. Una presencia digital sólida y estratégica contribuye a mejorar la comprensión del quehacer institucional, facilita el acceso a la información pública y promueve la participación ciudadana, en coherencia con los principios de transparencia, y responsabilidad que rigen la función administrativa. En consecuencia, los resultados reportados no solo reflejan un cumplimiento técnico de metas, sino también avances significativos en la consolidación del posicionamiento institucional y en la construcción de una relación más abierta y efectiva con la ciudadanía._x000a__x000a__x000a_"/>
    <b v="0"/>
    <m/>
    <s v="2025"/>
    <s v="Elemento"/>
    <s v="sites/PlanAnualdeGestin/Lists/REPORTE SEGUIMIENTO PAG"/>
  </r>
  <r>
    <s v="Oficina Asesora de Comunicaciones"/>
    <x v="11"/>
    <x v="77"/>
    <s v="Realizar campañas institucionales en el marco de posicionar la imagen de la Superintendencia Nacional de Salud y mejorar la gestión de la reputación institucional."/>
    <s v="Campañas institucionales realizadas"/>
    <s v="Número de campañas institucionales socializadas"/>
    <s v="Numérica"/>
    <n v="1"/>
    <n v="2"/>
    <n v="2"/>
    <n v="1"/>
    <s v="El resultado del indicador se sustenta en la implementación de dos campañas institucionales estratégicas —la Campaña SENATIC y la Campaña Semana de la Innovación— orientadas a promover la formación, la innovación y la participación activa de los funcionarios, mediante el uso planificado y coherente de canales de comunicación interna, mensajes segmentados y recursos visuales de alto impacto._x000a_La Campaña SENATIC estuvo dirigida a incentivar el registro y la participación de los servidores en los cursos de formación y certificación tecnológica, mediante la articulación de piezas comunicativas multicanal como correos electrónicos, banners en intranet, contenidos audiovisuales, notas informativas y un evento presencial de alto nivel de convocatoria. Esta estrategia permitió reforzar el valor del aprendizaje continuo como eje del desarrollo profesional y herramienta clave para el fortalecimiento de las capacidades institucionales, lo que contribuye al posicionamiento de la entidad como promotora de la transformación digital y la cualificación del talento humano._x000a_Por su parte, la Campaña Semana de la Innovación se orientó a fomentar la participación activa de los funcionarios en espacios de reflexión, aprendizaje y construcción colectiva alrededor de la innovación institucional. A través de una agenda estructurada de workshops, masterclass, foros y actividades participativas, difundidas mediante afiches, wallpapers, correos institucionales, piezas audiovisuales y publicaciones informativas, se fortaleció la apropiación de conceptos relacionados con la innovación, la gestión del conocimiento, la modernización de procesos y el uso estratégico de herramientas tecnológicas. Esta campaña contribuyó, además, a consolidar una narrativa institucional alineada con el eslogan “Innovar para cuidar: el futuro al servicio de la salud”, lo que refuerza la identidad y el propósito misional de la entidad._x000a_En conjunto, ambas campañas evidencian una gestión comunicacional planificada, consistente y orientada a resultados, que no solo permitió alcanzar los objetivos específicos de participación y formación, sino que también fortaleció el posicionamiento institucional de la Superintendencia Nacional de Salud ante su público interno y ante la ciudadanía. Una entidad que comunica de forma clara, estratégica y coherente sus acciones de formación e innovación consolida la confianza, la legitimidad y la percepción de capacidad institucional, elementos fundamentales para una gestión pública moderna, transparente y centrada en el servicio al ciudadano._x000a__x000a_"/>
    <b v="0"/>
    <m/>
    <s v="2025"/>
    <s v="Elemento"/>
    <s v="sites/PlanAnualdeGestin/Lists/REPORTE SEGUIMIENTO PAG"/>
  </r>
  <r>
    <s v="Oficina Asesora de Planeación"/>
    <x v="11"/>
    <x v="84"/>
    <s v="Gestionar el cumplimiento del plan de actualización documental del Sistema integrado de gestión, como estrategia de gestión del conocimiento institucional."/>
    <s v="Porcentaje de documentos actualizados o elaborados en el SIG"/>
    <s v="Número de documentos elaborados o actualizados /Total de documentos priorizados por la vigencia"/>
    <s v="Porcentual"/>
    <n v="0.9"/>
    <n v="105"/>
    <n v="105"/>
    <n v="1"/>
    <s v="     Durante el periodo comprendido entre octubre y diciembre de 2025 se atendieron 105 solicitudes de oficialización de documentos en los procesos institucionales de la Superintendencia Nacional de Salud dando cumplimiento al 100% de lo establecido para el periodo respecto a los documentos priorizados a oficializar en la vigencia._x000a_ _x000a_De éstas, 72 solicitudes correspondieron a creación de documentos, 29 correspondieron a actualización y 4 solicitudes de anulación en el marco de los siguientes procesos: Actuaciones disciplinarias: 1 documento, Auditorías: 11 documentos, Control: 8 documentos, Direccionamiento estratégico: 10 documentos, Evaluación independiente: 1 documentos, Gestión de bienes y servicios: 8 documentos, Gestión estratégica de personas: 13 documentos, Gestión financiera: 6 documentos, Gestión jurídica: 9 documentos, Gestión jurisdiccional y de conciliación: 4 documentos, Gobierno y gestión de datos e información: 24 documentos, Relacionamiento con la ciudadanía y grupos de valor: 5 documentos, Seguimiento y evaluación al vigilado: 5 documentos,_x000a_Finalmente, y de acuerdo con el tipo documental, durante el periodo se tramitaron oficializaciones asociadas a los tipos documentales: 68 Formatos, 15 Manuales, 15 Procedimientos, 3 Guías, 2 Procesos, y 2 Políticas institucionales."/>
    <b v="0"/>
    <m/>
    <s v="2025"/>
    <s v="Elemento"/>
    <s v="sites/PlanAnualdeGestin/Lists/REPORTE SEGUIMIENTO PAG"/>
  </r>
  <r>
    <s v="Oficina Asesora de Planeación"/>
    <x v="11"/>
    <x v="126"/>
    <s v="Dirigir el cierre de brechas prioritarias de las politicas de gestión y desempeño del Modelo integrado de planeación y gestión"/>
    <s v="Porcentaje de cierre de brechas MIPG"/>
    <s v="(Número de brechas cerradas/Total brechas identificadas para la vigencia)*100"/>
    <s v="Porcentual"/>
    <n v="0.8"/>
    <n v="68"/>
    <n v="77"/>
    <n v="0.88311688311688297"/>
    <s v="E l plan de cierre de brechas para la vigencia 2025 contempla un total de 77 acciones, de las cuales 68 se gestionaron y tuvieron cierre en su totalidad con lo cual se cerró el 88.3% de las brechas logrando un sobrecumplimiento del 110% con respecto a la meta establecida para 2025; mostrando con ello un resultado positivo con respecto al monitoreo y seguimiento realizado por la OAP y el compromiso de las áreas para la mejora continua, pesé a lo anterior quedaron pendientes 9 brechas por gestión, las cuales se distribuyen así: Gestión del conocimiento: 1; Gestión de información estadística: 4; Integridad: 1; Racionalización de trámites: 1; y Seguridad digital: 2, estás serán incluidas en el Plan de trabajo para la vigencia 2026._x000a_"/>
    <b v="0"/>
    <m/>
    <s v="2025"/>
    <s v="Elemento"/>
    <s v="sites/PlanAnualdeGestin/Lists/REPORTE SEGUIMIENTO PAG"/>
  </r>
  <r>
    <s v="Oficina Asesora de Planeación"/>
    <x v="11"/>
    <x v="78"/>
    <s v="Mejorar la ejecución presupuestal de los gastos de inversión (obligaciones sobre lo comprometido"/>
    <s v="Porcentaje de cumplimiento de los recursos de inversión."/>
    <s v="(Recursos de inversión obligados / Recursos de inversión comprometidos)* 100%"/>
    <s v="Porcentual"/>
    <n v="0.85"/>
    <n v="78459265382"/>
    <n v="84527452102"/>
    <n v="0.92821046217414105"/>
    <s v="Al 31 de diciembre de 2025, del total de recursos de inversión asignados para la presente vigencia, y una vez aplicada la reducción presupuestal (Decreto No. 1484 de 2025) que fijó la nueva apropiación en $84.527.452.102, se han comprometido $84.130.515.250, equivalentes al 99,53% de la apropiación definitiva. De este valor, se generaron obligaciones por $78.454.712.594, cifra que corresponde al 95.65% de los recursos comprometidos y al 92.81% del total de recursos asignados para la vigencia. En términos generales el nivel de compromisos fue 19 puntos porcentuales respecto al 2024, y las obligaciones superaron en 20 punto porcentuales con relación al año anterior._x000a_La mayoría de las 18 dependencias ejecutoras registraron niveles de compromiso iguales o superiores al 85%, de las dependencias ejecutoras seis registraron niveles de compromiso iguales o superiores al 98%, destacándose varias con ejecución del 100%, como: Superintendencia Delegada de Investigaciones Administrativas, Direccion Administrativa-Grupo de Recursos Físicos, Dirección Jurídica, Dirección Administrativa – Grupo de Recursos Físicos._x000a_Asimismo, en materia de obligacioneslos pagos suman $59.797.704.387, esto es el 70,74% de la apropiación. En términos generales el nivel de compromisos fue 17 punto porcentuales respecto al 2024, y las obligaciones superaron en 20 punto porcentuales con relación al año anterior."/>
    <b v="0"/>
    <m/>
    <s v="2025"/>
    <s v="Elemento"/>
    <s v="sites/PlanAnualdeGestin/Lists/REPORTE SEGUIMIENTO PAG"/>
  </r>
  <r>
    <s v="Oficina de Control Interno"/>
    <x v="11"/>
    <x v="50"/>
    <s v="Ejecutar Plan Anual de Seguimientos de Ley a la Gestión Institucional"/>
    <s v="Seguimientos y evaluaciones efectuadas al control institucional"/>
    <s v="Número de seguimientos y evaluaciones realizadas oportunamente dentro de las fechas programadas en el periodo."/>
    <s v="Numérica"/>
    <n v="12"/>
    <n v="19"/>
    <n v="13"/>
    <n v="1.4615384615384599"/>
    <s v="De conformidad con la programación establecida en el Plan Anual de Seguimiento a la Gestión Institucional (PAAS) para la vigencia 2025, y en atención a la actividad “Ejecutar Programa Anual de Seguimiento a la Gestión Institucional”, correspondiente al indicador “Seguimientos y evaluaciones efectuadas al control institucional”, la Oficina de Control Interno reporta el cumplimiento del cuarto trimestre de la presente anualidad. _x000a_Durante el cuarto trimestre de 2025 se ejecutaron un total de diecinueve (19) actividades de las trece (13) programadas; la diferencia corresponde a seis (6) actividades a acciones rezagadas del tercer trimestre, producto de situaciones administrativas relacionadas con el concurso de mérito. Por lo anteriormente señalado, el porcentaje de cumplimiento para el período reportado corresponde al 146% de ejecución._x000a_Al cierre de la vigencia 2025 se realizaron cincuenta y cuatro (54) actividades las cuales se encontraban programadas para realizar en la vigencia, lo que representa un cumplimiento del 100% en la ejecución del PAAS._x000a_Adicionalmente, en el transcurso del trimestre se llevaron a cabo actividades complementarias no previstas en el plan, derivadas de requerimientos formulados por entes de control, atención de derechos de petición, actividades de gestores, entre otros._x000a_"/>
    <b v="0"/>
    <m/>
    <s v="2025"/>
    <s v="Elemento"/>
    <s v="sites/PlanAnualdeGestin/Lists/REPORTE SEGUIMIENTO PAG"/>
  </r>
  <r>
    <s v="Oficina de Control Interno"/>
    <x v="11"/>
    <x v="112"/>
    <s v="Ejecutar Plan Anual de Auditorías Internas de Gestión"/>
    <s v="Auditorías realizadas de acuerdo con el Plan Anual de Auditorias"/>
    <s v="Número de auditorias realizadas en el periodo de acuerdo con el plan anual de auditorias"/>
    <s v="Numérica"/>
    <n v="2"/>
    <n v="4"/>
    <n v="2"/>
    <n v="2"/>
    <s v="De conformidad a la programación establecida en el PAAS para la vigencia 2025 y en atención a la actividad &quot;Ejecutar Programa Anual Seguimiento a la Gestión Institucional&quot;, alusiva al indicador &quot;Auditorías realizadas de acuerdo con el Plan Anual de Auditorías&quot;, la Oficina de Control Interno definió reportar en el mes de diciembre el cumplimiento correspondiente al segundo semestre de la vigencia 2025; de ello, se puede precisar, que fueron presentadas ante el CICCI cuatro (4) de las dos (2) auditorías programadas; las dos adicionales se encontraban rezagadas del primer semestre referentes a los procesos de &quot;Gestión Financiera&quot; y &quot;Gestión de Bienes y Servicios&quot;._x000a__x000a_Por lo anteriormente señalado, el porcentaje de cumplimiento para el período ahora reportado obedece al 200% de ejecución de acuerdo con lo definido en el Plan Anual de Auditorías._x000a_Al cierre de diciembre se realizaron seis (6) auditorias las cuales se encontraban programadas para realizar en la vigencia, lo que representa un cumplimiento del 100% en la ejecución del PAAS._x000a_"/>
    <b v="0"/>
    <m/>
    <s v="2025"/>
    <s v="Elemento"/>
    <s v="sites/PlanAnualdeGestin/Lists/REPORTE SEGUIMIENTO PAG"/>
  </r>
  <r>
    <s v="Oficina de Liquidaciones"/>
    <x v="11"/>
    <x v="114"/>
    <s v="Brindar apoyo técnico científico, jurídico, financiero y admistrativo para el seguimiento y monitoreo de los vigilados a cargo de la Oficina de Liquidaciones"/>
    <s v="Documentos radicados efectivos de salida en la herramienta Superargo de los procesos de respuesta a los usuarios o entidades del SGSSS y traslados a órganos de control"/>
    <s v="Número de documentos radicados de salida"/>
    <s v="Numérica"/>
    <n v="1200"/>
    <n v="1240"/>
    <n v="1200"/>
    <n v="1.0333333333333334"/>
    <s v="​Los contratistas efectuaron mas apoyo jurídico y financiero durante el periodo ya que llegaron mas PQRD en el mes de diciembre exediendo en 25 radicados mas . Se cumplio con la meta establecida . Se anexan los resultados arrojados por el Superargo que da fe de las actividades tramitadas por los profesionales y su apoyo a la Oficina de Liquidaciones ._x000a_"/>
    <b v="0"/>
    <m/>
    <s v="2025"/>
    <s v="Elemento"/>
    <s v="sites/PlanAnualdeGestin/Lists/REPORTE SEGUIMIENTO PAG"/>
  </r>
  <r>
    <s v="Secretaria General"/>
    <x v="11"/>
    <x v="51"/>
    <s v="Realizar Socializacion, Sensibilización y Asesoria a los funcionarios y contratistas de la Entidad acerca del cuidado y control de los bienes."/>
    <s v="Socializaciones o sensibilizaciones realizadas a los funcionarios o contratistas que tengan bienes asignados de la entidad"/>
    <s v="Número de socializaciones o sensibilizaciones realizadas"/>
    <s v="Numérica"/>
    <n v="2"/>
    <n v="8"/>
    <n v="8"/>
    <n v="1"/>
    <s v="​_x000a_Durante el cuarto trimestre, el grupo de Recursos de la Dirección Administrativa, adscrito a la Secretaría General, adelantó las siguientes acciones orientadas al fortalecimiento del cuidado y control de los bienes públicos:Socialización institucional: Se realizó una socialización mediante correo electrónico, a todos los funcionarios de la Superintendencia Nacional de Salud, enfocada en la promoción del cuidado de los bienes públicos y la responsabilidad que implica su uso adecuado._x000a_ Adjunto:  _x000a_1. &quot;Cuidemos los bienes públicos.pdf_x000a_2.Evidencia pieza grafica &quot;_x000a_ Sensibilización: Se llevó a cabo una sesión de sensibilización dirigidas a funcionarios y contratistas sobre el cuidado y control de los bienes de la entidad, abordando el uso responsable de estos activos y el manejo del aplicativo &quot;Aplica&quot;._x000a_Adjunto: Asistencia capacitación sobre el control y cuidado de los bienes Presentación Socialización Cuidado De Bienes_x000a_Estas actividades contribuyen al fortalecimiento de la cultura institucional en torno al uso responsable de los bienes públicos, promoviendo el conocimiento y cumplimiento de las obligaciones por parte de los servidores públicos y contratistas._x000a__x000a_"/>
    <b v="0"/>
    <m/>
    <s v="2025"/>
    <s v="Elemento"/>
    <s v="sites/PlanAnualdeGestin/Lists/REPORTE SEGUIMIENTO PAG"/>
  </r>
  <r>
    <s v="Secretaria General"/>
    <x v="11"/>
    <x v="54"/>
    <s v="Notificar los actos administrativos producidos por la Entidad_x000a_"/>
    <s v="Porcentaje de actos administrativos con actuaciones de notificación"/>
    <s v="Total de actos administrativos de notificación o comunicación gestionados en el periodo/ Total de actos administrativos recibidos para notificar o comunicar en el periodo"/>
    <s v="Porcentual_x000a_"/>
    <n v="0.95"/>
    <n v="11870"/>
    <n v="11948"/>
    <n v="0.99347171074656804"/>
    <s v="​Al corte del 31 de diciembre de 2025 en la Entidad se expidieron 12.454 resoluciones de las cuales ingresaron 11.948 al Grupo de Gestión de Notificaciones y Comunicaciones y, se gestionaron 11.870, dejando en trámite 78 actos administrativos en su gran mayoría expedidos en los últimos días del mes y los cuales por distintos tramites se encuentra en gestión al corte del mes de este reporte._x000a_"/>
    <b v="0"/>
    <m/>
    <s v="2025"/>
    <s v="Elemento"/>
    <s v="sites/PlanAnualdeGestin/Lists/REPORTE SEGUIMIENTO PAG"/>
  </r>
  <r>
    <s v="Secretaria General"/>
    <x v="11"/>
    <x v="120"/>
    <s v="Realizar sensibilización con el fin de optimizar el trámite de notificación al interior de la Entidad."/>
    <s v="Sensibilizar a los funcionarios de la Entidad en el trámite de notificación de actos administrativos."/>
    <s v="Número de acciones realizadas con el fin dedar a conocer el proceso de notificación de los actos administrativos."/>
    <s v="Numérica"/>
    <n v="1"/>
    <n v="1"/>
    <n v="1"/>
    <n v="1"/>
    <s v="En el mes de julio de 2025 se adelantó con ayuda de la Oficina Asesora de Comunicaciones Estratégicas e Imagen Institucional, la actualización del video de autorización de notificación electrónica en la página web de la entidad dando cumplimiento al indicador en el segundo semestre._x000a_"/>
    <b v="1"/>
    <s v="https://www.supersalud.gov.co/vigilados/Paginas/Oficina%20de%20Comunicaciones/campa%C3%B1as/notificacion-electronica/index.html"/>
    <s v="2025"/>
    <s v="Elemento"/>
    <s v="sites/PlanAnualdeGestin/Lists/REPORTE SEGUIMIENTO PAG"/>
  </r>
  <r>
    <s v="Secretaria General"/>
    <x v="11"/>
    <x v="118"/>
    <s v="Incorporar en el estudio previo que soporta la contratación, un estudio del sector que de cuenta de las prácticas de Abastecimiento Estratégico dirigidas a la promoción de la micro, pequeña y mediana empresa; exceptuando la contratación a través de la Tienda Virtual del Estado Colombiano y la Contratación Directa."/>
    <s v="Porcentaje de contratos celebrados a los cuales se les incorporó las prácticas de Abastecimiento Estratégico dirigidas a la promoción de la micro, pequeña y mediana empresa; exceptuando la contratación a través de la Tienda Virtual del Estado Colombiano y la Contratación Directa."/>
    <s v="Cantidad de contratos celebrados en donde se incorporó las prácticas de Abastecimiento Estratégico dirigidas a la promoción de la micro, pequeña y mediana empresa / Cantidad de contratos celebrados; exceptuando la contratación a través de la Tienda Virtual del Estado Colombiano y la Contratación Directa, por el 100%"/>
    <s v="Porcentual"/>
    <n v="1"/>
    <n v="1"/>
    <n v="1"/>
    <n v="1"/>
    <s v="La direccion de contratacion tramito procesos de contratacion donde se incorporaron las prácticas de Abastecimiento Estratégico orientadas a la promoción de la micro, pequeña y mediana empresa (MiPymes), con excepción de aquellos adelantados a través de la Tienda Virtual del Estado Colombiano y de los procesos de Contratación Directa_x000a__x000a_"/>
    <b v="0"/>
    <m/>
    <s v="2025"/>
    <s v="Elemento"/>
    <s v="sites/PlanAnualdeGestin/Lists/REPORTE SEGUIMIENTO PAG"/>
  </r>
  <r>
    <s v="Secretaria General"/>
    <x v="11"/>
    <x v="117"/>
    <s v="Incorporar en el estudio previo un estudio del sector que de cuenta de las prácticas de Análisis de Datos."/>
    <s v="Porcentaje de estudios previos a los cuales se les incorporó prácticas de Análisis de Datos."/>
    <s v="Cantidad de contratos celebrados con estudios previos en donde se incorporaron las prácticas de Análisis de datos / Cantidad de contratos celebrados por el 100%"/>
    <s v="Porcentual"/>
    <n v="0.5"/>
    <n v="1"/>
    <n v="1"/>
    <n v="1"/>
    <s v="_x000a_ En los 389 contratos suscritos por  la Direccion de Contratacion  se incorporaron practicas de analisis de datos teniendo en cuenta todas las modalidades de contratacion contemplada en la ley 80 de 1993._x000a_"/>
    <b v="0"/>
    <m/>
    <s v="2025"/>
    <s v="Elemento"/>
    <s v="sites/PlanAnualdeGestin/Lists/REPORTE SEGUIMIENTO PAG"/>
  </r>
  <r>
    <s v="Secretaria General"/>
    <x v="11"/>
    <x v="119"/>
    <s v="Utilizar los instrumentos de compra por catálogo derivados de la celebración de acuerdos marco de precios para la adquisición de bienes y servicios que se encuentren en la Tienda Virtual del Estado Colombiano."/>
    <s v="Porcentaje de procesos tramitados a través modalidad de instrumentos de compra por catálogo derivados de la celebración de acuerdos marco de precios."/>
    <s v="Cantidad de órdenes de compra celebradas / cantidad de solicitudes de cotización publicadas a través de la Tienda Virtual del Estado Colombiano, por el 100%"/>
    <s v="Porcentual"/>
    <n v="1"/>
    <n v="1"/>
    <n v="1"/>
    <n v="1"/>
    <s v="La Dirección de Contratación tramitó procesos mediante instrumentos de compra por catálogo derivados de acuerdos marco de precios, utilizando la Tienda Virtual del Estado Colombiano exclusivamente para la adquisición de bienes y servicios cuyos acuerdos se encontraban vigentes._x000a__x000a_"/>
    <b v="0"/>
    <m/>
    <s v="2025"/>
    <s v="Elemento"/>
    <s v="sites/PlanAnualdeGestin/Lists/REPORTE SEGUIMIENTO PAG"/>
  </r>
  <r>
    <s v="Secretaria General"/>
    <x v="11"/>
    <x v="53"/>
    <s v="Realizar el seguimiento a la ejecución del Plan Anual de Adquisiciones a través de informe trimestral"/>
    <s v="Seguimientos al Plan Anual de Adquisiciones"/>
    <s v="Número de seguimientos programados en el Plan Anual de Adquisiciones"/>
    <s v="Numérica_x000a_"/>
    <n v="3"/>
    <n v="3"/>
    <n v="3"/>
    <n v="1"/>
    <s v="​En Diciembre de 2025, como consecuencia de las actualizaciones solicitadas por la dependencia, se ejecutó una programación de 380 líneas._x000a_ A corte 31 de Diciembre de 2025, se ejecutaron todas las líneas radicadas por las dependencias._x000a__x000a_"/>
    <b v="0"/>
    <m/>
    <s v="2025"/>
    <s v="Elemento"/>
    <s v="sites/PlanAnualdeGestin/Lists/REPORTE SEGUIMIENTO PAG"/>
  </r>
  <r>
    <s v="Secretaria General"/>
    <x v="11"/>
    <x v="1"/>
    <s v="Calcular el porcentaje de pagos realizados en los tiempos establecidos en la circular vigente."/>
    <s v="Porcentaje en la oportunidad en la gestión de pagos."/>
    <s v="Número de cuentas gestionadas en termino igual o menor a 5 días / Numero de cuentas recibidas para pago en el mes"/>
    <s v="Porcentual"/>
    <n v="1"/>
    <n v="829"/>
    <n v="829"/>
    <n v="1"/>
    <s v="​Durante el mes de Diciembre, se gestionaron  829 cuentas que fueron radicadas en los tiempos estipulados de acuerdo con la Circular Interna 2022920020000026-4 de 2022, asi mismo, los documentos radicados despúes del dia 25 calendario se tramitaron en el siguiente mes (328 cuentas). Por lo cual, se cumplió con la meta del indicador del 100%, (829/829) habiendo gestionado la totalidad de las cuentas radicadas con un tiempo de gestión de 3,6 dias hábiles. Se adjunta base con relación de cuentas radicadas y gestionadas, asi como el reporte del indicador con la correspondiente gráfica._x000a_"/>
    <b v="0"/>
    <m/>
    <s v="2025"/>
    <s v="Elemento"/>
    <s v="sites/PlanAnualdeGestin/Lists/REPORTE SEGUIMIENTO PAG"/>
  </r>
  <r>
    <s v="Secretaria General"/>
    <x v="11"/>
    <x v="62"/>
    <s v="Ejecutar el Cronograma del plan institucional de capacitación (Componente de Gestión del Desarrollo)"/>
    <s v="Porcentaje de avance en la ejecución del Plan institucional de capacitación"/>
    <s v="(Número de actividades ejecutadas en el período / Número de actividades programadas en el cronograma del Plan institucional de capacitación)*100"/>
    <s v="Porcentual"/>
    <n v="52"/>
    <n v="52"/>
    <n v="52"/>
    <n v="1"/>
    <s v="​La Dirección de Talento Humano informa que, durante el último trimestre del año, se tenían programadas 52 actividades en el Plan Institucional de Capacitación, las cuales fueron ejecutadas eficientemente. Esto representa un avance del 100% respecto a la meta establecida para el periodo._x000a_"/>
    <b v="0"/>
    <m/>
    <s v="2025"/>
    <s v="Elemento"/>
    <s v="sites/PlanAnualdeGestin/Lists/REPORTE SEGUIMIENTO PAG"/>
  </r>
  <r>
    <s v="Secretaria General"/>
    <x v="11"/>
    <x v="52"/>
    <s v="Formular e implementar los planes y programas del componente Sistema de Gestión Ambiental y Carbono Neutro en la Entidad."/>
    <s v="Porcentaje acumulado de avance en la ejecución del cronograma del componente del Sistema de Gestión Ambiental-SGA"/>
    <s v="Número de actividades ejecutadas del cronograma del Sistema de Gestión Ambiental-SGA/Número de actividades programadas del cronograma del Sistema de Gestión Ambiental - SGA"/>
    <s v="Porcentual"/>
    <n v="63"/>
    <n v="63"/>
    <n v="63"/>
    <n v="1"/>
    <s v="​_x000a_Los funcionarios responsables del componente ambiental del Grupo de Recursos Físicos realizaron el seguimiento y aseguraron el cumplimiento oportuno de las actividades establecidas en el cronograma de hitos ambientales del Sistema de Gestión Ambiental, con corte a diciembre de 2025. Todas las actividades programadas fueron ejecutadas con el objetivo de optimizar el desempeño del Sistema de Gestión Ambiental, conforme a los lineamientos de la norma ISO 14001:2015._x000a_Estas acciones buscan fortalecer la implementación del Sistema de Gestión Ambiental, promoviendo su consolidación y madurez dentro de la organización. Se generaron y cargaron en el aplicativo correspondiente las evidencias de cada actividad ejecutada. En total, se llevaron a cabo las 13 actividades previstas, alcanzando un avance del 100% según la planeación establecida en el cronograma para un total de 63 actividades._x000a__x000a__x000a_"/>
    <b v="0"/>
    <m/>
    <s v="2025"/>
    <s v="Elemento"/>
    <s v="sites/PlanAnualdeGestin/Lists/REPORTE SEGUIMIENTO PAG"/>
  </r>
  <r>
    <s v="Secretaria General"/>
    <x v="11"/>
    <x v="57"/>
    <s v="Alcanzar el Nivel de madurez en dos (2) componentes en &quot;Básico&quot; y un (1) componente en &quot;Intermedio&quot; - Modelo de Gestión Documental y Administración de Archivos -MGDA- en 2025 -"/>
    <s v="Nivel de madurez de acuerdo con la matriz de cumplimiento del MGDA"/>
    <s v="Total de los productos cumplidos del MGDA en los dos componentes / Total productos del MGDA requeridos en los 3 componentes programados"/>
    <s v="Porcentual"/>
    <n v="12"/>
    <n v="12"/>
    <n v="12"/>
    <n v="1"/>
    <s v="​Observamos que, para el cuarto trimestre de 2025, el Indicador DI28 Nivel de madurez de acuerdo con la matriz de cumplimiento del MGDA, alcanzó un cumplimiento satisfactorio del 100% con la ejecución de 12 actividades, llegando a un avance acumulado anual del 100%, con un total acumulado de 52 actividades cumplidas. Las actividades desarrolladas han contribuido al fortalecimiento en el desarrollo de la política de gestión documental y en el incremento de la aplicación de los componentes del Modelo de Gestión Documental y Administración de Archivos, alineándolos con el Ciclo Vital del Documento._x000a_"/>
    <b v="1"/>
    <s v="https://n9.cl/liolqy"/>
    <s v="2025"/>
    <s v="Elemento"/>
    <s v="sites/PlanAnualdeGestin/Lists/REPORTE SEGUIMIENTO PAG"/>
  </r>
  <r>
    <s v="Secretaria General"/>
    <x v="11"/>
    <x v="55"/>
    <s v="Incrementar el porcentaje de eficiencia en la correcta asignación de los documentos de entrada radicados a las diferentes  dependencias de la entidad.​."/>
    <s v="Porcentaje de eficiencia en la asignación de los documentos de entrada radicados a las dependencias​"/>
    <s v="Número de documentos radicados  asignados correctamente a las dependencias durante el trimestre / Número de documentos totales radicados  en el trimestre x 100​"/>
    <s v="Porcentual"/>
    <n v="0.98"/>
    <n v="43472"/>
    <n v="43767"/>
    <n v="0.99325976192108201"/>
    <s v="​En el trimestre se mantuvieron los siguientes valores en cantidades base (Denominador) Octubre 40.694, Noviembre 47.211 y Diciembre 43.767, para un total de 131.672 con los correspondientes hallazgos:Octubre 22, Noviembre 94 y Diciembre 295, estos representan un 0.31% del total procesado, sin embargo se realizó el análisis de los hallazgos, y se elaboró un plan de calidad específico, el cual se aplicará en el siguiente año con el objetivo de mitigar la cantidad de hallazgos. Se evidencia cumplimiento final de 99.43%_x000a_"/>
    <b v="1"/>
    <s v="&quot;C:\Users\miguele.ortiz\OneDrive - supersalud\AUTOEVALUACIÓN GIT CORRESPONDENCIA\2025\INDICADORES\TRIMESTRE 4\12 - DICIEMBRE&quot;"/>
    <s v="2025"/>
    <s v="Elemento"/>
    <s v="sites/PlanAnualdeGestin/Lists/REPORTE SEGUIMIENTO PAG"/>
  </r>
  <r>
    <s v="Secretaria General"/>
    <x v="11"/>
    <x v="56"/>
    <s v="Incrementar el porcentaje de eficiencia en la digitalización y cargue  de los documentos  con cumplimiento de las características de calidad dispuestas por la entidad.​"/>
    <s v="Porcentaje de eficiencia en la digitalización de documentos."/>
    <s v="Número de documentos con calidad en la digitalización y cargue al sistema durante el trimestre  / Número Total de documentos digitalizados durante el trimestre x 100.​"/>
    <s v="Porcentual"/>
    <n v="0.99870000000000003"/>
    <n v="130738"/>
    <n v="131672"/>
    <n v="0.99290661644085298"/>
    <s v="​En el trimestre se mantuvieron los siguientes valores en cantidades base (Denominador) Octubre 40.694, Noviembre 47.211 y Diciembre 43.767, para un total de 131.672 con los correspondientes hallazgos:Octubre 191, Noviembre 244 y Diciembre 499, estos representan un 0.71% del total procesado, sin embargo se realizó el análisis de los hallazgos, y se elaboró un plan de calidad específico, el cual se aplicará en el siguiente año con el objetivo de mitigar la cantidad de hallazgos. Se evidencia cumplimiento final de 99.29%_x000a_"/>
    <b v="1"/>
    <s v="&quot;C:\Users\miguele.ortiz\OneDrive - supersalud\AUTOEVALUACIÓN GIT CORRESPONDENCIA\2025\INDICADORES\TRIMESTRE 4\12 - DICIEMBRE&quot;"/>
    <s v="2025"/>
    <s v="Elemento"/>
    <s v="sites/PlanAnualdeGestin/Lists/REPORTE SEGUIMIENTO PAG"/>
  </r>
  <r>
    <s v="Secretaria General"/>
    <x v="11"/>
    <x v="58"/>
    <s v="Realizar campañas de socialización sobre el manejo de los procesos del Grupo de Correspondencia"/>
    <s v="Campañas de socialización sobre el manejo de los procesos del Grupo de Correspondencia"/>
    <s v="Número de campañas de socialización sobre el manejo de los procesos del Grupo de Correspondencia"/>
    <s v="Numérica"/>
    <n v="3"/>
    <n v="3"/>
    <n v="3"/>
    <n v="1"/>
    <s v="​Para el trimestre reportado (Octubre a Diciembre de 2025) se publicaron a través de los canales oficiales de Supersalud 3 piezas de comunicación con temáticas propias de los procesos del Grupo Interno de Trabajo de Correspondencia, los cuales mostraron un impacto positivo. Cumplimiento final 100%_x000a_"/>
    <b v="1"/>
    <s v="&quot;C:\Users\miguele.ortiz\OneDrive - supersalud\AUTOEVALUACIÓN GIT CORRESPONDENCIA\2025\INDICADORES\TRIMESTRE 4\12 - DICIEMBRE&quot;"/>
    <s v="2025"/>
    <s v="Elemento"/>
    <s v="sites/PlanAnualdeGestin/Lists/REPORTE SEGUIMIENTO PAG"/>
  </r>
  <r>
    <s v="Secretaria General"/>
    <x v="11"/>
    <x v="121"/>
    <s v="Optimizar el proceso de recaudo de la cartera de obligaciones a cargo del Grupo de Cobro Persuasivo y Jurisdicción Coactiva a partir del impulso procesal."/>
    <s v="Porcentaje de recaudo de cartera, frente al valor total de la cartera cobrable."/>
    <s v="(Valor de recaudo de cartera en el  periodo de seguimiento / (Valor total de la cartera clasificada como cobrable con corte al cierre de la vigencia anterior * 0,2)) *100"/>
    <s v="Porcentual"/>
    <n v="0.95"/>
    <n v="22676335912"/>
    <n v="26161920186"/>
    <n v="0.86676879031741605"/>
    <s v=" El Grupo de Cobro Persuasivo reporta el avance del recaudo hasta los primeros días de enero de 2026 por valor de $22.676.335.912, sobre el 20% del valor total de cartera clasificada como cobrable con corte al cierre de la vigencia 2024 ($130.809.600.838) equivalente a = $26.161.920.186, con lo cual, se reporta un 87% de avance. Lo anterior, con motivo de dificultades y/o demoras  presentadas en  aspectos logísticos de alto nivel. El grupo de cobro persuasivo y jurisdicción coactiva obtiene recaudo por pago directo, autorización directa del deudor por impulsos de cobro y acceso a recursos por actividades de cobro coactivo que incluyen embargo de cuentas bancarias. Para estas dos últimas actividades se requiere de roles de preparador y autorizador , los cuales son avalados por el señor Superintendente Nacional de Salud, y confirmados por banco agrario, lo cual, es un trámite dispendioso. Con los cambios de personal por salida de provisionales, coordinador y directivos en el último semestre de 2025 se perdió la disponibilidad de roles para plenos de operación, roles para gestionar títulos y aspectos de transferencia de conocimiento que impactaron en la operación._x000a_Se efectuó el trámite en tres oportunidades por cambios de funcionarios vinculados (octubre, noviembre y diciembre 2025), con las validaciones de formatos de despacho y de la entidad financiera, logrando una aplicación única a finales de Noviembre y solo hasta  el 19  Diciembre 2025, una estabilidad en disponibilidad de roles de autorización avalados por SNS y por Banco Agrario._x000a__x000a_Con esta logramos gestionar alrededor de 900 millones en aplicación en noviembre 2025 y esperábamos en diciembre 2025 impulsar una adicional de liquidaciones de aproximadamente 1.800 millones, fruto de liquidaciones de crédito y de autorizaciones de deudores en comisiones de recíprocas, con las cuales a pesar de los inconvenientes se perseguía entrar en terreno positivo del indicador , superior al 90%._x000a_"/>
    <b v="0"/>
    <m/>
    <s v="2025"/>
    <s v="Elemento"/>
    <s v="sites/PlanAnualdeGestin/Lists/REPORTE SEGUIMIENTO PAG"/>
  </r>
  <r>
    <s v="Secretaria General"/>
    <x v="11"/>
    <x v="65"/>
    <s v="Ejecutar el cronograma para la implementación de la Política de integridad del Modelo Integrado de Gestión. ( Componente de Gestión de las Relaciones Humanas)"/>
    <s v="Porcentaje acumulado de avance en la ejecución del cronograma para la implementación de la política de integridad"/>
    <s v="(Número de actividades ejecutadas en el periodo / Número de actividades programadas en el cronograma para la implementación de la política de integridad)*100"/>
    <s v="Porcentual"/>
    <n v="8"/>
    <n v="8"/>
    <n v="8"/>
    <n v="1"/>
    <s v="La Dirección de Talento Humano informa que, durante el cuarto trimestre del año, se programó la ejecución de 8 actividades en el PAG, de las cuales 5 corresponden a acciones repetidas de trimestres anteriores, relacionadas con el tema de integridad. En consecuencia, se asignó un puntaje de 1 a cada una de las 6 actividades nuevas y un puntaje de 0,4 a cada una de las 5 actividades repetidas, para un total de 80, lo que representa una ejecución total del 100 % frente a la meta establecida._x000a__x000a_"/>
    <b v="0"/>
    <m/>
    <s v="2025"/>
    <s v="Elemento"/>
    <s v="sites/PlanAnualdeGestin/Lists/REPORTE SEGUIMIENTO PAG"/>
  </r>
  <r>
    <s v="Secretaria General"/>
    <x v="11"/>
    <x v="82"/>
    <s v="Medir la razonabilidad de la cartera sin proceso concursal de la SNS"/>
    <s v="Porcentaje de conciliación de cartera y diferencias reciprocas de SNS con Entidades sin proceso concursal"/>
    <s v="Total de Entidades conciliadas / total Entidades priorizadas de la cartera y diferencias reciprocas reportadas al cierre del año inmediatamente anterior."/>
    <s v="Porcentual"/>
    <n v="1"/>
    <n v="74"/>
    <n v="74"/>
    <n v="1"/>
    <s v="​Durante el tercer cuatrimestre de la vigencia 2025, se logró la conciliación de cartera con 74 entidades sin proceso concursal, enlistadas a continuación: Gobernacion amazonas_x000a_Alcaldia de leticia_x000a_Alcaldia Salamina_x000a_Saludarte Domiciliaria S.A.S_x000a_Sinapsis-Centro_x000a_Municipio de Remolino_x000a_Fundación Grupo de estudio Barranquilla_x000a_Clinica Regional Inmaculada_x000a_Cardiocenter Barraquilla_x000a_Departamento Atlantico_x000a_Universidad del Atlantico_x000a_City Optica Sas_x000a_Salud Ocupacional Horizonte_x000a_Asociación para la salud mental_x000a_Bingos Codere_x000a_Codere Colombia SA_x000a_Familia IPS Salud intergral SAS_x000a_Intersare SA_x000a_Sociedad Estetic Dent_x000a_SUBRED INTEGRADA CENTRO ORIENTE E.S.E_x000a_DENTIX COLOMBIA SAS_x000a_Keep Salud Ocupacional SAS_x000a_LUIS GUILLERMO VELEZ ATEHORTUA_x000a_Urgencias Clave 911 Ambulancias EU_x000a_Asoder consultores S.A.S_x000a_Servitraumax SAS_x000a_Casa la viña LTDA_x000a_GUIAR SALUD IPS Y HSEQS EN CS_x000a_CLINICA DE ESTETICA ORAL Y ORTODONCIA ORTOESTETICA CON SIGLA ORTOESTETICA_x000a_Secretaria de salud Bogota_x000a_Fondo financiero distrital de salud_x000a_Imagenes Diagnosticas_x000a_Linda flor chavez_fusionado_x000a_COVINAL_x000a_IPS TRASTORNOS SOMOS_x000a_Acer servicios_liquidada_x000a_Ambulancias Unidad Soporte Asistencial_x000a_Asmet Salud_x000a_Asociacion indigena del Cauca AIC EPS_x000a_BIO PREVENAR_x000a_COMFENALCO VALLE_x000a_Centro Neuropsiquiatrico limitada_x000a_Centro de salud Indigena del resguardo de males_x000a_Christus Sinergia salud SAS_x000a_Clinica Salud Proteccion IPS_x000a_Clinica el Treblol SAS_x000a_Cuerpo de bomberos voluntarios de Yumbo_x000a_EMPRESA SOCIAL DEL ESTADO NORTE 3_x000a_Municipio de Florencia_x000a_Fundacion Innovagen_x000a_Herrota y Asociados SAS_x000a_Homecare de la mano_x000a_Unidad Respiratoria Respirar SAS_x000a_Sinergia_x000a_Clinica Palma Real SAS_x000a_MALLAMAS_x000a_MERCADERES_x000a_Municipio Valledupar_x000a_ Asociacion cabildos indigenas guajira DUSAKAWI_x000a_Departamento Caqueta_x000a_SOS Medical Services SAS_x000a_Gobernacion Vichada_x000a_IPS DIPOSALUD_x000a_FUNDACION PARA EL DESARROLLO SOCIAL EN SALUD, EDUCACION Y VIVIENDA_x000a_Alcaldia de Nobsa_x000a_MINISTERIO DE DEFENSA     _x000a_UNIVERSIDAD DEL VALLE_x000a_ESE CENTRO DE SALUD SAN PEDRO CABRERA_x000a_Fabrica de Licores y Alcoholes de Antioquia_x000a_ESE San Vicente de Paul - Salento_x000a_Departamento del Meta_x000a_HOSPITAL SAN ANTONIO DE SOATÁ_x000a_Distrito Especial de Ciencia, Tecnología e Innovación de Medellín_x000a_EMPRESA SOCIAL DEL ESTADO HOSPITAL SAN JULIAN_x000a__x000a__x000a_Logrando cumplir la meta del 100%. Se adjuntan los debidos soportes._x000a_"/>
    <b v="0"/>
    <m/>
    <s v="2025"/>
    <s v="Elemento"/>
    <s v="sites/PlanAnualdeGestin/Lists/REPORTE SEGUIMIENTO PAG"/>
  </r>
  <r>
    <s v="Secretaria General"/>
    <x v="11"/>
    <x v="61"/>
    <s v="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
    <s v="Porcentaje de avance en la ejecución del Plan Estratégico de Desarrollo del Talento Humano"/>
    <s v="(Número de actividades ejecutadas en el periodo / Número de actividades programadas en el cronograma del Plan Estratégico de Desarrollo del Talento Humano en el periodo)*100"/>
    <s v="Porcentual"/>
    <n v="22"/>
    <n v="22"/>
    <n v="22"/>
    <n v="1"/>
    <s v="​La Dirección de Talento Humano informa que, durante el cuarto trimestre del año, se tenían programadas 22 actividades en el Plan Estrataegico de Talento Humano, las cuales fueron ejecutadas. Esto representa un avance del 100% respecto a la meta establecida para el periodo._x000a_"/>
    <b v="0"/>
    <m/>
    <s v="2025"/>
    <s v="Elemento"/>
    <s v="sites/PlanAnualdeGestin/Lists/REPORTE SEGUIMIENTO PAG"/>
  </r>
  <r>
    <s v="Secretaria General"/>
    <x v="11"/>
    <x v="64"/>
    <s v="Ejecutar el Cronograma del plan Anual de Seguridad y salud en el Trabajo (Componente de Gestión de las Relaciones Humanas)"/>
    <s v="Porcentaje de avance en la ejecución del Plan anual de Seguridad y Salud en el Trabajo"/>
    <s v="(Número de actividades ejecutadas en el periodo / Número de actividades programadas en el cronograma del Plan anual de Seguridad y Salud en el Trabajo) *100"/>
    <s v="Porcentual"/>
    <n v="21"/>
    <n v="18"/>
    <n v="18"/>
    <n v="1"/>
    <s v="​La Dirección de Talento Humano informa que el 01/12/2025 se solicito a la OAP la actualización del cronograma del Plan de Seguridad ysalud en el Trabajo - SST, actualizandolo a 18 actividades. En el aplicativo se observa una meta parcial de 21 actividades, por lo que se evidencia que no fue realizada por parte de la OAP la actualización  solicitada en este aplicativo, pero si fue ajustada en la matriz de PAG y en el cronograma del SST._x000a__x000a__x000a__x000a_La Dirección de Talento Humano informa que, durante el cuarto trimestre del año, se tenían programadas 18 actividades en el Plan de SST, las cuales fueron ejecutadas efectivamente. Esto representa un avance del 100% respecto a la meta establecida para el periodo._x000a_"/>
    <b v="0"/>
    <m/>
    <s v="2025"/>
    <s v="Elemento"/>
    <s v="sites/PlanAnualdeGestin/Lists/REPORTE SEGUIMIENTO PAG"/>
  </r>
  <r>
    <s v="Secretaria General"/>
    <x v="11"/>
    <x v="63"/>
    <s v="Ejecutar el Cronograma del plan de bienestar social y estímulos (Componente Gestión de la Relaciones Humanas)"/>
    <s v="Porcentaje de avance en la ejecución del Plan de bienestar social y estímulos"/>
    <s v="(Número de actividades ejecutadas en el período / Número de actividades programadas en el cronograma del Plan de bienestar social y estímulos)*100"/>
    <s v="Porcentual"/>
    <n v="26"/>
    <n v="35"/>
    <n v="35"/>
    <n v="1"/>
    <s v="​La Dirección de Talento Humano informa que, durante el cuarto trimestre del año, se tenían programadas 35 actividades en el Plan de Bienestar Social e Incentivos, las cuales fueron ejecutadas efectivamente. Esto representa un avance del 100% respecto a la meta establecida para el periodo._x000a_"/>
    <b v="0"/>
    <m/>
    <s v="2025"/>
    <s v="Elemento"/>
    <s v="sites/PlanAnualdeGestin/Lists/REPORTE SEGUIMIENTO PAG"/>
  </r>
  <r>
    <s v="Secretaria General"/>
    <x v="11"/>
    <x v="81"/>
    <s v="Gestionar dentro del término legal establecido las excepciones al mandamiento de pago y las solicitudes de facilidades de pago que cumplan con los requisitos para su otorgamiento."/>
    <s v="Porcentaje de solicitudes de excepciones al mandamiento de pagos y facilidades de pago."/>
    <s v="(número excepciones al mandamiento de pago y facilidades de pago resueltas oportunamente / número excepciones al mandamiento de pago y facilidades de pago solicitadas con cumplimiento de requisitos) *100."/>
    <s v="Porcentual"/>
    <n v="1"/>
    <n v="13"/>
    <n v="13"/>
    <n v="1"/>
    <s v="​Desde el grupo de cobro persuasivo y jurisdicción coactiva, durante el tercer cuatrimestre del año 2025, se recibieron 13 facilidades de pago y 3 excepciones a mandamiento de pago, para un total de 16 solicitudes, de las cuales 13 solicitudes cumplían con las condiciones necesarias para finalizar el trámite correspondiente al corte de Diciembre de 2025, por lo cual, estas  fueron atendidas dentro del plazo legal, alcanzando así un cumplimiento del 100% del indicador. Se adjunta anexo soporte._x000a_"/>
    <b v="0"/>
    <m/>
    <s v="2025"/>
    <s v="Elemento"/>
    <s v="sites/PlanAnualdeGestin/Lists/REPORTE SEGUIMIENTO PAG"/>
  </r>
  <r>
    <s v="Secretaria General"/>
    <x v="11"/>
    <x v="60"/>
    <s v="Medir y reportar la ejecución total del presupuesto en compromisos."/>
    <s v="Ejecución total del presupuesto en Compromisos"/>
    <s v="(Compromisos total / Apropiación total final)*100"/>
    <s v="Porcentual"/>
    <n v="0.9"/>
    <n v="315358112464"/>
    <n v="316593914285"/>
    <n v="0.99609657114290695"/>
    <s v="​ La apropiación asignada a la Superintendencia Nacional de Salud (SNS) para la vigencia 2025 ascendió a $316.593.914.285. De este total, se ejecutaron compromisos por la suma de $315.358.112.464, lo que representa el 99,6% de la apropiación. Este resultado es mayor al 90% al programado en los indicadores de gestión, significa que se cumple a satisfacción el indicador._x000a__x000a_En cuanto a la ejecución presupuestal de los recursos de funcionamiento e inversión, se presenta lo siguiente:_x000a__x000a_• Recursos de funcionamiento: $231.232.090.186, lo que representa el 99,6% de la apropiación vigente de $232.066.462.183._x000a__x000a_• Recursos de inversión: $84.126.022.278, equivalente al 99,5% de la apropiación vigente de $84.527.452.102_x000a__x000a_Es importante resaltar que la ejecución por obligaciones alcanzó los $307.679.490.143 lo que representa el 97,2%, y la ejecución por pagos fue de $287.917.019.157 equivalente al 90,9%._x000a_Se reporta el avance con corte al 31 de diciembre de 2025, según reporte del SIIF Nación del día 09 de enero de 2026. La información está sujeta a actualización en el marco del proceso de cierre presupuestal de la vigencia 2025 que finaliza el 20 de enero de 2026.​_x000a__x000a_"/>
    <b v="0"/>
    <m/>
    <s v="2025"/>
    <s v="Elemento"/>
    <s v="sites/PlanAnualdeGestin/Lists/REPORTE SEGUIMIENTO PAG"/>
  </r>
  <r>
    <s v="Secretaria General"/>
    <x v="11"/>
    <x v="59"/>
    <s v="Ejecutar cronograma de actividades para la implementación y sostenibilidad de la política Gestión Presupuestal y Eficiencia del Gasto Público"/>
    <s v="Ejecución de cronograma de actividades para la implementación y sostenibilidad de la política Gestión Presupuestal y Eficiencia del Gasto Público"/>
    <s v="Número de actividades ejecutadas para la implementación y sostenibilidad de la política Gestión Presupuestal y Eficiencia del Gasto Público"/>
    <s v="Numérica"/>
    <n v="4"/>
    <n v="4"/>
    <n v="4"/>
    <n v="1"/>
    <s v="Se llevó a cabo el cumplimiento de las 4 actividades programadas para el cuarto trimestre de la siguiente manera:_x000a_Cierre de Septiembre 2025 - Octubre: _x000a_Actividad 1:_x000a__x000a_*Se envió el 3 y el 6 de Octubre de 2025 a través de correo electrónico institucional el Informe de la Ejecución Presupuestal a cada una de las Dependencias junto con los saldos de RP al corte de Septiembre de 2025._x000a_*Se realizó Mesa de trabajo el 8 de Octubre de 2025 con los enlaces de las dependencias que tienen asignado recursos de funcionamiento e inversión en la vigencia 2025 abordar los siguientes temas:_x000a_1. Informar la Ejecución Presupuestal de la entidad y de las dependencias al 30 de septiembre 2025_x000a_2. Reservas Presupuestales al 31 de diciembre de 2024 (Ejecutadas en 2025)_x000a_3. Lineamientos y recomendaciones para las áreas en Octubre._x000a_De la mesa de trabajo se generó el acta GE-12073 del 8 de Octubre de 2025 por ITS Gestión, aplicativo de la entidad._x000a__x000a__x000a__x000a_Cierre de Octubre 2025 - Noviembre:_x000a__x000a_Actividad 2:_x000a__x000a__x000a__x000a__x000a__x000a_*Se envió el 4 y 6 de noviembre de 2025 a través de correo electrónico institucional el Informe de la Ejecución Presupuestal a cada una de las Dependencias junto con los saldos de RP al corte de octubre de 2025._x000a__x000a__x000a_*Se realizó Mesa de trabajo el 10 de noviembre de 2025 con los enlaces de las dependencias que tienen asignado recursos de funcionamiento e inversión en la vigencia 2025 abordando los siguientes temas:_x000a__x000a__x000a_1. Informar la Ejecución Presupuestal de la entidad y de las dependencias al 31 de octubre 2025._x000a_2. Reservas Presupuestales al 31 de diciembre de 2024 (Ejecutadas en 2025)._x000a_3. Lineamientos frente a trámites presupuestales._x000a__x000a__x000a_De la mesa de trabajo se genera el acta GE-12227 del 10-11-2025 por ITS Gestión, aplicativo de la entidad._x000a__x000a__x000a_Es importante informar a las áreas sobre la ejecución presupuestal para que la corroboren contra el control que maneja cada uno de los enlaces y aclarar todas las dudas que puedan presentar sobre los trámites presupuestales._x000a__x000a__x000a_Cierre de Noviembre 2025 - Diciembre:_x000a__x000a_Actividad 3:_x000a__x000a__x000a__x000a__x000a__x000a_*Se envió entre el 2 y 9 de diciembre de 2025 a través de correo electrónico institucional, el Informe de la Ejecución Presupuestal a cada una de las Dependencias junto con los saldos de RP al corte de noviembre de 2025._x000a__x000a__x000a_*Se realizó Mesa de trabajo el 9 de diciembre de 2025 con los enlaces de las dependencias que tienen asignado recursos de funcionamiento e inversión en la vigencia 2025 abordando los siguientes temas:_x000a__x000a__x000a_1. Informar la Ejecución Presupuestal de la entidad y de las dependencias al 30 de noviembre 2025._x000a_2. Reservas Presupuestales al 31 de diciembre de 2024 (Ejecutadas en 2025)._x000a_3. Lineamientos frente a trámites presupuestales._x000a__x000a__x000a_De la mesa de trabajo se genera el acta mediante ITS Gestión, aplicativo de la entidad._x000a__x000a__x000a_Es importante informar a las áreas sobre la ejecución presupuestal para que la corroboren contra el control que maneja cada uno de los enlaces y aclarar todas las dudas que puedan presentar sobre los trámites presupuestales._x000a__x000a_Actividad 4 - Noviembre:_x000a__x000a_Se realizó la segunda capacitación a las dependencias que ejecutan el presupuesto sobre los procedimientos y trámites de gestión presupuestal en la cual se abordo temas como:_x000a__x000a__x000a__x000a_-Programación Presupuestal_x000a_-Ejecución Presupuestal (CDP, Registro Presupuestal, Reserva Presupuestal, (ezago Presupuestal)_x000a_-Traslados Presupuestales y Vigencias Futuras_x000a_-Seguimiento a la Ejecución Presupuestal_x000a__x000a__x000a__x000a_Se adjuntan carpetas con evidencias de las actividades realizadas._x000a_ _x000a__x000a_"/>
    <b v="0"/>
    <m/>
    <s v="2025"/>
    <s v="Elemento"/>
    <s v="sites/PlanAnualdeGestin/Lists/REPORTE SEGUIMIENTO PAG"/>
  </r>
  <r>
    <s v="Secretaria General"/>
    <x v="11"/>
    <x v="80"/>
    <s v="Fortalecer el conocimiento de los servidores públicos de la SNS en materia disciplinaria, respecto de la nueva normatividad y sus modificaciones, parámetros de trabajo unificados, con el fin de afianzar los valores institucionales y buenas prácticas, garantizando una adecuada prestación del servicio y por ende salvaguardando la función pública."/>
    <s v="Porcentaje de Capacitaciones, Autocapacitaciones y Charlas de Sensibilización y preservación del orden interno en materia disciplinaria"/>
    <s v="(Número de Capacitaciones, Autocapacitaciones y Charlas de Sensibilización y de preservación del orden interno, sobre acciones preventivas disciplinarias y normatividad vigente realizadas en el periodo/ Número de Capacitaciones, Autocapacitaciones y Charlas de Sensibilización y de preservación del orden interno, sobre acciones preventivas disciplinarias y normatividad vigente a realizar en el periodo)*100"/>
    <s v="Porcentual"/>
    <n v="1"/>
    <n v="6"/>
    <n v="6"/>
    <n v="1"/>
    <s v="En el tercer cuatrimestre (Septiembre-Diciembre) de 2025 la Oficina de Control Disciplinario realizo seis (6) capacitaciones, charlas en materia disciplinaria, con las siguientes temáticas y participantes: 1) 26/09/2025 Charla Régimen de Inhabilidades, Incompatibilidades y Conflicto de Interés: (Virtual) 423 participantes; 2) Faltas Disciplinarias Relacionadas con Participación en Política (Virtual) 90 participantes; 3) Charla Prevención de Faltas Disciplinarias Dirección Regional Nororiental - Bucaramanga Presencial (14) participantes; 4) &quot;Mora proceso administrativo sancionatorio&quot; Delegada para Investigaciones Administrativas - 14/11/2025  (Virtual) 55 Participantes; 5) Charla Maltrato y Acoso Laboral con énfasis en responsabilidad disciplinaria de los funcionarios de la Supersalud - 18/11/2025 (Virtual) 474 (Presencial) y 6) Hablemos de Integridad, Conflictos de Interés y Confidencialidad de la información - Dirigida a la Delegada de Entidades Territoriales 04/12/2025 - Total Participantes: 167         _x000a_Así mismo, la OCDI participo en cinco (5) jornadas de inducción dirigida a los nuevos funcionarios vinculados, por concurso de méritos a la Superintendencia, cuya temática abarca (Generalidades del Proceso Disciplinario; División de Roles (Instrucción y Juzgamiento); Etapas del proceso; Derechos; Deberes; Prohibiciones; Modalidades de conducta y formas de culpabilidad; etc.) – Realizadas de manera Virtual: los días 09 y 30 de septiembre, 21 de octubre, 19 de noviembre y 22 de diciembre de 2025 - Total 297 (participantes)_x000a_Total participantes – Función Preventiva= 1594 funcionarios.                SeptiembreOctubreNoviembre Diciembre  Total, participantes: (Virtual) 423 26/09/2025 Charla Régimen de Inhabilidades, Incompatibilidades y Conflicto de Interés_x000a_Total, participantes: (Virtual) 90 – Presencial: 14  _x000a_* Faltas Disciplinarias Relacionadas con Participación en Política (Virtual)_x000a_* Charla Prevención de Faltas Disciplinarias_x000a_ Dirección Regional Nororiental - Bucaramanga PresencialTotal, participantes: (Virtual) 529 – Presencial 74_x000a_* &quot;Mora proceso administrativo sancionatorio&quot; Delegada para Investigaciones Administrativas - 14/11/2025_x000a_* Charla Maltrato y Acoso Laboral con énfasis en responsabilidad disciplinaria de los funcionarios de la Supersalud Total, participantes: (Virtual) 167    * Capacitación:_x000a_ Hablemos de Integridad, Conflictos de Interés y Confidencialidad de la información - Dirigida a la Delegada de Entidades Territoriales_x000a_Adicionalmente, la oficina ha tenido publicaciones de notas en las ediciones No. 261 y 264 del Superboletín - Septiembre de 2025_x000a_"/>
    <b v="1"/>
    <s v="https://supersalud.sharepoint.com/:f:/r/sites/luisalberto/Documentos%20compartidos/Gesti%C3%B3n_OCDI_2025/Indicadores_PAG_2025/III_Cuatrimestre_2025?csf=1&amp;web=1&amp;e=Anrc4x"/>
    <s v="2025"/>
    <s v="Elemento"/>
    <s v="sites/PlanAnualdeGestin/Lists/REPORTE SEGUIMIENTO PAG"/>
  </r>
  <r>
    <s v="Secretaria General"/>
    <x v="11"/>
    <x v="6"/>
    <s v="Evaluar y/o calificar los asuntos (NRCD) sobre los cuales se adopte decisión de Inhibitorio, Remisión por Competencia, Indagación Previa y/o Investigación Disciplinaria en etapa de instrucción en el orden en que hayan ingresado a la Oficina de Control Disciplinario Interno, salvo prelación legal o urgencia manifiesta."/>
    <s v="Porcentaje de asuntos (NRCD) sobre los cuales se adopte decisión en la Oficina de Control Disciplinario Interno en etapa de instrucción"/>
    <s v="(Número de asuntos (NRCD) con decisión adoptada en el período/Número total de asuntos (NRCD) recibidos) * 100"/>
    <s v="Porcentual"/>
    <n v="1"/>
    <n v="26"/>
    <n v="26"/>
    <n v="1"/>
    <s v="De las (26) noticias disciplinarias (Quejas, informe de servidor público o de oficio) recibidas en el sexto bimestre de 2025 (noviembre - diciembre), se adelantaron las siguientes actuaciones: 18 (69,2%) Aperturas de Indagación Previa; 4 (15,4%) Autos Inhibitorios; 2 (7,7%) Aperturas de Investigación Disciplinaria y 2 (7,7%) Traslados por Competencia, profiriendo igual número de autos por el Coordinador del Grupo de Instrucción Disciplinaria en el periodo:_x000a_Tipo Noticia/ AutoInforme de Servidor PúblicoQuejaTotal, Noticias VI Bimestre 2025Auto de Indagación Previa9918Auto Inhibitorio 44Auto Apertura de Investigación2  Auto Traslado por Competencia2 2VI Bimestre (Noviembre – Diciembre) 2025, Total131326"/>
    <b v="1"/>
    <s v="https://supersalud.sharepoint.com/:f:/r/sites/luisalberto/Documentos%20compartidos/Gesti%C3%B3n_OCDI_2025/Indicadores_PAG_2025/AC05_Noticias_Disciplinarias/VI%20Bimestre%202025?csf=1&amp;web=1&amp;e=XcrcDJ"/>
    <s v="2025"/>
    <s v="Elemento"/>
    <s v="sites/PlanAnualdeGestin/Lists/REPORTE SEGUIMIENTO PAG"/>
  </r>
  <r>
    <s v="Secretaria General"/>
    <x v="11"/>
    <x v="115"/>
    <s v="Evaluar y/o calificar con decisión de fondo en etapa de instrucción (archivo o pliego de cargos) , de conformidad con la fecha de los hechos disciplinariamente relevantes y el acervo probatorio obrante en el expediente, salvo prelación legal o urgencia manifiesta."/>
    <s v="Porcentaje de decisiones de fondo adoptadas en etapa de instrucción en la Oficina de Control Disciplinario Interno"/>
    <s v="(Número de decisiones de fondo adoptadas en el período/Número total de procesos evaluados en etapa de instrucción) * 100"/>
    <s v="Porcentual"/>
    <n v="0.5"/>
    <n v="200"/>
    <n v="304"/>
    <n v="1"/>
    <s v="Dada la dinámica de la etapa de instrucción y la variación mensual (Julio:232; Agosto: 205; Septiembre: 142; Octubre:84; Noviembre: 73 y Diciembre: 85) del inventario de expedientes objeto de evaluación o calificación, para adoptar una decisión (archivo o pliego de cargos), se tomará el promedio del semestre (137) como denominador, para el cálculo del indicador, excluyendo aquellos expedientes cuyo término de duración de la indagación previa o investigación disciplinaria se encuentra en curso (vigente), de los137 expedientes reseñados, se adoptaron 183 decisiones de archivo con fundamento en las causales del artículo 90 del Código General Disciplinario y se formularon nueve (9) pliego de cargos.    _x000a_En las reuniones de Autoevaluación mensual de la OCDI se verifica el avance frente al indicador y se acumula el mismo, a saber:JulioAgostoSeptiembreOctubreNoviembreDiciembreIndicador:_x000a_ (27) Decisiones de Fondo Adoptadas Etapa Instrucción / (232) Número Total Procesos Evaluados - Etapa Instrucción *100 = 11,63%Indicador:_x000a_ (62) Decisiones de Fondo Adoptadas Etapa Instrucción / (205) Número Total Procesos Evaluados - Etapa Instrucción *100 = 30,02%Indicador:_x000a_ (59) Decisiones de Fondo Adoptadas Etapa Instrucción / (142) Número Total Procesos Evaluados - Etapa Instrucción *100 = 41,5%Indicador:_x000a_ (18) Decisiones de Fondo Adoptadas Etapa Instrucción / (84) Número Total Procesos Evaluados - Etapa Instrucción *100 = 21,4%Indicador:_x000a_ (11) Decisiones de Fondo Adoptadas Etapa Instrucción / (73) Número Total Procesos Evaluados - Etapa Instrucción *100 = 15,07%Indicador:_x000a_ (15) Decisiones de Fondo Adoptadas Etapa Instrucción / (85) Número Total Procesos Evaluados - Etapa Instrucción *100 = 17,64%11,63% (27)41,65% (89)83,15 % (148)104,55% (166)119,62% (177)137,26% (192)_x000a__x000a__x000a_La meta programada, está superada en el 112,26%, ya que para el segundo semestre se tenía previsto un avance del 25%, pero se logró el 137,26%, lo anterior obedece a que en el periodo a reportar se contó con la totalidad del personal de planta y adicionalmente con el tres (3) contratistas de prestación de servicios expertos.  _x000a_"/>
    <b v="1"/>
    <s v="https://supersalud.sharepoint.com/:f:/r/sites/luisalberto/Documentos%20compartidos/Gesti%C3%B3n_OCDI_2025/Indicadores_PAG_2025/AC06_Archivo_Pliego?csf=1&amp;web=1&amp;e=vkwHnE"/>
    <s v="2025"/>
    <s v="Elemento"/>
    <s v="sites/PlanAnualdeGestin/Lists/REPORTE SEGUIMIENTO PAG"/>
  </r>
  <r>
    <s v="Secretaria General"/>
    <x v="11"/>
    <x v="116"/>
    <s v="Evaluar y/o calificar con decisión de fondo en etapa de juzgamiento (archivo o fallo de primera instancia), de conformidad con la fecha de los hechos disciplinariamente relevantes y el acervo probatorio obrante en el expediente, salvo prelación legal o urgencia manifiesta."/>
    <s v="Porcentaje de decisiones de fondo adoptadas en etapa de juzgamiento en la Oficina de Control Disciplinario Interno"/>
    <s v="(Número de decisiones de fondo adoptadas en el período/Número total de procesos evaluados en etapa de juzgamiento) * 100"/>
    <s v="Porcentual"/>
    <n v="0.5"/>
    <n v="4"/>
    <n v="7"/>
    <n v="0.44444444444444398"/>
    <s v="El inventario de expedientes existentes en el segundo semestre 2025, a evaluar en etapa de juzgamiento, para adoptar la decisión de primera instancia, correspondía a nueve (9) de los cuales se adoptó fallo sancionatorio de primera instancia en cuatro (4),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_x000a_Lo previsto para el primer semestre se alcanzó según o previsto en el indicador, incluso superando la línea base del indicador._x000a_"/>
    <b v="1"/>
    <s v="https://www.supersalud.gov.co/es-co/nuestra-entidad/estructura-organica-y-talento-humano/relator%C3%ADa-de-actos-disciplinarios"/>
    <s v="2025"/>
    <s v="Elemento"/>
    <s v="sites/PlanAnualdeGestin/Lists/REPORTE SEGUIMIENTO PAG"/>
  </r>
  <r>
    <s v="Dirección de Innovación y Desarrollo"/>
    <x v="11"/>
    <x v="44"/>
    <s v="Actualizar e implementar el Plan Estratégico de Tecnologías de la información (PETI)"/>
    <s v="Porcentaje de actividades ejecutadas en cumplimiento del Plan de Seguridad y Privacidad de la Información y Seguridad Digital"/>
    <s v="Total de actividades cumplidas del plan de seguridad y privacidad de la Información de la STI / Total de actividades definidas en el plan de seguridad y privacidad de la Información de la STI"/>
    <s v="Porcentual_x000a_"/>
    <n v="5"/>
    <n v="4"/>
    <n v="5"/>
    <n v="1"/>
    <s v="Las actividades ejecutadas para el cumplimiento del Plan de Seguridad y Privacidad de la información corresponden a: ​_x000a__x000a_1. Alcanzar un nivel de implementación del 80 % del Modelo de Seguridad y Privacidad de la Información (MSPI), fortaleciendo los controles de seguridad y privacidad de la información en la entidad._x000a_2. Identificar  el 100 % de los activos de información de los procesos de la entidad, incluyendo su clasificación y responsables, que sirva de insumo para la gestión de riesgos de seguridad de la información._x000a_3. Avanzar en implementación. Apropiación y madurez operativa del Programa de Gestión de Datos Pesonales_x000a_4.Avanzar con el diseño e implementación de la arquitectura de seguridad de la SNS. _x000a_"/>
    <b v="1"/>
    <s v="https://teams.microsoft.com/l/message/19:a7ea01deaa914eb4bc758f5a2f979ee5@thread.v2/1768916521434?context=%7B%22contextType%22%3A%22chat%22%7D"/>
    <s v="2025"/>
    <s v="Elemento"/>
    <s v="sites/PlanAnualdeGestin/Lists/REPORTE SEGUIMIENTO PAG"/>
  </r>
  <r>
    <s v="Dirección de Innovación y Desarrollo"/>
    <x v="11"/>
    <x v="45"/>
    <s v="Actualizar e implementar el Plan Estratégico de Tecnologías de la información (PETI)"/>
    <s v="Porcentaje de actividades ejecutadas en cumplimiento del Plan de Tratamiento de Riesgos de Seguridad y Privacidad de la Información"/>
    <s v="Total de actividades cumplidas del plan de Tratamientos de Riesgos de seguridad y privacidad de la Información de la STI / Total de actividades definidas en el plan de Tratamientos de Riesgos de seguridad y privacidadad de la Información de la STI"/>
    <s v="Porcentual"/>
    <n v="4"/>
    <n v="8"/>
    <n v="8"/>
    <n v="1"/>
    <s v="Las actividades ejecutadas en el periodo evidencian un avance integral en la gestión de riesgos de seguridad digital y privacidad de la información dentro de la entidad. Se actualizaron lineamientos y políticas clave, se fortaleció la cultura institucional mediante jornadas de sensibilización y capacitación dirigidas a gestores y colaboradores, y se brindó acompañamiento técnico en la identificación, análisis y valoración de riesgos con criticidad moderada, alta y extrema, incluyendo la revisión de controles y la definición de tratamientos. Además, se formalizó la aceptación y aprobación de los riesgos identificados junto con sus planes de mejoramiento, y se publicaron los mapas de riesgos de los procesos, consolidando así un ciclo de gestión más maduro, documentado y alineado con las exigencias de seguridad digital y continuidad operativa._x000a_"/>
    <b v="1"/>
    <s v="https://supersalud.sharepoint.com/:f:/s/GrupodeSeguridadDigital/IgAqw8v4WnA1R4aivJ3-wCY6AbjlKR8g3QdCYL9VKFm4Wgk?e=hLHXy9"/>
    <s v="2025"/>
    <s v="Elemento"/>
    <s v="sites/PlanAnualdeGestin/Lists/REPORTE SEGUIMIENTO PAG"/>
  </r>
  <r>
    <s v="Oficina Asesora de Planeación"/>
    <x v="11"/>
    <x v="127"/>
    <s v="Realizar seguimiento a la implementación del Programa de Transaparencia y Etica Pública (Racionalización de Trámites, Integridad, Transparencia, Redes externas e Internas, Riesgos, Participación ciudadana) de acuerdo con los lineamientod definidos por la Secretaria de Transaparencia y Depto. Admitivo de Función Pública - DAFP"/>
    <s v="Porcentaje de avance en la ejecución del Programa de Transaparencia y Etica Publica"/>
    <s v="(Número de actividades ejecutadas en el periodo / Número de actividades programadas en el cronograma del Programa de Transaparencia y Etica Publica"/>
    <s v="Porcentual"/>
    <n v="0.3"/>
    <n v="71"/>
    <n v="73"/>
    <n v="0.9726027397260274"/>
    <s v="La Oficina Asesora de Planeación, solicitó el reporte de monitoreo de las actividades contempladas en la versión actual de los cronogramas del Programa de Transparencia y Ética Pública, con el objetivo de identificar oportunidades de mejora en su formulación o la necesidad de incluir nuevas acciones._x000a__x000a_Este ejercicio de monitoreo abarca exclusivamente las actividades desarrolladas durante la vigencia actual, hasta el 31 de septiembre de 2025, en concordancia con lo establecido en la Circular CIR25-00000026 de 2025._x000a_Resultados del monitoreo: De las 73 actividades planteadas en el plan, distribuidas en los diferentes componentes, 54 se cumplieron (algunas con ejecución trimestral continua), 1 presentan cumplimiento parcial, 1 no se cumplieron y 17 fueron ejecutadas en el periodo anterior evaluado. En este sentido, al considerar las 54 actividades cumplidas durante el periodo y las 17 ejecutadas previamente, se obtiene un total de 63 actividades cumplidas sobre 71, lo que corresponde a un nivel de cumplimiento del 97 %._x000a_"/>
    <b v="0"/>
    <m/>
    <s v="2025"/>
    <s v="Elemento"/>
    <s v="sites/PlanAnualdeGestin/Lists/REPORTE SEGUIMIENTO PAG"/>
  </r>
  <r>
    <m/>
    <x v="12"/>
    <x v="129"/>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857A00-81A2-481A-AD85-23DAE49A0E3E}"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J2:AW133" firstHeaderRow="1" firstDataRow="2" firstDataCol="1"/>
  <pivotFields count="17">
    <pivotField showAll="0"/>
    <pivotField axis="axisCol" showAll="0" sortType="ascending">
      <items count="15">
        <item x="0"/>
        <item x="1"/>
        <item x="2"/>
        <item x="3"/>
        <item x="4"/>
        <item x="5"/>
        <item x="6"/>
        <item x="7"/>
        <item x="8"/>
        <item x="9"/>
        <item x="10"/>
        <item x="11"/>
        <item h="1" m="1" x="13"/>
        <item h="1" x="12"/>
        <item t="default"/>
      </items>
    </pivotField>
    <pivotField axis="axisRow" showAll="0">
      <items count="132">
        <item x="80"/>
        <item x="6"/>
        <item x="115"/>
        <item x="116"/>
        <item x="37"/>
        <item x="38"/>
        <item x="28"/>
        <item x="66"/>
        <item x="2"/>
        <item x="20"/>
        <item x="11"/>
        <item x="51"/>
        <item x="52"/>
        <item x="53"/>
        <item x="117"/>
        <item x="118"/>
        <item x="119"/>
        <item x="12"/>
        <item x="92"/>
        <item x="93"/>
        <item x="105"/>
        <item x="106"/>
        <item x="79"/>
        <item x="21"/>
        <item x="39"/>
        <item x="94"/>
        <item x="85"/>
        <item x="13"/>
        <item x="7"/>
        <item x="8"/>
        <item x="9"/>
        <item x="84"/>
        <item x="67"/>
        <item x="40"/>
        <item x="41"/>
        <item x="103"/>
        <item x="42"/>
        <item x="104"/>
        <item x="43"/>
        <item x="44"/>
        <item x="45"/>
        <item x="76"/>
        <item x="54"/>
        <item x="120"/>
        <item x="55"/>
        <item x="56"/>
        <item x="57"/>
        <item x="46"/>
        <item x="58"/>
        <item x="77"/>
        <item x="47"/>
        <item x="75"/>
        <item x="59"/>
        <item x="60"/>
        <item x="10"/>
        <item x="1"/>
        <item x="121"/>
        <item x="81"/>
        <item x="82"/>
        <item x="107"/>
        <item x="108"/>
        <item x="3"/>
        <item x="48"/>
        <item x="49"/>
        <item x="4"/>
        <item x="0"/>
        <item x="109"/>
        <item x="110"/>
        <item x="111"/>
        <item x="5"/>
        <item x="78"/>
        <item x="112"/>
        <item x="50"/>
        <item x="86"/>
        <item x="87"/>
        <item x="16"/>
        <item x="17"/>
        <item x="18"/>
        <item x="19"/>
        <item x="88"/>
        <item x="89"/>
        <item x="61"/>
        <item x="62"/>
        <item x="63"/>
        <item x="64"/>
        <item x="65"/>
        <item x="90"/>
        <item x="29"/>
        <item x="30"/>
        <item x="31"/>
        <item x="72"/>
        <item x="32"/>
        <item x="73"/>
        <item x="74"/>
        <item x="33"/>
        <item x="34"/>
        <item x="95"/>
        <item x="96"/>
        <item x="68"/>
        <item x="35"/>
        <item x="36"/>
        <item x="113"/>
        <item x="97"/>
        <item x="22"/>
        <item x="23"/>
        <item x="69"/>
        <item x="24"/>
        <item x="70"/>
        <item x="14"/>
        <item x="98"/>
        <item x="99"/>
        <item x="83"/>
        <item x="91"/>
        <item x="114"/>
        <item x="25"/>
        <item x="71"/>
        <item x="26"/>
        <item x="27"/>
        <item x="100"/>
        <item x="101"/>
        <item x="15"/>
        <item x="102"/>
        <item x="129"/>
        <item x="122"/>
        <item x="124"/>
        <item x="125"/>
        <item x="123"/>
        <item x="126"/>
        <item x="128"/>
        <item x="127"/>
        <item m="1" x="130"/>
        <item t="default"/>
      </items>
    </pivotField>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2"/>
  </rowFields>
  <rowItems count="1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3"/>
    </i>
    <i>
      <x v="124"/>
    </i>
    <i>
      <x v="125"/>
    </i>
    <i>
      <x v="126"/>
    </i>
    <i>
      <x v="127"/>
    </i>
    <i>
      <x v="128"/>
    </i>
    <i>
      <x v="129"/>
    </i>
    <i t="grand">
      <x/>
    </i>
  </rowItems>
  <colFields count="1">
    <field x="1"/>
  </colFields>
  <colItems count="13">
    <i>
      <x/>
    </i>
    <i>
      <x v="1"/>
    </i>
    <i>
      <x v="2"/>
    </i>
    <i>
      <x v="3"/>
    </i>
    <i>
      <x v="4"/>
    </i>
    <i>
      <x v="5"/>
    </i>
    <i>
      <x v="6"/>
    </i>
    <i>
      <x v="7"/>
    </i>
    <i>
      <x v="8"/>
    </i>
    <i>
      <x v="9"/>
    </i>
    <i>
      <x v="10"/>
    </i>
    <i>
      <x v="11"/>
    </i>
    <i t="grand">
      <x/>
    </i>
  </colItems>
  <dataFields count="1">
    <dataField name="Suma de Denominador" fld="9" baseField="0" baseItem="0"/>
  </dataFields>
  <formats count="36">
    <format dxfId="56">
      <pivotArea type="all" dataOnly="0" outline="0" fieldPosition="0"/>
    </format>
    <format dxfId="55">
      <pivotArea outline="0" collapsedLevelsAreSubtotals="1" fieldPosition="0"/>
    </format>
    <format dxfId="54">
      <pivotArea type="origin" dataOnly="0" labelOnly="1" outline="0" fieldPosition="0"/>
    </format>
    <format dxfId="53">
      <pivotArea field="1" type="button" dataOnly="0" labelOnly="1" outline="0" axis="axisCol" fieldPosition="0"/>
    </format>
    <format dxfId="52">
      <pivotArea type="topRight" dataOnly="0" labelOnly="1" outline="0" fieldPosition="0"/>
    </format>
    <format dxfId="51">
      <pivotArea field="2" type="button" dataOnly="0" labelOnly="1" outline="0" axis="axisRow" fieldPosition="0"/>
    </format>
    <format dxfId="50">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9">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8">
      <pivotArea dataOnly="0" labelOnly="1" fieldPosition="0">
        <references count="1">
          <reference field="2" count="23">
            <x v="100"/>
            <x v="101"/>
            <x v="102"/>
            <x v="103"/>
            <x v="104"/>
            <x v="105"/>
            <x v="106"/>
            <x v="107"/>
            <x v="108"/>
            <x v="109"/>
            <x v="110"/>
            <x v="111"/>
            <x v="112"/>
            <x v="113"/>
            <x v="114"/>
            <x v="115"/>
            <x v="116"/>
            <x v="117"/>
            <x v="118"/>
            <x v="119"/>
            <x v="120"/>
            <x v="121"/>
            <x v="122"/>
          </reference>
        </references>
      </pivotArea>
    </format>
    <format dxfId="47">
      <pivotArea dataOnly="0" labelOnly="1" grandRow="1" outline="0" fieldPosition="0"/>
    </format>
    <format dxfId="46">
      <pivotArea dataOnly="0" labelOnly="1" fieldPosition="0">
        <references count="1">
          <reference field="1" count="0"/>
        </references>
      </pivotArea>
    </format>
    <format dxfId="45">
      <pivotArea dataOnly="0" labelOnly="1" grandCol="1" outline="0" fieldPosition="0"/>
    </format>
    <format dxfId="44">
      <pivotArea type="all" dataOnly="0" outline="0" fieldPosition="0"/>
    </format>
    <format dxfId="43">
      <pivotArea outline="0" collapsedLevelsAreSubtotals="1" fieldPosition="0"/>
    </format>
    <format dxfId="42">
      <pivotArea type="origin" dataOnly="0" labelOnly="1" outline="0" fieldPosition="0"/>
    </format>
    <format dxfId="41">
      <pivotArea field="1" type="button" dataOnly="0" labelOnly="1" outline="0" axis="axisCol" fieldPosition="0"/>
    </format>
    <format dxfId="40">
      <pivotArea type="topRight" dataOnly="0" labelOnly="1" outline="0" fieldPosition="0"/>
    </format>
    <format dxfId="39">
      <pivotArea field="2" type="button" dataOnly="0" labelOnly="1" outline="0" axis="axisRow" fieldPosition="0"/>
    </format>
    <format dxfId="38">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7">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6">
      <pivotArea dataOnly="0" labelOnly="1" fieldPosition="0">
        <references count="1">
          <reference field="2" count="27">
            <x v="100"/>
            <x v="101"/>
            <x v="102"/>
            <x v="103"/>
            <x v="104"/>
            <x v="105"/>
            <x v="106"/>
            <x v="107"/>
            <x v="108"/>
            <x v="109"/>
            <x v="110"/>
            <x v="111"/>
            <x v="112"/>
            <x v="113"/>
            <x v="114"/>
            <x v="115"/>
            <x v="116"/>
            <x v="117"/>
            <x v="118"/>
            <x v="119"/>
            <x v="120"/>
            <x v="121"/>
            <x v="123"/>
            <x v="124"/>
            <x v="125"/>
            <x v="126"/>
            <x v="127"/>
          </reference>
        </references>
      </pivotArea>
    </format>
    <format dxfId="35">
      <pivotArea dataOnly="0" labelOnly="1" grandRow="1" outline="0" fieldPosition="0"/>
    </format>
    <format dxfId="34">
      <pivotArea dataOnly="0" labelOnly="1" fieldPosition="0">
        <references count="1">
          <reference field="1" count="0"/>
        </references>
      </pivotArea>
    </format>
    <format dxfId="33">
      <pivotArea dataOnly="0" labelOnly="1" grandCol="1" outline="0" fieldPosition="0"/>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1" type="button" dataOnly="0" labelOnly="1" outline="0" axis="axisCol" fieldPosition="0"/>
    </format>
    <format dxfId="28">
      <pivotArea type="topRight" dataOnly="0" labelOnly="1" outline="0" fieldPosition="0"/>
    </format>
    <format dxfId="27">
      <pivotArea field="2" type="button" dataOnly="0" labelOnly="1" outline="0" axis="axisRow" fieldPosition="0"/>
    </format>
    <format dxfId="26">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5">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24">
      <pivotArea dataOnly="0" labelOnly="1" fieldPosition="0">
        <references count="1">
          <reference field="2" count="27">
            <x v="100"/>
            <x v="101"/>
            <x v="102"/>
            <x v="103"/>
            <x v="104"/>
            <x v="105"/>
            <x v="106"/>
            <x v="107"/>
            <x v="108"/>
            <x v="109"/>
            <x v="110"/>
            <x v="111"/>
            <x v="112"/>
            <x v="113"/>
            <x v="114"/>
            <x v="115"/>
            <x v="116"/>
            <x v="117"/>
            <x v="118"/>
            <x v="119"/>
            <x v="120"/>
            <x v="121"/>
            <x v="123"/>
            <x v="124"/>
            <x v="125"/>
            <x v="126"/>
            <x v="127"/>
          </reference>
        </references>
      </pivotArea>
    </format>
    <format dxfId="23">
      <pivotArea dataOnly="0" labelOnly="1" grandRow="1" outline="0" fieldPosition="0"/>
    </format>
    <format dxfId="22">
      <pivotArea dataOnly="0" labelOnly="1" fieldPosition="0">
        <references count="1">
          <reference field="1" count="0"/>
        </references>
      </pivotArea>
    </format>
    <format dxfId="2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1F33C51-B36B-4472-8967-3ACF7DFD1B5C}"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T2:AG133" firstHeaderRow="1" firstDataRow="2" firstDataCol="1"/>
  <pivotFields count="17">
    <pivotField showAll="0"/>
    <pivotField axis="axisCol" showAll="0" sortType="ascending">
      <items count="15">
        <item x="0"/>
        <item x="1"/>
        <item x="2"/>
        <item x="3"/>
        <item x="4"/>
        <item x="5"/>
        <item x="6"/>
        <item x="7"/>
        <item x="8"/>
        <item x="9"/>
        <item x="10"/>
        <item x="11"/>
        <item m="1" x="13"/>
        <item x="12"/>
        <item t="default"/>
      </items>
    </pivotField>
    <pivotField axis="axisRow" showAll="0">
      <items count="132">
        <item x="80"/>
        <item x="6"/>
        <item x="115"/>
        <item x="116"/>
        <item x="37"/>
        <item x="38"/>
        <item x="28"/>
        <item x="66"/>
        <item x="2"/>
        <item x="20"/>
        <item x="11"/>
        <item x="51"/>
        <item x="52"/>
        <item x="53"/>
        <item x="117"/>
        <item x="118"/>
        <item x="119"/>
        <item x="12"/>
        <item x="92"/>
        <item x="93"/>
        <item x="105"/>
        <item x="106"/>
        <item x="79"/>
        <item x="21"/>
        <item x="39"/>
        <item x="94"/>
        <item x="85"/>
        <item x="13"/>
        <item x="7"/>
        <item x="8"/>
        <item x="9"/>
        <item x="84"/>
        <item x="67"/>
        <item x="40"/>
        <item x="41"/>
        <item x="103"/>
        <item x="42"/>
        <item x="104"/>
        <item x="43"/>
        <item x="44"/>
        <item x="45"/>
        <item x="76"/>
        <item x="54"/>
        <item x="120"/>
        <item x="55"/>
        <item x="56"/>
        <item x="57"/>
        <item x="46"/>
        <item x="58"/>
        <item x="77"/>
        <item x="47"/>
        <item x="75"/>
        <item x="59"/>
        <item x="60"/>
        <item x="10"/>
        <item x="1"/>
        <item x="121"/>
        <item x="81"/>
        <item x="82"/>
        <item x="107"/>
        <item x="108"/>
        <item x="3"/>
        <item x="48"/>
        <item x="49"/>
        <item x="4"/>
        <item x="0"/>
        <item x="109"/>
        <item x="110"/>
        <item x="111"/>
        <item x="5"/>
        <item x="78"/>
        <item x="112"/>
        <item x="50"/>
        <item x="86"/>
        <item x="87"/>
        <item x="16"/>
        <item x="17"/>
        <item x="18"/>
        <item x="19"/>
        <item x="88"/>
        <item x="89"/>
        <item x="61"/>
        <item x="62"/>
        <item x="63"/>
        <item x="64"/>
        <item x="65"/>
        <item x="90"/>
        <item x="29"/>
        <item x="30"/>
        <item x="31"/>
        <item x="72"/>
        <item x="32"/>
        <item x="73"/>
        <item x="74"/>
        <item x="33"/>
        <item x="34"/>
        <item x="95"/>
        <item x="96"/>
        <item x="68"/>
        <item x="35"/>
        <item x="36"/>
        <item x="113"/>
        <item x="97"/>
        <item x="22"/>
        <item x="23"/>
        <item x="69"/>
        <item x="24"/>
        <item x="70"/>
        <item x="14"/>
        <item x="98"/>
        <item x="99"/>
        <item x="83"/>
        <item x="91"/>
        <item x="114"/>
        <item x="25"/>
        <item x="71"/>
        <item x="26"/>
        <item x="27"/>
        <item x="100"/>
        <item x="101"/>
        <item x="15"/>
        <item x="102"/>
        <item h="1" x="129"/>
        <item x="122"/>
        <item x="124"/>
        <item x="125"/>
        <item x="123"/>
        <item x="126"/>
        <item x="128"/>
        <item x="127"/>
        <item h="1" m="1" x="130"/>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s>
  <rowFields count="1">
    <field x="2"/>
  </rowFields>
  <rowItems count="1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3"/>
    </i>
    <i>
      <x v="124"/>
    </i>
    <i>
      <x v="125"/>
    </i>
    <i>
      <x v="126"/>
    </i>
    <i>
      <x v="127"/>
    </i>
    <i>
      <x v="128"/>
    </i>
    <i>
      <x v="129"/>
    </i>
    <i t="grand">
      <x/>
    </i>
  </rowItems>
  <colFields count="1">
    <field x="1"/>
  </colFields>
  <colItems count="13">
    <i>
      <x/>
    </i>
    <i>
      <x v="1"/>
    </i>
    <i>
      <x v="2"/>
    </i>
    <i>
      <x v="3"/>
    </i>
    <i>
      <x v="4"/>
    </i>
    <i>
      <x v="5"/>
    </i>
    <i>
      <x v="6"/>
    </i>
    <i>
      <x v="7"/>
    </i>
    <i>
      <x v="8"/>
    </i>
    <i>
      <x v="9"/>
    </i>
    <i>
      <x v="10"/>
    </i>
    <i>
      <x v="11"/>
    </i>
    <i t="grand">
      <x/>
    </i>
  </colItems>
  <dataFields count="1">
    <dataField name="Suma de Numerador" fld="8" baseField="0" baseItem="0"/>
  </dataFields>
  <formats count="36">
    <format dxfId="92">
      <pivotArea type="all" dataOnly="0" outline="0" fieldPosition="0"/>
    </format>
    <format dxfId="91">
      <pivotArea outline="0" collapsedLevelsAreSubtotals="1" fieldPosition="0"/>
    </format>
    <format dxfId="90">
      <pivotArea type="origin" dataOnly="0" labelOnly="1" outline="0" fieldPosition="0"/>
    </format>
    <format dxfId="89">
      <pivotArea field="1" type="button" dataOnly="0" labelOnly="1" outline="0" axis="axisCol" fieldPosition="0"/>
    </format>
    <format dxfId="88">
      <pivotArea type="topRight" dataOnly="0" labelOnly="1" outline="0" fieldPosition="0"/>
    </format>
    <format dxfId="87">
      <pivotArea field="2" type="button" dataOnly="0" labelOnly="1" outline="0" axis="axisRow" fieldPosition="0"/>
    </format>
    <format dxfId="86">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85">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84">
      <pivotArea dataOnly="0" labelOnly="1" fieldPosition="0">
        <references count="1">
          <reference field="2" count="23">
            <x v="100"/>
            <x v="101"/>
            <x v="102"/>
            <x v="103"/>
            <x v="104"/>
            <x v="105"/>
            <x v="106"/>
            <x v="107"/>
            <x v="108"/>
            <x v="109"/>
            <x v="110"/>
            <x v="111"/>
            <x v="112"/>
            <x v="113"/>
            <x v="114"/>
            <x v="115"/>
            <x v="116"/>
            <x v="117"/>
            <x v="118"/>
            <x v="119"/>
            <x v="120"/>
            <x v="121"/>
            <x v="122"/>
          </reference>
        </references>
      </pivotArea>
    </format>
    <format dxfId="83">
      <pivotArea dataOnly="0" labelOnly="1" grandRow="1" outline="0" fieldPosition="0"/>
    </format>
    <format dxfId="82">
      <pivotArea dataOnly="0" labelOnly="1" fieldPosition="0">
        <references count="1">
          <reference field="1" count="0"/>
        </references>
      </pivotArea>
    </format>
    <format dxfId="81">
      <pivotArea dataOnly="0" labelOnly="1" grandCol="1" outline="0" fieldPosition="0"/>
    </format>
    <format dxfId="80">
      <pivotArea type="all" dataOnly="0" outline="0" fieldPosition="0"/>
    </format>
    <format dxfId="79">
      <pivotArea outline="0" collapsedLevelsAreSubtotals="1" fieldPosition="0"/>
    </format>
    <format dxfId="78">
      <pivotArea type="origin" dataOnly="0" labelOnly="1" outline="0" fieldPosition="0"/>
    </format>
    <format dxfId="77">
      <pivotArea field="1" type="button" dataOnly="0" labelOnly="1" outline="0" axis="axisCol" fieldPosition="0"/>
    </format>
    <format dxfId="76">
      <pivotArea type="topRight" dataOnly="0" labelOnly="1" outline="0" fieldPosition="0"/>
    </format>
    <format dxfId="75">
      <pivotArea field="2" type="button" dataOnly="0" labelOnly="1" outline="0" axis="axisRow" fieldPosition="0"/>
    </format>
    <format dxfId="74">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3">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2">
      <pivotArea dataOnly="0" labelOnly="1" fieldPosition="0">
        <references count="1">
          <reference field="2" count="27">
            <x v="100"/>
            <x v="101"/>
            <x v="102"/>
            <x v="103"/>
            <x v="104"/>
            <x v="105"/>
            <x v="106"/>
            <x v="107"/>
            <x v="108"/>
            <x v="109"/>
            <x v="110"/>
            <x v="111"/>
            <x v="112"/>
            <x v="113"/>
            <x v="114"/>
            <x v="115"/>
            <x v="116"/>
            <x v="117"/>
            <x v="118"/>
            <x v="119"/>
            <x v="120"/>
            <x v="121"/>
            <x v="123"/>
            <x v="124"/>
            <x v="125"/>
            <x v="126"/>
            <x v="127"/>
          </reference>
        </references>
      </pivotArea>
    </format>
    <format dxfId="71">
      <pivotArea dataOnly="0" labelOnly="1" grandRow="1" outline="0" fieldPosition="0"/>
    </format>
    <format dxfId="70">
      <pivotArea dataOnly="0" labelOnly="1" fieldPosition="0">
        <references count="1">
          <reference field="1" count="0"/>
        </references>
      </pivotArea>
    </format>
    <format dxfId="69">
      <pivotArea dataOnly="0" labelOnly="1" grandCol="1" outline="0" fieldPosition="0"/>
    </format>
    <format dxfId="68">
      <pivotArea type="all" dataOnly="0" outline="0" fieldPosition="0"/>
    </format>
    <format dxfId="67">
      <pivotArea outline="0" collapsedLevelsAreSubtotals="1" fieldPosition="0"/>
    </format>
    <format dxfId="66">
      <pivotArea type="origin" dataOnly="0" labelOnly="1" outline="0" fieldPosition="0"/>
    </format>
    <format dxfId="65">
      <pivotArea field="1" type="button" dataOnly="0" labelOnly="1" outline="0" axis="axisCol" fieldPosition="0"/>
    </format>
    <format dxfId="64">
      <pivotArea type="topRight" dataOnly="0" labelOnly="1" outline="0" fieldPosition="0"/>
    </format>
    <format dxfId="63">
      <pivotArea field="2" type="button" dataOnly="0" labelOnly="1" outline="0" axis="axisRow" fieldPosition="0"/>
    </format>
    <format dxfId="62">
      <pivotArea dataOnly="0" labelOnly="1"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1">
      <pivotArea dataOnly="0" labelOnly="1" fieldPosition="0">
        <references count="1">
          <reference field="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0">
      <pivotArea dataOnly="0" labelOnly="1" fieldPosition="0">
        <references count="1">
          <reference field="2" count="27">
            <x v="100"/>
            <x v="101"/>
            <x v="102"/>
            <x v="103"/>
            <x v="104"/>
            <x v="105"/>
            <x v="106"/>
            <x v="107"/>
            <x v="108"/>
            <x v="109"/>
            <x v="110"/>
            <x v="111"/>
            <x v="112"/>
            <x v="113"/>
            <x v="114"/>
            <x v="115"/>
            <x v="116"/>
            <x v="117"/>
            <x v="118"/>
            <x v="119"/>
            <x v="120"/>
            <x v="121"/>
            <x v="123"/>
            <x v="124"/>
            <x v="125"/>
            <x v="126"/>
            <x v="127"/>
          </reference>
        </references>
      </pivotArea>
    </format>
    <format dxfId="59">
      <pivotArea dataOnly="0" labelOnly="1" grandRow="1" outline="0" fieldPosition="0"/>
    </format>
    <format dxfId="58">
      <pivotArea dataOnly="0" labelOnly="1" fieldPosition="0">
        <references count="1">
          <reference field="1" count="0"/>
        </references>
      </pivotArea>
    </format>
    <format dxfId="5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C89F28D-9A25-4119-94AD-193DA19AE347}" name="TablaDinámica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DB3:DG19" firstHeaderRow="1" firstDataRow="2" firstDataCol="1"/>
  <pivotFields count="8">
    <pivotField axis="axisRow" showAll="0">
      <items count="15">
        <item x="5"/>
        <item x="1"/>
        <item x="6"/>
        <item x="0"/>
        <item x="3"/>
        <item x="4"/>
        <item x="2"/>
        <item x="11"/>
        <item x="12"/>
        <item x="9"/>
        <item x="8"/>
        <item x="10"/>
        <item x="7"/>
        <item x="13"/>
        <item t="default"/>
      </items>
    </pivotField>
    <pivotField showAll="0"/>
    <pivotField showAll="0"/>
    <pivotField showAll="0"/>
    <pivotField showAll="0"/>
    <pivotField showAll="0"/>
    <pivotField showAll="0"/>
    <pivotField axis="axisCol" dataField="1" showAll="0">
      <items count="6">
        <item m="1" x="4"/>
        <item x="0"/>
        <item x="2"/>
        <item x="1"/>
        <item x="3"/>
        <item t="default"/>
      </items>
    </pivotField>
  </pivotFields>
  <rowFields count="1">
    <field x="0"/>
  </rowFields>
  <rowItems count="15">
    <i>
      <x/>
    </i>
    <i>
      <x v="1"/>
    </i>
    <i>
      <x v="2"/>
    </i>
    <i>
      <x v="3"/>
    </i>
    <i>
      <x v="4"/>
    </i>
    <i>
      <x v="5"/>
    </i>
    <i>
      <x v="6"/>
    </i>
    <i>
      <x v="7"/>
    </i>
    <i>
      <x v="8"/>
    </i>
    <i>
      <x v="9"/>
    </i>
    <i>
      <x v="10"/>
    </i>
    <i>
      <x v="11"/>
    </i>
    <i>
      <x v="12"/>
    </i>
    <i>
      <x v="13"/>
    </i>
    <i t="grand">
      <x/>
    </i>
  </rowItems>
  <colFields count="1">
    <field x="7"/>
  </colFields>
  <colItems count="5">
    <i>
      <x v="1"/>
    </i>
    <i>
      <x v="2"/>
    </i>
    <i>
      <x v="3"/>
    </i>
    <i>
      <x v="4"/>
    </i>
    <i t="grand">
      <x/>
    </i>
  </colItems>
  <dataFields count="1">
    <dataField name="Cuenta de Semáforo" fld="7" subtotal="count" baseField="0" baseItem="0"/>
  </dataFields>
  <formats count="20">
    <format dxfId="20">
      <pivotArea type="all" dataOnly="0" outline="0" fieldPosition="0"/>
    </format>
    <format dxfId="19">
      <pivotArea outline="0" collapsedLevelsAreSubtotals="1" fieldPosition="0"/>
    </format>
    <format dxfId="18">
      <pivotArea type="origin" dataOnly="0" labelOnly="1" outline="0" fieldPosition="0"/>
    </format>
    <format dxfId="17">
      <pivotArea field="7" type="button" dataOnly="0" labelOnly="1" outline="0" axis="axisCol" fieldPosition="0"/>
    </format>
    <format dxfId="16">
      <pivotArea type="topRight" dataOnly="0" labelOnly="1" outline="0" fieldPosition="0"/>
    </format>
    <format dxfId="15">
      <pivotArea dataOnly="0" labelOnly="1" fieldPosition="0">
        <references count="1">
          <reference field="0" count="0"/>
        </references>
      </pivotArea>
    </format>
    <format dxfId="14">
      <pivotArea dataOnly="0" labelOnly="1" grandRow="1" outline="0" fieldPosition="0"/>
    </format>
    <format dxfId="13">
      <pivotArea field="0" type="button" dataOnly="0" labelOnly="1" outline="0" axis="axisRow" fieldPosition="0"/>
    </format>
    <format dxfId="12">
      <pivotArea dataOnly="0" labelOnly="1" fieldPosition="0">
        <references count="1">
          <reference field="7" count="0"/>
        </references>
      </pivotArea>
    </format>
    <format dxfId="11">
      <pivotArea dataOnly="0" labelOnly="1" grandCol="1" outline="0" fieldPosition="0"/>
    </format>
    <format dxfId="10">
      <pivotArea type="all" dataOnly="0" outline="0" fieldPosition="0"/>
    </format>
    <format dxfId="9">
      <pivotArea outline="0" collapsedLevelsAreSubtotals="1" fieldPosition="0"/>
    </format>
    <format dxfId="8">
      <pivotArea type="origin" dataOnly="0" labelOnly="1" outline="0" fieldPosition="0"/>
    </format>
    <format dxfId="7">
      <pivotArea field="7" type="button" dataOnly="0" labelOnly="1" outline="0" axis="axisCol" fieldPosition="0"/>
    </format>
    <format dxfId="6">
      <pivotArea type="topRight" dataOnly="0" labelOnly="1" outline="0" fieldPosition="0"/>
    </format>
    <format dxfId="5">
      <pivotArea field="0" type="button" dataOnly="0" labelOnly="1" outline="0" axis="axisRow" fieldPosition="0"/>
    </format>
    <format dxfId="4">
      <pivotArea dataOnly="0" labelOnly="1" fieldPosition="0">
        <references count="1">
          <reference field="0" count="0"/>
        </references>
      </pivotArea>
    </format>
    <format dxfId="3">
      <pivotArea dataOnly="0" labelOnly="1" grandRow="1" outline="0" fieldPosition="0"/>
    </format>
    <format dxfId="2">
      <pivotArea dataOnly="0" labelOnly="1" fieldPosition="0">
        <references count="1">
          <reference field="7" count="0"/>
        </references>
      </pivotArea>
    </format>
    <format dxfId="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97.xml"/><Relationship Id="rId1" Type="http://schemas.openxmlformats.org/officeDocument/2006/relationships/printerSettings" Target="../printerSettings/printerSettings99.bin"/><Relationship Id="rId4" Type="http://schemas.openxmlformats.org/officeDocument/2006/relationships/comments" Target="../comments84.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98.xml"/><Relationship Id="rId1" Type="http://schemas.openxmlformats.org/officeDocument/2006/relationships/printerSettings" Target="../printerSettings/printerSettings100.bin"/><Relationship Id="rId4" Type="http://schemas.openxmlformats.org/officeDocument/2006/relationships/comments" Target="../comments85.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99.xml"/><Relationship Id="rId1" Type="http://schemas.openxmlformats.org/officeDocument/2006/relationships/printerSettings" Target="../printerSettings/printerSettings101.bin"/><Relationship Id="rId4" Type="http://schemas.openxmlformats.org/officeDocument/2006/relationships/comments" Target="../comments86.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100.xml"/><Relationship Id="rId1" Type="http://schemas.openxmlformats.org/officeDocument/2006/relationships/printerSettings" Target="../printerSettings/printerSettings102.bin"/><Relationship Id="rId4" Type="http://schemas.openxmlformats.org/officeDocument/2006/relationships/comments" Target="../comments87.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101.xml"/><Relationship Id="rId1" Type="http://schemas.openxmlformats.org/officeDocument/2006/relationships/printerSettings" Target="../printerSettings/printerSettings103.bin"/><Relationship Id="rId4" Type="http://schemas.openxmlformats.org/officeDocument/2006/relationships/comments" Target="../comments88.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102.xml"/><Relationship Id="rId1" Type="http://schemas.openxmlformats.org/officeDocument/2006/relationships/printerSettings" Target="../printerSettings/printerSettings104.bin"/><Relationship Id="rId4" Type="http://schemas.openxmlformats.org/officeDocument/2006/relationships/comments" Target="../comments89.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103.xml"/><Relationship Id="rId1" Type="http://schemas.openxmlformats.org/officeDocument/2006/relationships/printerSettings" Target="../printerSettings/printerSettings105.bin"/><Relationship Id="rId4" Type="http://schemas.openxmlformats.org/officeDocument/2006/relationships/comments" Target="../comments90.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104.xml"/><Relationship Id="rId1" Type="http://schemas.openxmlformats.org/officeDocument/2006/relationships/printerSettings" Target="../printerSettings/printerSettings106.bin"/><Relationship Id="rId4" Type="http://schemas.openxmlformats.org/officeDocument/2006/relationships/comments" Target="../comments91.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105.xml"/><Relationship Id="rId1" Type="http://schemas.openxmlformats.org/officeDocument/2006/relationships/printerSettings" Target="../printerSettings/printerSettings107.bin"/><Relationship Id="rId4" Type="http://schemas.openxmlformats.org/officeDocument/2006/relationships/comments" Target="../comments92.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106.xml"/><Relationship Id="rId1" Type="http://schemas.openxmlformats.org/officeDocument/2006/relationships/printerSettings" Target="../printerSettings/printerSettings108.bin"/><Relationship Id="rId4" Type="http://schemas.openxmlformats.org/officeDocument/2006/relationships/comments" Target="../comments9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107.xml"/><Relationship Id="rId1" Type="http://schemas.openxmlformats.org/officeDocument/2006/relationships/printerSettings" Target="../printerSettings/printerSettings109.bin"/><Relationship Id="rId4" Type="http://schemas.openxmlformats.org/officeDocument/2006/relationships/comments" Target="../comments94.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108.xml"/><Relationship Id="rId1" Type="http://schemas.openxmlformats.org/officeDocument/2006/relationships/printerSettings" Target="../printerSettings/printerSettings110.bin"/><Relationship Id="rId4" Type="http://schemas.openxmlformats.org/officeDocument/2006/relationships/comments" Target="../comments95.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109.xml"/><Relationship Id="rId1" Type="http://schemas.openxmlformats.org/officeDocument/2006/relationships/printerSettings" Target="../printerSettings/printerSettings111.bin"/><Relationship Id="rId4" Type="http://schemas.openxmlformats.org/officeDocument/2006/relationships/comments" Target="../comments96.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110.xml"/><Relationship Id="rId1" Type="http://schemas.openxmlformats.org/officeDocument/2006/relationships/printerSettings" Target="../printerSettings/printerSettings112.bin"/><Relationship Id="rId4" Type="http://schemas.openxmlformats.org/officeDocument/2006/relationships/comments" Target="../comments97.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111.xml"/><Relationship Id="rId1" Type="http://schemas.openxmlformats.org/officeDocument/2006/relationships/printerSettings" Target="../printerSettings/printerSettings113.bin"/><Relationship Id="rId4" Type="http://schemas.openxmlformats.org/officeDocument/2006/relationships/comments" Target="../comments98.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12.xml"/><Relationship Id="rId1" Type="http://schemas.openxmlformats.org/officeDocument/2006/relationships/printerSettings" Target="../printerSettings/printerSettings114.bin"/><Relationship Id="rId4" Type="http://schemas.openxmlformats.org/officeDocument/2006/relationships/comments" Target="../comments99.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13.xml"/><Relationship Id="rId1" Type="http://schemas.openxmlformats.org/officeDocument/2006/relationships/printerSettings" Target="../printerSettings/printerSettings115.bin"/><Relationship Id="rId4" Type="http://schemas.openxmlformats.org/officeDocument/2006/relationships/comments" Target="../comments100.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14.xml"/><Relationship Id="rId1" Type="http://schemas.openxmlformats.org/officeDocument/2006/relationships/printerSettings" Target="../printerSettings/printerSettings116.bin"/><Relationship Id="rId4" Type="http://schemas.openxmlformats.org/officeDocument/2006/relationships/comments" Target="../comments101.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15.xml"/><Relationship Id="rId1" Type="http://schemas.openxmlformats.org/officeDocument/2006/relationships/printerSettings" Target="../printerSettings/printerSettings117.bin"/><Relationship Id="rId4" Type="http://schemas.openxmlformats.org/officeDocument/2006/relationships/comments" Target="../comments102.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16.xml"/><Relationship Id="rId1" Type="http://schemas.openxmlformats.org/officeDocument/2006/relationships/printerSettings" Target="../printerSettings/printerSettings118.bin"/><Relationship Id="rId4" Type="http://schemas.openxmlformats.org/officeDocument/2006/relationships/comments" Target="../comments10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17.xml"/><Relationship Id="rId1" Type="http://schemas.openxmlformats.org/officeDocument/2006/relationships/printerSettings" Target="../printerSettings/printerSettings119.bin"/><Relationship Id="rId4" Type="http://schemas.openxmlformats.org/officeDocument/2006/relationships/comments" Target="../comments104.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18.xml"/><Relationship Id="rId1" Type="http://schemas.openxmlformats.org/officeDocument/2006/relationships/printerSettings" Target="../printerSettings/printerSettings120.bin"/><Relationship Id="rId4" Type="http://schemas.openxmlformats.org/officeDocument/2006/relationships/comments" Target="../comments105.x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19.xml"/><Relationship Id="rId1" Type="http://schemas.openxmlformats.org/officeDocument/2006/relationships/printerSettings" Target="../printerSettings/printerSettings121.bin"/><Relationship Id="rId4" Type="http://schemas.openxmlformats.org/officeDocument/2006/relationships/comments" Target="../comments106.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20.xml"/><Relationship Id="rId1" Type="http://schemas.openxmlformats.org/officeDocument/2006/relationships/printerSettings" Target="../printerSettings/printerSettings122.bin"/><Relationship Id="rId4" Type="http://schemas.openxmlformats.org/officeDocument/2006/relationships/comments" Target="../comments107.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21.xml"/><Relationship Id="rId1" Type="http://schemas.openxmlformats.org/officeDocument/2006/relationships/printerSettings" Target="../printerSettings/printerSettings123.bin"/><Relationship Id="rId4" Type="http://schemas.openxmlformats.org/officeDocument/2006/relationships/comments" Target="../comments108.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22.xml"/><Relationship Id="rId1" Type="http://schemas.openxmlformats.org/officeDocument/2006/relationships/printerSettings" Target="../printerSettings/printerSettings124.bin"/><Relationship Id="rId4" Type="http://schemas.openxmlformats.org/officeDocument/2006/relationships/comments" Target="../comments109.x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23.xml"/><Relationship Id="rId1" Type="http://schemas.openxmlformats.org/officeDocument/2006/relationships/printerSettings" Target="../printerSettings/printerSettings125.bin"/><Relationship Id="rId4" Type="http://schemas.openxmlformats.org/officeDocument/2006/relationships/comments" Target="../comments110.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24.xml"/><Relationship Id="rId1" Type="http://schemas.openxmlformats.org/officeDocument/2006/relationships/printerSettings" Target="../printerSettings/printerSettings126.bin"/><Relationship Id="rId4" Type="http://schemas.openxmlformats.org/officeDocument/2006/relationships/comments" Target="../comments111.x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25.xml"/><Relationship Id="rId1" Type="http://schemas.openxmlformats.org/officeDocument/2006/relationships/printerSettings" Target="../printerSettings/printerSettings127.bin"/><Relationship Id="rId4" Type="http://schemas.openxmlformats.org/officeDocument/2006/relationships/comments" Target="../comments112.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26.xml"/><Relationship Id="rId1" Type="http://schemas.openxmlformats.org/officeDocument/2006/relationships/printerSettings" Target="../printerSettings/printerSettings128.bin"/><Relationship Id="rId4" Type="http://schemas.openxmlformats.org/officeDocument/2006/relationships/comments" Target="../comments1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27.xml"/><Relationship Id="rId1" Type="http://schemas.openxmlformats.org/officeDocument/2006/relationships/printerSettings" Target="../printerSettings/printerSettings129.bin"/><Relationship Id="rId4" Type="http://schemas.openxmlformats.org/officeDocument/2006/relationships/comments" Target="../comments114.xm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28.xml"/><Relationship Id="rId1" Type="http://schemas.openxmlformats.org/officeDocument/2006/relationships/printerSettings" Target="../printerSettings/printerSettings130.bin"/><Relationship Id="rId4" Type="http://schemas.openxmlformats.org/officeDocument/2006/relationships/comments" Target="../comments115.xm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29.xml"/><Relationship Id="rId1" Type="http://schemas.openxmlformats.org/officeDocument/2006/relationships/printerSettings" Target="../printerSettings/printerSettings131.bin"/><Relationship Id="rId4" Type="http://schemas.openxmlformats.org/officeDocument/2006/relationships/comments" Target="../comments116.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30.xml"/><Relationship Id="rId1" Type="http://schemas.openxmlformats.org/officeDocument/2006/relationships/printerSettings" Target="../printerSettings/printerSettings132.bin"/><Relationship Id="rId4" Type="http://schemas.openxmlformats.org/officeDocument/2006/relationships/comments" Target="../comments117.xm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31.xml"/><Relationship Id="rId1" Type="http://schemas.openxmlformats.org/officeDocument/2006/relationships/printerSettings" Target="../printerSettings/printerSettings133.bin"/><Relationship Id="rId4" Type="http://schemas.openxmlformats.org/officeDocument/2006/relationships/comments" Target="../comments118.xm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32.xml"/><Relationship Id="rId1" Type="http://schemas.openxmlformats.org/officeDocument/2006/relationships/printerSettings" Target="../printerSettings/printerSettings134.bin"/><Relationship Id="rId4" Type="http://schemas.openxmlformats.org/officeDocument/2006/relationships/comments" Target="../comments119.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33.xml"/><Relationship Id="rId1" Type="http://schemas.openxmlformats.org/officeDocument/2006/relationships/printerSettings" Target="../printerSettings/printerSettings135.bin"/><Relationship Id="rId4" Type="http://schemas.openxmlformats.org/officeDocument/2006/relationships/comments" Target="../comments120.xm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34.xml"/><Relationship Id="rId1" Type="http://schemas.openxmlformats.org/officeDocument/2006/relationships/printerSettings" Target="../printerSettings/printerSettings136.bin"/><Relationship Id="rId4" Type="http://schemas.openxmlformats.org/officeDocument/2006/relationships/comments" Target="../comments121.xm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35.xml"/><Relationship Id="rId1" Type="http://schemas.openxmlformats.org/officeDocument/2006/relationships/printerSettings" Target="../printerSettings/printerSettings137.bin"/><Relationship Id="rId4" Type="http://schemas.openxmlformats.org/officeDocument/2006/relationships/comments" Target="../comments122.xm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36.xml"/><Relationship Id="rId1" Type="http://schemas.openxmlformats.org/officeDocument/2006/relationships/printerSettings" Target="../printerSettings/printerSettings138.bin"/><Relationship Id="rId4" Type="http://schemas.openxmlformats.org/officeDocument/2006/relationships/comments" Target="../comments12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37.xml"/><Relationship Id="rId1" Type="http://schemas.openxmlformats.org/officeDocument/2006/relationships/printerSettings" Target="../printerSettings/printerSettings139.bin"/><Relationship Id="rId4" Type="http://schemas.openxmlformats.org/officeDocument/2006/relationships/comments" Target="../comments124.xm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38.xml"/><Relationship Id="rId1" Type="http://schemas.openxmlformats.org/officeDocument/2006/relationships/printerSettings" Target="../printerSettings/printerSettings140.bin"/><Relationship Id="rId4" Type="http://schemas.openxmlformats.org/officeDocument/2006/relationships/comments" Target="../comments125.xm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drawing" Target="../drawings/drawing139.xml"/><Relationship Id="rId1" Type="http://schemas.openxmlformats.org/officeDocument/2006/relationships/printerSettings" Target="../printerSettings/printerSettings141.bin"/><Relationship Id="rId4" Type="http://schemas.openxmlformats.org/officeDocument/2006/relationships/comments" Target="../comments126.xm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127.vml"/><Relationship Id="rId2" Type="http://schemas.openxmlformats.org/officeDocument/2006/relationships/drawing" Target="../drawings/drawing140.xml"/><Relationship Id="rId1" Type="http://schemas.openxmlformats.org/officeDocument/2006/relationships/printerSettings" Target="../printerSettings/printerSettings142.bin"/><Relationship Id="rId4" Type="http://schemas.openxmlformats.org/officeDocument/2006/relationships/comments" Target="../comments127.xm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drawing" Target="../drawings/drawing141.xml"/><Relationship Id="rId1" Type="http://schemas.openxmlformats.org/officeDocument/2006/relationships/printerSettings" Target="../printerSettings/printerSettings143.bin"/><Relationship Id="rId4" Type="http://schemas.openxmlformats.org/officeDocument/2006/relationships/comments" Target="../comments128.xml"/></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142.xml"/><Relationship Id="rId1" Type="http://schemas.openxmlformats.org/officeDocument/2006/relationships/printerSettings" Target="../printerSettings/printerSettings144.bin"/><Relationship Id="rId4" Type="http://schemas.openxmlformats.org/officeDocument/2006/relationships/comments" Target="../comments129.xml"/></Relationships>
</file>

<file path=xl/worksheets/_rels/sheet146.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drawing" Target="../drawings/drawing143.xml"/><Relationship Id="rId1" Type="http://schemas.openxmlformats.org/officeDocument/2006/relationships/printerSettings" Target="../printerSettings/printerSettings145.bin"/><Relationship Id="rId4" Type="http://schemas.openxmlformats.org/officeDocument/2006/relationships/comments" Target="../comments130.xml"/></Relationships>
</file>

<file path=xl/worksheets/_rels/sheet147.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drawing" Target="../drawings/drawing144.xml"/><Relationship Id="rId1" Type="http://schemas.openxmlformats.org/officeDocument/2006/relationships/printerSettings" Target="../printerSettings/printerSettings146.bin"/><Relationship Id="rId4" Type="http://schemas.openxmlformats.org/officeDocument/2006/relationships/comments" Target="../comments13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ivotTable" Target="../pivotTables/pivotTable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2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2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3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3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3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3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3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3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9.xml"/><Relationship Id="rId1" Type="http://schemas.openxmlformats.org/officeDocument/2006/relationships/printerSettings" Target="../printerSettings/printerSettings51.bin"/><Relationship Id="rId4" Type="http://schemas.openxmlformats.org/officeDocument/2006/relationships/comments" Target="../comments3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0.xml"/><Relationship Id="rId1" Type="http://schemas.openxmlformats.org/officeDocument/2006/relationships/printerSettings" Target="../printerSettings/printerSettings52.bin"/><Relationship Id="rId4" Type="http://schemas.openxmlformats.org/officeDocument/2006/relationships/comments" Target="../comments3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3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3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4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46.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47.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48.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4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50.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4.xml"/><Relationship Id="rId1" Type="http://schemas.openxmlformats.org/officeDocument/2006/relationships/printerSettings" Target="../printerSettings/printerSettings66.bin"/><Relationship Id="rId4" Type="http://schemas.openxmlformats.org/officeDocument/2006/relationships/comments" Target="../comments5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5.xml"/><Relationship Id="rId1" Type="http://schemas.openxmlformats.org/officeDocument/2006/relationships/printerSettings" Target="../printerSettings/printerSettings67.bin"/><Relationship Id="rId4" Type="http://schemas.openxmlformats.org/officeDocument/2006/relationships/comments" Target="../comments5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6.xml"/><Relationship Id="rId1" Type="http://schemas.openxmlformats.org/officeDocument/2006/relationships/printerSettings" Target="../printerSettings/printerSettings68.bin"/><Relationship Id="rId4" Type="http://schemas.openxmlformats.org/officeDocument/2006/relationships/comments" Target="../comments5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7.xml"/><Relationship Id="rId1" Type="http://schemas.openxmlformats.org/officeDocument/2006/relationships/printerSettings" Target="../printerSettings/printerSettings69.bin"/><Relationship Id="rId4" Type="http://schemas.openxmlformats.org/officeDocument/2006/relationships/comments" Target="../comments5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68.xml"/><Relationship Id="rId1" Type="http://schemas.openxmlformats.org/officeDocument/2006/relationships/printerSettings" Target="../printerSettings/printerSettings70.bin"/><Relationship Id="rId4" Type="http://schemas.openxmlformats.org/officeDocument/2006/relationships/comments" Target="../comments55.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9.xml"/><Relationship Id="rId1" Type="http://schemas.openxmlformats.org/officeDocument/2006/relationships/printerSettings" Target="../printerSettings/printerSettings71.bin"/><Relationship Id="rId4" Type="http://schemas.openxmlformats.org/officeDocument/2006/relationships/comments" Target="../comments56.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70.xml"/><Relationship Id="rId1" Type="http://schemas.openxmlformats.org/officeDocument/2006/relationships/printerSettings" Target="../printerSettings/printerSettings72.bin"/><Relationship Id="rId4" Type="http://schemas.openxmlformats.org/officeDocument/2006/relationships/comments" Target="../comments57.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71.xml"/><Relationship Id="rId1" Type="http://schemas.openxmlformats.org/officeDocument/2006/relationships/printerSettings" Target="../printerSettings/printerSettings73.bin"/><Relationship Id="rId4" Type="http://schemas.openxmlformats.org/officeDocument/2006/relationships/comments" Target="../comments58.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72.xml"/><Relationship Id="rId1" Type="http://schemas.openxmlformats.org/officeDocument/2006/relationships/printerSettings" Target="../printerSettings/printerSettings74.bin"/><Relationship Id="rId4" Type="http://schemas.openxmlformats.org/officeDocument/2006/relationships/comments" Target="../comments59.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73.xml"/><Relationship Id="rId1" Type="http://schemas.openxmlformats.org/officeDocument/2006/relationships/printerSettings" Target="../printerSettings/printerSettings75.bin"/><Relationship Id="rId4" Type="http://schemas.openxmlformats.org/officeDocument/2006/relationships/comments" Target="../comments60.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74.xml"/><Relationship Id="rId1" Type="http://schemas.openxmlformats.org/officeDocument/2006/relationships/printerSettings" Target="../printerSettings/printerSettings76.bin"/><Relationship Id="rId4" Type="http://schemas.openxmlformats.org/officeDocument/2006/relationships/comments" Target="../comments61.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75.xml"/><Relationship Id="rId1" Type="http://schemas.openxmlformats.org/officeDocument/2006/relationships/printerSettings" Target="../printerSettings/printerSettings77.bin"/><Relationship Id="rId4" Type="http://schemas.openxmlformats.org/officeDocument/2006/relationships/comments" Target="../comments62.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76.xml"/><Relationship Id="rId1" Type="http://schemas.openxmlformats.org/officeDocument/2006/relationships/printerSettings" Target="../printerSettings/printerSettings78.bin"/><Relationship Id="rId4" Type="http://schemas.openxmlformats.org/officeDocument/2006/relationships/comments" Target="../comments6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77.xml"/><Relationship Id="rId1" Type="http://schemas.openxmlformats.org/officeDocument/2006/relationships/printerSettings" Target="../printerSettings/printerSettings79.bin"/><Relationship Id="rId4" Type="http://schemas.openxmlformats.org/officeDocument/2006/relationships/comments" Target="../comments64.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78.xml"/><Relationship Id="rId1" Type="http://schemas.openxmlformats.org/officeDocument/2006/relationships/printerSettings" Target="../printerSettings/printerSettings80.bin"/><Relationship Id="rId4" Type="http://schemas.openxmlformats.org/officeDocument/2006/relationships/comments" Target="../comments65.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79.xml"/><Relationship Id="rId1" Type="http://schemas.openxmlformats.org/officeDocument/2006/relationships/printerSettings" Target="../printerSettings/printerSettings81.bin"/><Relationship Id="rId4" Type="http://schemas.openxmlformats.org/officeDocument/2006/relationships/comments" Target="../comments66.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80.xml"/><Relationship Id="rId1" Type="http://schemas.openxmlformats.org/officeDocument/2006/relationships/printerSettings" Target="../printerSettings/printerSettings82.bin"/><Relationship Id="rId4" Type="http://schemas.openxmlformats.org/officeDocument/2006/relationships/comments" Target="../comments67.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81.xml"/><Relationship Id="rId1" Type="http://schemas.openxmlformats.org/officeDocument/2006/relationships/printerSettings" Target="../printerSettings/printerSettings83.bin"/><Relationship Id="rId4" Type="http://schemas.openxmlformats.org/officeDocument/2006/relationships/comments" Target="../comments68.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82.xml"/><Relationship Id="rId1" Type="http://schemas.openxmlformats.org/officeDocument/2006/relationships/printerSettings" Target="../printerSettings/printerSettings84.bin"/><Relationship Id="rId4" Type="http://schemas.openxmlformats.org/officeDocument/2006/relationships/comments" Target="../comments69.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83.xml"/><Relationship Id="rId1" Type="http://schemas.openxmlformats.org/officeDocument/2006/relationships/printerSettings" Target="../printerSettings/printerSettings85.bin"/><Relationship Id="rId4" Type="http://schemas.openxmlformats.org/officeDocument/2006/relationships/comments" Target="../comments70.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84.xml"/><Relationship Id="rId1" Type="http://schemas.openxmlformats.org/officeDocument/2006/relationships/printerSettings" Target="../printerSettings/printerSettings86.bin"/><Relationship Id="rId4" Type="http://schemas.openxmlformats.org/officeDocument/2006/relationships/comments" Target="../comments7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85.xml"/><Relationship Id="rId1" Type="http://schemas.openxmlformats.org/officeDocument/2006/relationships/printerSettings" Target="../printerSettings/printerSettings87.bin"/><Relationship Id="rId4" Type="http://schemas.openxmlformats.org/officeDocument/2006/relationships/comments" Target="../comments72.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86.xml"/><Relationship Id="rId1" Type="http://schemas.openxmlformats.org/officeDocument/2006/relationships/printerSettings" Target="../printerSettings/printerSettings88.bin"/><Relationship Id="rId4" Type="http://schemas.openxmlformats.org/officeDocument/2006/relationships/comments" Target="../comments7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87.xml"/><Relationship Id="rId1" Type="http://schemas.openxmlformats.org/officeDocument/2006/relationships/printerSettings" Target="../printerSettings/printerSettings89.bin"/><Relationship Id="rId4" Type="http://schemas.openxmlformats.org/officeDocument/2006/relationships/comments" Target="../comments74.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88.xml"/><Relationship Id="rId1" Type="http://schemas.openxmlformats.org/officeDocument/2006/relationships/printerSettings" Target="../printerSettings/printerSettings90.bin"/><Relationship Id="rId4" Type="http://schemas.openxmlformats.org/officeDocument/2006/relationships/comments" Target="../comments75.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9.xml"/><Relationship Id="rId1" Type="http://schemas.openxmlformats.org/officeDocument/2006/relationships/printerSettings" Target="../printerSettings/printerSettings91.bin"/><Relationship Id="rId4" Type="http://schemas.openxmlformats.org/officeDocument/2006/relationships/comments" Target="../comments76.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90.xml"/><Relationship Id="rId1" Type="http://schemas.openxmlformats.org/officeDocument/2006/relationships/printerSettings" Target="../printerSettings/printerSettings92.bin"/><Relationship Id="rId4" Type="http://schemas.openxmlformats.org/officeDocument/2006/relationships/comments" Target="../comments77.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91.xml"/><Relationship Id="rId1" Type="http://schemas.openxmlformats.org/officeDocument/2006/relationships/printerSettings" Target="../printerSettings/printerSettings93.bin"/><Relationship Id="rId4" Type="http://schemas.openxmlformats.org/officeDocument/2006/relationships/comments" Target="../comments78.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92.xml"/><Relationship Id="rId1" Type="http://schemas.openxmlformats.org/officeDocument/2006/relationships/printerSettings" Target="../printerSettings/printerSettings94.bin"/><Relationship Id="rId4" Type="http://schemas.openxmlformats.org/officeDocument/2006/relationships/comments" Target="../comments79.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93.xml"/><Relationship Id="rId1" Type="http://schemas.openxmlformats.org/officeDocument/2006/relationships/printerSettings" Target="../printerSettings/printerSettings95.bin"/><Relationship Id="rId4" Type="http://schemas.openxmlformats.org/officeDocument/2006/relationships/comments" Target="../comments80.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94.xml"/><Relationship Id="rId1" Type="http://schemas.openxmlformats.org/officeDocument/2006/relationships/printerSettings" Target="../printerSettings/printerSettings96.bin"/><Relationship Id="rId4" Type="http://schemas.openxmlformats.org/officeDocument/2006/relationships/comments" Target="../comments81.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95.xml"/><Relationship Id="rId1" Type="http://schemas.openxmlformats.org/officeDocument/2006/relationships/printerSettings" Target="../printerSettings/printerSettings97.bin"/><Relationship Id="rId4" Type="http://schemas.openxmlformats.org/officeDocument/2006/relationships/comments" Target="../comments82.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96.xml"/><Relationship Id="rId1" Type="http://schemas.openxmlformats.org/officeDocument/2006/relationships/printerSettings" Target="../printerSettings/printerSettings98.bin"/><Relationship Id="rId4" Type="http://schemas.openxmlformats.org/officeDocument/2006/relationships/comments" Target="../comments8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D0E70-9BA8-43BC-8B3E-62718C50DD0A}">
  <sheetPr codeName="Hoja1"/>
  <dimension ref="A1:Y92"/>
  <sheetViews>
    <sheetView view="pageBreakPreview" zoomScale="126" zoomScaleNormal="130" zoomScaleSheetLayoutView="126" workbookViewId="0">
      <selection activeCell="AF9" sqref="AF9"/>
    </sheetView>
  </sheetViews>
  <sheetFormatPr baseColWidth="10" defaultColWidth="4.625" defaultRowHeight="21" customHeight="1"/>
  <cols>
    <col min="1" max="1" width="9.875" style="1" customWidth="1"/>
    <col min="2" max="2" width="8.5" style="1" customWidth="1"/>
    <col min="3" max="3" width="6.625" style="1" customWidth="1"/>
    <col min="4" max="4" width="6.125" style="1" customWidth="1"/>
    <col min="5" max="5" width="6.625" style="1" customWidth="1"/>
    <col min="6" max="6" width="3.5" style="1" customWidth="1"/>
    <col min="7" max="7" width="2.375" style="1" customWidth="1"/>
    <col min="8" max="8" width="2" style="1" customWidth="1"/>
    <col min="9" max="9" width="7.125" style="1" customWidth="1"/>
    <col min="10" max="10" width="1.625" style="1" customWidth="1"/>
    <col min="11" max="11" width="2.125" style="1" customWidth="1"/>
    <col min="12" max="12" width="2.375" style="1" customWidth="1"/>
    <col min="13" max="13" width="6.125" style="1" customWidth="1"/>
    <col min="14" max="14" width="4.5" style="1" customWidth="1"/>
    <col min="15" max="15" width="2" style="1" customWidth="1"/>
    <col min="16" max="16" width="1.5" style="1" customWidth="1"/>
    <col min="17" max="17" width="2.875" style="1" customWidth="1"/>
    <col min="18" max="18" width="3.5" style="1" customWidth="1"/>
    <col min="19" max="19" width="1.125" style="1" customWidth="1"/>
    <col min="20" max="20" width="3.875" style="1" customWidth="1"/>
    <col min="21" max="21" width="2.125" style="1" customWidth="1"/>
    <col min="22" max="22" width="2.625" style="1" customWidth="1"/>
    <col min="23" max="23" width="4.125" style="1" customWidth="1"/>
    <col min="24" max="24" width="6" style="1" customWidth="1"/>
    <col min="25" max="25" width="1.625" style="1" customWidth="1"/>
    <col min="26" max="16384" width="4.625" style="1"/>
  </cols>
  <sheetData>
    <row r="1" spans="1:25" ht="13.5" customHeight="1">
      <c r="A1" s="599"/>
      <c r="B1" s="600"/>
      <c r="C1" s="600" t="s">
        <v>0</v>
      </c>
      <c r="D1" s="600"/>
      <c r="E1" s="605" t="s">
        <v>1</v>
      </c>
      <c r="F1" s="605"/>
      <c r="G1" s="605"/>
      <c r="H1" s="605"/>
      <c r="I1" s="605"/>
      <c r="J1" s="605"/>
      <c r="K1" s="605"/>
      <c r="L1" s="605"/>
      <c r="M1" s="605"/>
      <c r="N1" s="605"/>
      <c r="O1" s="605"/>
      <c r="P1" s="605"/>
      <c r="Q1" s="605"/>
      <c r="R1" s="607" t="s">
        <v>2</v>
      </c>
      <c r="S1" s="608"/>
      <c r="T1" s="609"/>
      <c r="U1" s="613" t="s">
        <v>3</v>
      </c>
      <c r="V1" s="614"/>
      <c r="W1" s="614"/>
      <c r="X1" s="615"/>
      <c r="Y1" s="23"/>
    </row>
    <row r="2" spans="1:25" ht="13.5" customHeight="1">
      <c r="A2" s="601"/>
      <c r="B2" s="602"/>
      <c r="C2" s="602"/>
      <c r="D2" s="602"/>
      <c r="E2" s="606"/>
      <c r="F2" s="606"/>
      <c r="G2" s="606"/>
      <c r="H2" s="606"/>
      <c r="I2" s="606"/>
      <c r="J2" s="606"/>
      <c r="K2" s="606"/>
      <c r="L2" s="606"/>
      <c r="M2" s="606"/>
      <c r="N2" s="606"/>
      <c r="O2" s="606"/>
      <c r="P2" s="606"/>
      <c r="Q2" s="606"/>
      <c r="R2" s="610"/>
      <c r="S2" s="611"/>
      <c r="T2" s="612"/>
      <c r="U2" s="616"/>
      <c r="V2" s="617"/>
      <c r="W2" s="617"/>
      <c r="X2" s="618"/>
      <c r="Y2" s="23"/>
    </row>
    <row r="3" spans="1:25" ht="13.5" customHeight="1">
      <c r="A3" s="601"/>
      <c r="B3" s="602"/>
      <c r="C3" s="602" t="s">
        <v>4</v>
      </c>
      <c r="D3" s="602"/>
      <c r="E3" s="606" t="s">
        <v>5</v>
      </c>
      <c r="F3" s="606"/>
      <c r="G3" s="606"/>
      <c r="H3" s="606"/>
      <c r="I3" s="606"/>
      <c r="J3" s="606"/>
      <c r="K3" s="606"/>
      <c r="L3" s="606"/>
      <c r="M3" s="606"/>
      <c r="N3" s="606"/>
      <c r="O3" s="606"/>
      <c r="P3" s="606"/>
      <c r="Q3" s="606"/>
      <c r="R3" s="620" t="s">
        <v>6</v>
      </c>
      <c r="S3" s="621"/>
      <c r="T3" s="622"/>
      <c r="U3" s="626">
        <v>3</v>
      </c>
      <c r="V3" s="627"/>
      <c r="W3" s="627"/>
      <c r="X3" s="628"/>
      <c r="Y3" s="23"/>
    </row>
    <row r="4" spans="1:25" ht="13.5" customHeight="1" thickBot="1">
      <c r="A4" s="603"/>
      <c r="B4" s="604"/>
      <c r="C4" s="604"/>
      <c r="D4" s="604"/>
      <c r="E4" s="619"/>
      <c r="F4" s="619"/>
      <c r="G4" s="619"/>
      <c r="H4" s="619"/>
      <c r="I4" s="619"/>
      <c r="J4" s="619"/>
      <c r="K4" s="619"/>
      <c r="L4" s="619"/>
      <c r="M4" s="619"/>
      <c r="N4" s="619"/>
      <c r="O4" s="619"/>
      <c r="P4" s="619"/>
      <c r="Q4" s="619"/>
      <c r="R4" s="623"/>
      <c r="S4" s="624"/>
      <c r="T4" s="625"/>
      <c r="U4" s="629"/>
      <c r="V4" s="630"/>
      <c r="W4" s="630"/>
      <c r="X4" s="631"/>
      <c r="Y4" s="23"/>
    </row>
    <row r="5" spans="1:25" ht="9" customHeight="1" thickBot="1">
      <c r="A5" s="586"/>
      <c r="B5" s="586"/>
      <c r="C5" s="586"/>
      <c r="D5" s="586"/>
      <c r="E5" s="586"/>
      <c r="F5" s="586"/>
      <c r="G5" s="586"/>
      <c r="H5" s="586"/>
      <c r="I5" s="586"/>
      <c r="J5" s="586"/>
      <c r="K5" s="586"/>
      <c r="L5" s="586"/>
      <c r="M5" s="586"/>
      <c r="N5" s="586"/>
      <c r="O5" s="586"/>
      <c r="P5" s="586"/>
      <c r="Q5" s="586"/>
      <c r="R5" s="586"/>
      <c r="S5" s="586"/>
      <c r="T5" s="586"/>
      <c r="U5" s="586"/>
      <c r="V5" s="586"/>
      <c r="W5" s="586"/>
      <c r="X5" s="586"/>
      <c r="Y5" s="23"/>
    </row>
    <row r="6" spans="1:25" s="15" customFormat="1" ht="23.25" customHeight="1" thickBot="1">
      <c r="A6" s="587" t="s">
        <v>0</v>
      </c>
      <c r="B6" s="588"/>
      <c r="C6" s="589" t="s">
        <v>7</v>
      </c>
      <c r="D6" s="590"/>
      <c r="E6" s="590"/>
      <c r="F6" s="590"/>
      <c r="G6" s="590"/>
      <c r="H6" s="590"/>
      <c r="I6" s="590"/>
      <c r="J6" s="590"/>
      <c r="K6" s="590"/>
      <c r="L6" s="590"/>
      <c r="M6" s="590"/>
      <c r="N6" s="590"/>
      <c r="O6" s="590"/>
      <c r="P6" s="590"/>
      <c r="Q6" s="590"/>
      <c r="R6" s="590"/>
      <c r="S6" s="590"/>
      <c r="T6" s="590"/>
      <c r="U6" s="590"/>
      <c r="V6" s="590"/>
      <c r="W6" s="590"/>
      <c r="X6" s="591"/>
      <c r="Y6" s="24"/>
    </row>
    <row r="7" spans="1:25" ht="50.25" customHeight="1">
      <c r="A7" s="592" t="s">
        <v>8</v>
      </c>
      <c r="B7" s="565"/>
      <c r="C7" s="593" t="s">
        <v>9</v>
      </c>
      <c r="D7" s="594"/>
      <c r="E7" s="594"/>
      <c r="F7" s="594"/>
      <c r="G7" s="594"/>
      <c r="H7" s="594"/>
      <c r="I7" s="594"/>
      <c r="J7" s="594"/>
      <c r="K7" s="594"/>
      <c r="L7" s="594"/>
      <c r="M7" s="594"/>
      <c r="N7" s="594"/>
      <c r="O7" s="594"/>
      <c r="P7" s="594"/>
      <c r="Q7" s="594"/>
      <c r="R7" s="594"/>
      <c r="S7" s="594"/>
      <c r="T7" s="594"/>
      <c r="U7" s="594"/>
      <c r="V7" s="594"/>
      <c r="W7" s="594"/>
      <c r="X7" s="595"/>
      <c r="Y7" s="23"/>
    </row>
    <row r="8" spans="1:25" ht="34.5" customHeight="1">
      <c r="A8" s="592" t="s">
        <v>10</v>
      </c>
      <c r="B8" s="565"/>
      <c r="C8" s="596" t="e">
        <f>#REF!&amp;#REF!&amp;#REF!</f>
        <v>#REF!</v>
      </c>
      <c r="D8" s="597"/>
      <c r="E8" s="597"/>
      <c r="F8" s="597"/>
      <c r="G8" s="597"/>
      <c r="H8" s="597"/>
      <c r="I8" s="597"/>
      <c r="J8" s="597"/>
      <c r="K8" s="597"/>
      <c r="L8" s="597"/>
      <c r="M8" s="597"/>
      <c r="N8" s="597"/>
      <c r="O8" s="597"/>
      <c r="P8" s="597"/>
      <c r="Q8" s="597"/>
      <c r="R8" s="597"/>
      <c r="S8" s="597"/>
      <c r="T8" s="597"/>
      <c r="U8" s="597"/>
      <c r="V8" s="597"/>
      <c r="W8" s="597"/>
      <c r="X8" s="598"/>
      <c r="Y8" s="23"/>
    </row>
    <row r="9" spans="1:25" ht="42" customHeight="1">
      <c r="A9" s="632" t="s">
        <v>11</v>
      </c>
      <c r="B9" s="633"/>
      <c r="C9" s="593" t="e">
        <f>#REF!&amp;#REF!&amp;#REF!</f>
        <v>#REF!</v>
      </c>
      <c r="D9" s="594"/>
      <c r="E9" s="594"/>
      <c r="F9" s="594"/>
      <c r="G9" s="594"/>
      <c r="H9" s="594"/>
      <c r="I9" s="594"/>
      <c r="J9" s="594"/>
      <c r="K9" s="594"/>
      <c r="L9" s="594"/>
      <c r="M9" s="594"/>
      <c r="N9" s="594"/>
      <c r="O9" s="594"/>
      <c r="P9" s="594"/>
      <c r="Q9" s="594"/>
      <c r="R9" s="594"/>
      <c r="S9" s="594"/>
      <c r="T9" s="594"/>
      <c r="U9" s="594"/>
      <c r="V9" s="594"/>
      <c r="W9" s="594"/>
      <c r="X9" s="595"/>
      <c r="Y9" s="23"/>
    </row>
    <row r="10" spans="1:25" ht="12" customHeight="1">
      <c r="A10" s="634" t="s">
        <v>12</v>
      </c>
      <c r="B10" s="561"/>
      <c r="C10" s="639" t="s">
        <v>13</v>
      </c>
      <c r="D10" s="640"/>
      <c r="E10" s="633"/>
      <c r="F10" s="641" t="s">
        <v>14</v>
      </c>
      <c r="G10" s="641"/>
      <c r="H10" s="641"/>
      <c r="I10" s="641"/>
      <c r="J10" s="641"/>
      <c r="K10" s="641"/>
      <c r="L10" s="641"/>
      <c r="M10" s="641"/>
      <c r="N10" s="639" t="s">
        <v>15</v>
      </c>
      <c r="O10" s="640"/>
      <c r="P10" s="640"/>
      <c r="Q10" s="640"/>
      <c r="R10" s="640"/>
      <c r="S10" s="640"/>
      <c r="T10" s="640"/>
      <c r="U10" s="640"/>
      <c r="V10" s="640"/>
      <c r="W10" s="640"/>
      <c r="X10" s="642"/>
      <c r="Y10" s="23"/>
    </row>
    <row r="11" spans="1:25" ht="45" customHeight="1">
      <c r="A11" s="635"/>
      <c r="B11" s="636"/>
      <c r="C11" s="596" t="s">
        <v>16</v>
      </c>
      <c r="D11" s="597"/>
      <c r="E11" s="643"/>
      <c r="F11" s="551" t="s">
        <v>17</v>
      </c>
      <c r="G11" s="552"/>
      <c r="H11" s="552"/>
      <c r="I11" s="552"/>
      <c r="J11" s="552"/>
      <c r="K11" s="552"/>
      <c r="L11" s="552"/>
      <c r="M11" s="553"/>
      <c r="N11" s="560" t="s">
        <v>18</v>
      </c>
      <c r="O11" s="561"/>
      <c r="P11" s="561"/>
      <c r="Q11" s="562"/>
      <c r="R11" s="560" t="s">
        <v>19</v>
      </c>
      <c r="S11" s="561"/>
      <c r="T11" s="562"/>
      <c r="U11" s="560" t="s">
        <v>20</v>
      </c>
      <c r="V11" s="561"/>
      <c r="W11" s="561"/>
      <c r="X11" s="573"/>
      <c r="Y11" s="23"/>
    </row>
    <row r="12" spans="1:25" ht="12.75" customHeight="1">
      <c r="A12" s="635"/>
      <c r="B12" s="636"/>
      <c r="C12" s="575" t="s">
        <v>21</v>
      </c>
      <c r="D12" s="575"/>
      <c r="E12" s="575"/>
      <c r="F12" s="554"/>
      <c r="G12" s="555"/>
      <c r="H12" s="555"/>
      <c r="I12" s="555"/>
      <c r="J12" s="555"/>
      <c r="K12" s="555"/>
      <c r="L12" s="555"/>
      <c r="M12" s="556"/>
      <c r="N12" s="563"/>
      <c r="O12" s="564"/>
      <c r="P12" s="564"/>
      <c r="Q12" s="565"/>
      <c r="R12" s="563"/>
      <c r="S12" s="564"/>
      <c r="T12" s="565"/>
      <c r="U12" s="563"/>
      <c r="V12" s="564"/>
      <c r="W12" s="564"/>
      <c r="X12" s="574"/>
      <c r="Y12" s="23"/>
    </row>
    <row r="13" spans="1:25" ht="38.25" customHeight="1" thickBot="1">
      <c r="A13" s="637"/>
      <c r="B13" s="638"/>
      <c r="C13" s="576" t="s">
        <v>22</v>
      </c>
      <c r="D13" s="576"/>
      <c r="E13" s="576"/>
      <c r="F13" s="557"/>
      <c r="G13" s="558"/>
      <c r="H13" s="558"/>
      <c r="I13" s="558"/>
      <c r="J13" s="558"/>
      <c r="K13" s="558"/>
      <c r="L13" s="558"/>
      <c r="M13" s="559"/>
      <c r="N13" s="577" t="s">
        <v>23</v>
      </c>
      <c r="O13" s="578"/>
      <c r="P13" s="578"/>
      <c r="Q13" s="579"/>
      <c r="R13" s="580" t="s">
        <v>24</v>
      </c>
      <c r="S13" s="581"/>
      <c r="T13" s="582"/>
      <c r="U13" s="583" t="s">
        <v>25</v>
      </c>
      <c r="V13" s="583"/>
      <c r="W13" s="584"/>
      <c r="X13" s="585"/>
      <c r="Y13" s="23"/>
    </row>
    <row r="14" spans="1:25" ht="18" customHeight="1" thickBot="1">
      <c r="A14" s="494" t="s">
        <v>26</v>
      </c>
      <c r="B14" s="495"/>
      <c r="C14" s="495"/>
      <c r="D14" s="495"/>
      <c r="E14" s="495"/>
      <c r="F14" s="495"/>
      <c r="G14" s="495"/>
      <c r="H14" s="495"/>
      <c r="I14" s="495"/>
      <c r="J14" s="495"/>
      <c r="K14" s="495"/>
      <c r="L14" s="495"/>
      <c r="M14" s="495"/>
      <c r="N14" s="495"/>
      <c r="O14" s="495"/>
      <c r="P14" s="495"/>
      <c r="Q14" s="495"/>
      <c r="R14" s="495"/>
      <c r="S14" s="495"/>
      <c r="T14" s="495"/>
      <c r="U14" s="495"/>
      <c r="V14" s="495"/>
      <c r="W14" s="495"/>
      <c r="X14" s="496"/>
      <c r="Y14" s="23"/>
    </row>
    <row r="15" spans="1:25" ht="22.5" customHeight="1">
      <c r="A15" s="2" t="s">
        <v>27</v>
      </c>
      <c r="B15" s="566" t="s">
        <v>28</v>
      </c>
      <c r="C15" s="566"/>
      <c r="D15" s="566" t="s">
        <v>29</v>
      </c>
      <c r="E15" s="566"/>
      <c r="F15" s="567" t="s">
        <v>30</v>
      </c>
      <c r="G15" s="568"/>
      <c r="H15" s="568"/>
      <c r="I15" s="569"/>
      <c r="J15" s="566" t="s">
        <v>31</v>
      </c>
      <c r="K15" s="566"/>
      <c r="L15" s="566"/>
      <c r="M15" s="566"/>
      <c r="N15" s="566"/>
      <c r="O15" s="566"/>
      <c r="P15" s="566"/>
      <c r="Q15" s="566"/>
      <c r="R15" s="566"/>
      <c r="S15" s="570" t="s">
        <v>32</v>
      </c>
      <c r="T15" s="571"/>
      <c r="U15" s="571"/>
      <c r="V15" s="571"/>
      <c r="W15" s="571"/>
      <c r="X15" s="572"/>
      <c r="Y15" s="23"/>
    </row>
    <row r="16" spans="1:25" ht="18" customHeight="1">
      <c r="A16" s="542" t="s">
        <v>33</v>
      </c>
      <c r="B16" s="545" t="s">
        <v>34</v>
      </c>
      <c r="C16" s="546"/>
      <c r="D16" s="545" t="s">
        <v>35</v>
      </c>
      <c r="E16" s="546"/>
      <c r="F16" s="522" t="s">
        <v>36</v>
      </c>
      <c r="G16" s="523"/>
      <c r="H16" s="523"/>
      <c r="I16" s="523"/>
      <c r="J16" s="531" t="s">
        <v>37</v>
      </c>
      <c r="K16" s="531"/>
      <c r="L16" s="531"/>
      <c r="M16" s="531"/>
      <c r="N16" s="532" t="s">
        <v>38</v>
      </c>
      <c r="O16" s="533"/>
      <c r="P16" s="533"/>
      <c r="Q16" s="533"/>
      <c r="R16" s="534"/>
      <c r="S16" s="522" t="s">
        <v>39</v>
      </c>
      <c r="T16" s="523"/>
      <c r="U16" s="523"/>
      <c r="V16" s="523"/>
      <c r="W16" s="523"/>
      <c r="X16" s="524"/>
      <c r="Y16" s="23"/>
    </row>
    <row r="17" spans="1:25" ht="15" customHeight="1">
      <c r="A17" s="543"/>
      <c r="B17" s="547"/>
      <c r="C17" s="548"/>
      <c r="D17" s="547"/>
      <c r="E17" s="548"/>
      <c r="F17" s="525"/>
      <c r="G17" s="526"/>
      <c r="H17" s="526"/>
      <c r="I17" s="526"/>
      <c r="J17" s="531" t="s">
        <v>40</v>
      </c>
      <c r="K17" s="531"/>
      <c r="L17" s="531"/>
      <c r="M17" s="531"/>
      <c r="N17" s="532" t="s">
        <v>41</v>
      </c>
      <c r="O17" s="533"/>
      <c r="P17" s="533"/>
      <c r="Q17" s="533"/>
      <c r="R17" s="534"/>
      <c r="S17" s="525"/>
      <c r="T17" s="526"/>
      <c r="U17" s="526"/>
      <c r="V17" s="526"/>
      <c r="W17" s="526"/>
      <c r="X17" s="527"/>
      <c r="Y17" s="23"/>
    </row>
    <row r="18" spans="1:25" ht="27" customHeight="1" thickBot="1">
      <c r="A18" s="544"/>
      <c r="B18" s="549"/>
      <c r="C18" s="550"/>
      <c r="D18" s="549"/>
      <c r="E18" s="550"/>
      <c r="F18" s="528"/>
      <c r="G18" s="529"/>
      <c r="H18" s="529"/>
      <c r="I18" s="529"/>
      <c r="J18" s="535" t="s">
        <v>42</v>
      </c>
      <c r="K18" s="535"/>
      <c r="L18" s="535"/>
      <c r="M18" s="535"/>
      <c r="N18" s="536" t="s">
        <v>43</v>
      </c>
      <c r="O18" s="537"/>
      <c r="P18" s="537"/>
      <c r="Q18" s="537"/>
      <c r="R18" s="538"/>
      <c r="S18" s="528"/>
      <c r="T18" s="529"/>
      <c r="U18" s="529"/>
      <c r="V18" s="529"/>
      <c r="W18" s="529"/>
      <c r="X18" s="530"/>
      <c r="Y18" s="23"/>
    </row>
    <row r="19" spans="1:25" ht="25.35" customHeight="1" thickBot="1">
      <c r="A19" s="539" t="s">
        <v>44</v>
      </c>
      <c r="B19" s="540"/>
      <c r="C19" s="540"/>
      <c r="D19" s="540"/>
      <c r="E19" s="540"/>
      <c r="F19" s="540"/>
      <c r="G19" s="540"/>
      <c r="H19" s="540"/>
      <c r="I19" s="540"/>
      <c r="J19" s="540"/>
      <c r="K19" s="540"/>
      <c r="L19" s="540"/>
      <c r="M19" s="540"/>
      <c r="N19" s="540"/>
      <c r="O19" s="540"/>
      <c r="P19" s="540"/>
      <c r="Q19" s="540"/>
      <c r="R19" s="540"/>
      <c r="S19" s="540"/>
      <c r="T19" s="540"/>
      <c r="U19" s="540"/>
      <c r="V19" s="540"/>
      <c r="W19" s="540"/>
      <c r="X19" s="541"/>
      <c r="Y19" s="23"/>
    </row>
    <row r="20" spans="1:25" ht="27.75" customHeight="1" thickBot="1">
      <c r="A20" s="516" t="s">
        <v>45</v>
      </c>
      <c r="B20" s="517"/>
      <c r="C20" s="517"/>
      <c r="D20" s="517"/>
      <c r="E20" s="518"/>
      <c r="F20" s="516" t="s">
        <v>46</v>
      </c>
      <c r="G20" s="517"/>
      <c r="H20" s="517"/>
      <c r="I20" s="517"/>
      <c r="J20" s="517"/>
      <c r="K20" s="517"/>
      <c r="L20" s="517"/>
      <c r="M20" s="517"/>
      <c r="N20" s="518"/>
      <c r="O20" s="516" t="s">
        <v>47</v>
      </c>
      <c r="P20" s="517"/>
      <c r="Q20" s="517"/>
      <c r="R20" s="517"/>
      <c r="S20" s="517"/>
      <c r="T20" s="517"/>
      <c r="U20" s="517"/>
      <c r="V20" s="517"/>
      <c r="W20" s="517"/>
      <c r="X20" s="518"/>
      <c r="Y20" s="23"/>
    </row>
    <row r="21" spans="1:25" ht="18.95" customHeight="1" thickBot="1">
      <c r="A21" s="494" t="s">
        <v>48</v>
      </c>
      <c r="B21" s="495"/>
      <c r="C21" s="495"/>
      <c r="D21" s="495"/>
      <c r="E21" s="495"/>
      <c r="F21" s="495"/>
      <c r="G21" s="495"/>
      <c r="H21" s="495"/>
      <c r="I21" s="495"/>
      <c r="J21" s="495"/>
      <c r="K21" s="495"/>
      <c r="L21" s="495"/>
      <c r="M21" s="495"/>
      <c r="N21" s="495"/>
      <c r="O21" s="495"/>
      <c r="P21" s="495"/>
      <c r="Q21" s="495"/>
      <c r="R21" s="495"/>
      <c r="S21" s="495"/>
      <c r="T21" s="495"/>
      <c r="U21" s="495"/>
      <c r="V21" s="495"/>
      <c r="W21" s="495"/>
      <c r="X21" s="496"/>
      <c r="Y21" s="23"/>
    </row>
    <row r="22" spans="1:25" ht="18.95" customHeight="1">
      <c r="A22" s="519" t="s">
        <v>49</v>
      </c>
      <c r="B22" s="520"/>
      <c r="C22" s="22" t="s">
        <v>50</v>
      </c>
      <c r="D22" s="22" t="s">
        <v>51</v>
      </c>
      <c r="E22" s="22" t="s">
        <v>52</v>
      </c>
      <c r="F22" s="521" t="s">
        <v>53</v>
      </c>
      <c r="G22" s="521"/>
      <c r="H22" s="521"/>
      <c r="I22" s="22" t="s">
        <v>54</v>
      </c>
      <c r="J22" s="521" t="s">
        <v>55</v>
      </c>
      <c r="K22" s="521"/>
      <c r="L22" s="521"/>
      <c r="M22" s="21" t="s">
        <v>56</v>
      </c>
      <c r="N22" s="521" t="s">
        <v>57</v>
      </c>
      <c r="O22" s="521"/>
      <c r="P22" s="521" t="s">
        <v>58</v>
      </c>
      <c r="Q22" s="521"/>
      <c r="R22" s="521"/>
      <c r="S22" s="510" t="s">
        <v>59</v>
      </c>
      <c r="T22" s="510"/>
      <c r="U22" s="510" t="s">
        <v>60</v>
      </c>
      <c r="V22" s="510"/>
      <c r="W22" s="3" t="s">
        <v>61</v>
      </c>
      <c r="X22" s="3" t="s">
        <v>62</v>
      </c>
      <c r="Y22" s="23"/>
    </row>
    <row r="23" spans="1:25" ht="18.95" customHeight="1">
      <c r="A23" s="511" t="s">
        <v>63</v>
      </c>
      <c r="B23" s="512"/>
      <c r="C23" s="4" t="s">
        <v>64</v>
      </c>
      <c r="D23" s="4" t="s">
        <v>65</v>
      </c>
      <c r="E23" s="4" t="s">
        <v>66</v>
      </c>
      <c r="F23" s="513" t="s">
        <v>67</v>
      </c>
      <c r="G23" s="514"/>
      <c r="H23" s="515"/>
      <c r="I23" s="4" t="s">
        <v>68</v>
      </c>
      <c r="J23" s="513" t="s">
        <v>69</v>
      </c>
      <c r="K23" s="514"/>
      <c r="L23" s="515"/>
      <c r="M23" s="4" t="s">
        <v>70</v>
      </c>
      <c r="N23" s="513" t="s">
        <v>71</v>
      </c>
      <c r="O23" s="515"/>
      <c r="P23" s="513" t="s">
        <v>72</v>
      </c>
      <c r="Q23" s="514"/>
      <c r="R23" s="515"/>
      <c r="S23" s="513" t="s">
        <v>73</v>
      </c>
      <c r="T23" s="515"/>
      <c r="U23" s="513" t="s">
        <v>74</v>
      </c>
      <c r="V23" s="515"/>
      <c r="W23" s="5" t="s">
        <v>75</v>
      </c>
      <c r="X23" s="5">
        <f>SUM(C23:W23)</f>
        <v>0</v>
      </c>
      <c r="Y23" s="23"/>
    </row>
    <row r="24" spans="1:25" ht="18.95" customHeight="1" thickBot="1">
      <c r="A24" s="508" t="s">
        <v>76</v>
      </c>
      <c r="B24" s="509"/>
      <c r="C24" s="19" t="s">
        <v>77</v>
      </c>
      <c r="D24" s="19" t="s">
        <v>78</v>
      </c>
      <c r="E24" s="19" t="s">
        <v>79</v>
      </c>
      <c r="F24" s="493" t="s">
        <v>80</v>
      </c>
      <c r="G24" s="493"/>
      <c r="H24" s="493"/>
      <c r="I24" s="19" t="s">
        <v>81</v>
      </c>
      <c r="J24" s="493" t="s">
        <v>82</v>
      </c>
      <c r="K24" s="493"/>
      <c r="L24" s="493"/>
      <c r="M24" s="19" t="s">
        <v>83</v>
      </c>
      <c r="N24" s="493" t="s">
        <v>84</v>
      </c>
      <c r="O24" s="493"/>
      <c r="P24" s="493" t="s">
        <v>85</v>
      </c>
      <c r="Q24" s="493"/>
      <c r="R24" s="493"/>
      <c r="S24" s="493" t="s">
        <v>86</v>
      </c>
      <c r="T24" s="493"/>
      <c r="U24" s="493" t="s">
        <v>87</v>
      </c>
      <c r="V24" s="493"/>
      <c r="W24" s="6" t="s">
        <v>88</v>
      </c>
      <c r="X24" s="6">
        <f>SUM(C24:W24)</f>
        <v>0</v>
      </c>
      <c r="Y24" s="23"/>
    </row>
    <row r="25" spans="1:25" ht="19.7" customHeight="1" thickBot="1">
      <c r="A25" s="494" t="s">
        <v>89</v>
      </c>
      <c r="B25" s="495"/>
      <c r="C25" s="495"/>
      <c r="D25" s="495"/>
      <c r="E25" s="495"/>
      <c r="F25" s="495"/>
      <c r="G25" s="495"/>
      <c r="H25" s="495"/>
      <c r="I25" s="495"/>
      <c r="J25" s="495"/>
      <c r="K25" s="495"/>
      <c r="L25" s="495"/>
      <c r="M25" s="495"/>
      <c r="N25" s="495"/>
      <c r="O25" s="495"/>
      <c r="P25" s="495"/>
      <c r="Q25" s="495"/>
      <c r="R25" s="495"/>
      <c r="S25" s="495"/>
      <c r="T25" s="495"/>
      <c r="U25" s="495"/>
      <c r="V25" s="495"/>
      <c r="W25" s="495"/>
      <c r="X25" s="496"/>
      <c r="Y25" s="23"/>
    </row>
    <row r="26" spans="1:25" ht="33.75">
      <c r="A26" s="7" t="s">
        <v>90</v>
      </c>
      <c r="B26" s="21" t="s">
        <v>91</v>
      </c>
      <c r="C26" s="21" t="s">
        <v>92</v>
      </c>
      <c r="D26" s="8" t="s">
        <v>93</v>
      </c>
      <c r="E26" s="20"/>
      <c r="F26" s="20"/>
      <c r="G26" s="497"/>
      <c r="H26" s="497"/>
      <c r="I26" s="497"/>
      <c r="J26" s="497"/>
      <c r="K26" s="497"/>
      <c r="L26" s="497"/>
      <c r="M26" s="497"/>
      <c r="N26" s="497"/>
      <c r="O26" s="497"/>
      <c r="P26" s="497"/>
      <c r="Q26" s="497"/>
      <c r="R26" s="499"/>
      <c r="S26" s="499"/>
      <c r="T26" s="499"/>
      <c r="U26" s="499"/>
      <c r="V26" s="499"/>
      <c r="W26" s="497"/>
      <c r="X26" s="500"/>
      <c r="Y26" s="23"/>
    </row>
    <row r="27" spans="1:25" ht="17.850000000000001" customHeight="1">
      <c r="A27" s="9" t="s">
        <v>94</v>
      </c>
      <c r="B27" s="10">
        <f>IF(ISERROR($C$23/$C$24),0,$C$23/$C$24)</f>
        <v>0</v>
      </c>
      <c r="C27" s="10">
        <f t="shared" ref="C27:C35" si="0">IF(B27=0,0,100%)</f>
        <v>0</v>
      </c>
      <c r="D27" s="10" t="str">
        <f>$D$16</f>
        <v>&lt;RANGO_MET&gt;</v>
      </c>
      <c r="E27" s="32"/>
      <c r="F27" s="32"/>
      <c r="G27" s="498"/>
      <c r="H27" s="498"/>
      <c r="I27" s="492"/>
      <c r="J27" s="492"/>
      <c r="K27" s="33"/>
      <c r="L27" s="34"/>
      <c r="M27" s="498"/>
      <c r="N27" s="498"/>
      <c r="O27" s="498"/>
      <c r="P27" s="498"/>
      <c r="Q27" s="498"/>
      <c r="R27" s="501"/>
      <c r="S27" s="501"/>
      <c r="T27" s="501"/>
      <c r="U27" s="501"/>
      <c r="V27" s="501"/>
      <c r="W27" s="502"/>
      <c r="X27" s="503"/>
      <c r="Y27" s="23"/>
    </row>
    <row r="28" spans="1:25" ht="17.850000000000001" customHeight="1">
      <c r="A28" s="9" t="s">
        <v>95</v>
      </c>
      <c r="B28" s="10">
        <f>IF(ISERROR($D$23/$D$24),0,$D$23/$D$24)</f>
        <v>0</v>
      </c>
      <c r="C28" s="10">
        <f t="shared" si="0"/>
        <v>0</v>
      </c>
      <c r="D28" s="10" t="str">
        <f t="shared" ref="D28:D38" si="1">$D$16</f>
        <v>&lt;RANGO_MET&gt;</v>
      </c>
      <c r="E28" s="32"/>
      <c r="F28" s="32"/>
      <c r="G28" s="492"/>
      <c r="H28" s="492"/>
      <c r="I28" s="492"/>
      <c r="J28" s="492"/>
      <c r="K28" s="35"/>
      <c r="L28" s="33"/>
      <c r="M28" s="492"/>
      <c r="N28" s="492"/>
      <c r="O28" s="492"/>
      <c r="P28" s="492"/>
      <c r="Q28" s="492"/>
      <c r="R28" s="501"/>
      <c r="S28" s="501"/>
      <c r="T28" s="501"/>
      <c r="U28" s="501"/>
      <c r="V28" s="501"/>
      <c r="W28" s="502"/>
      <c r="X28" s="503"/>
      <c r="Y28" s="23"/>
    </row>
    <row r="29" spans="1:25" ht="17.850000000000001" customHeight="1">
      <c r="A29" s="9" t="s">
        <v>96</v>
      </c>
      <c r="B29" s="10">
        <f>IF(ISERROR($E$23/$E$24),0,$E$23/$E$24)</f>
        <v>0</v>
      </c>
      <c r="C29" s="10">
        <f t="shared" si="0"/>
        <v>0</v>
      </c>
      <c r="D29" s="10" t="str">
        <f t="shared" si="1"/>
        <v>&lt;RANGO_MET&gt;</v>
      </c>
      <c r="E29" s="32"/>
      <c r="F29" s="32"/>
      <c r="G29" s="492"/>
      <c r="H29" s="492"/>
      <c r="I29" s="492"/>
      <c r="J29" s="492"/>
      <c r="K29" s="35"/>
      <c r="L29" s="33"/>
      <c r="M29" s="492"/>
      <c r="N29" s="492"/>
      <c r="O29" s="492"/>
      <c r="P29" s="492"/>
      <c r="Q29" s="492"/>
      <c r="R29" s="501"/>
      <c r="S29" s="501"/>
      <c r="T29" s="501"/>
      <c r="U29" s="501"/>
      <c r="V29" s="501"/>
      <c r="W29" s="502"/>
      <c r="X29" s="503"/>
      <c r="Y29" s="23"/>
    </row>
    <row r="30" spans="1:25" ht="17.850000000000001" customHeight="1">
      <c r="A30" s="9" t="s">
        <v>97</v>
      </c>
      <c r="B30" s="10">
        <f>IF(ISERROR($F$23/$F$24),0,$F$23/$F$24)</f>
        <v>0</v>
      </c>
      <c r="C30" s="10">
        <f t="shared" si="0"/>
        <v>0</v>
      </c>
      <c r="D30" s="10" t="str">
        <f t="shared" si="1"/>
        <v>&lt;RANGO_MET&gt;</v>
      </c>
      <c r="E30" s="32"/>
      <c r="F30" s="32"/>
      <c r="G30" s="492"/>
      <c r="H30" s="492"/>
      <c r="I30" s="492"/>
      <c r="J30" s="492"/>
      <c r="K30" s="35"/>
      <c r="L30" s="33"/>
      <c r="M30" s="492"/>
      <c r="N30" s="492"/>
      <c r="O30" s="492"/>
      <c r="P30" s="492"/>
      <c r="Q30" s="492"/>
      <c r="R30" s="501"/>
      <c r="S30" s="501"/>
      <c r="T30" s="501"/>
      <c r="U30" s="501"/>
      <c r="V30" s="501"/>
      <c r="W30" s="502"/>
      <c r="X30" s="503"/>
      <c r="Y30" s="23"/>
    </row>
    <row r="31" spans="1:25" ht="17.850000000000001" customHeight="1">
      <c r="A31" s="9" t="s">
        <v>98</v>
      </c>
      <c r="B31" s="10">
        <f>IF(ISERROR($I$23/$I$24),0,$I$23/$I$24)</f>
        <v>0</v>
      </c>
      <c r="C31" s="10">
        <f t="shared" si="0"/>
        <v>0</v>
      </c>
      <c r="D31" s="10" t="str">
        <f t="shared" si="1"/>
        <v>&lt;RANGO_MET&gt;</v>
      </c>
      <c r="E31" s="32"/>
      <c r="F31" s="32"/>
      <c r="G31" s="492"/>
      <c r="H31" s="492"/>
      <c r="I31" s="492"/>
      <c r="J31" s="492"/>
      <c r="K31" s="35"/>
      <c r="L31" s="33"/>
      <c r="M31" s="492"/>
      <c r="N31" s="492"/>
      <c r="O31" s="492"/>
      <c r="P31" s="492"/>
      <c r="Q31" s="492"/>
      <c r="R31" s="501"/>
      <c r="S31" s="501"/>
      <c r="T31" s="501"/>
      <c r="U31" s="501"/>
      <c r="V31" s="501"/>
      <c r="W31" s="502"/>
      <c r="X31" s="503"/>
      <c r="Y31" s="23"/>
    </row>
    <row r="32" spans="1:25" ht="17.850000000000001" customHeight="1">
      <c r="A32" s="9" t="s">
        <v>99</v>
      </c>
      <c r="B32" s="10">
        <f>IF(ISERROR($J$23/$J$24),0,$J$23/$J$24)</f>
        <v>0</v>
      </c>
      <c r="C32" s="10">
        <f t="shared" si="0"/>
        <v>0</v>
      </c>
      <c r="D32" s="10" t="str">
        <f t="shared" si="1"/>
        <v>&lt;RANGO_MET&gt;</v>
      </c>
      <c r="E32" s="32"/>
      <c r="F32" s="32"/>
      <c r="G32" s="492"/>
      <c r="H32" s="492"/>
      <c r="I32" s="492"/>
      <c r="J32" s="492"/>
      <c r="K32" s="35"/>
      <c r="L32" s="33"/>
      <c r="M32" s="492"/>
      <c r="N32" s="492"/>
      <c r="O32" s="492"/>
      <c r="P32" s="492"/>
      <c r="Q32" s="492"/>
      <c r="R32" s="501"/>
      <c r="S32" s="501"/>
      <c r="T32" s="501"/>
      <c r="U32" s="501"/>
      <c r="V32" s="501"/>
      <c r="W32" s="502"/>
      <c r="X32" s="503"/>
      <c r="Y32" s="23"/>
    </row>
    <row r="33" spans="1:25" ht="17.850000000000001" customHeight="1">
      <c r="A33" s="9" t="s">
        <v>100</v>
      </c>
      <c r="B33" s="10">
        <f>IF(ISERROR($M$23/$M$24),0,$M$23/$M$24)</f>
        <v>0</v>
      </c>
      <c r="C33" s="10">
        <f t="shared" si="0"/>
        <v>0</v>
      </c>
      <c r="D33" s="10" t="str">
        <f t="shared" si="1"/>
        <v>&lt;RANGO_MET&gt;</v>
      </c>
      <c r="E33" s="32"/>
      <c r="F33" s="32"/>
      <c r="G33" s="492"/>
      <c r="H33" s="492"/>
      <c r="I33" s="492"/>
      <c r="J33" s="492"/>
      <c r="K33" s="35"/>
      <c r="L33" s="33"/>
      <c r="M33" s="492"/>
      <c r="N33" s="492"/>
      <c r="O33" s="492"/>
      <c r="P33" s="492"/>
      <c r="Q33" s="492"/>
      <c r="R33" s="501"/>
      <c r="S33" s="501"/>
      <c r="T33" s="501"/>
      <c r="U33" s="501"/>
      <c r="V33" s="501"/>
      <c r="W33" s="502"/>
      <c r="X33" s="503"/>
      <c r="Y33" s="23"/>
    </row>
    <row r="34" spans="1:25" ht="17.850000000000001" customHeight="1">
      <c r="A34" s="9" t="s">
        <v>101</v>
      </c>
      <c r="B34" s="10">
        <f>IF(ISERROR($N$23/$N$24),0,$N$23/$N$24)</f>
        <v>0</v>
      </c>
      <c r="C34" s="10">
        <f t="shared" si="0"/>
        <v>0</v>
      </c>
      <c r="D34" s="10" t="str">
        <f t="shared" si="1"/>
        <v>&lt;RANGO_MET&gt;</v>
      </c>
      <c r="E34" s="32"/>
      <c r="F34" s="32"/>
      <c r="G34" s="492"/>
      <c r="H34" s="492"/>
      <c r="I34" s="492"/>
      <c r="J34" s="492"/>
      <c r="K34" s="35"/>
      <c r="L34" s="33"/>
      <c r="M34" s="492"/>
      <c r="N34" s="492"/>
      <c r="O34" s="492"/>
      <c r="P34" s="492"/>
      <c r="Q34" s="492"/>
      <c r="R34" s="501"/>
      <c r="S34" s="501"/>
      <c r="T34" s="501"/>
      <c r="U34" s="501"/>
      <c r="V34" s="501"/>
      <c r="W34" s="502"/>
      <c r="X34" s="503"/>
      <c r="Y34" s="23"/>
    </row>
    <row r="35" spans="1:25" ht="17.850000000000001" customHeight="1">
      <c r="A35" s="9" t="s">
        <v>102</v>
      </c>
      <c r="B35" s="10">
        <f>IF(ISERROR($P$23/$P$24),0,$P$23/$P$24)</f>
        <v>0</v>
      </c>
      <c r="C35" s="10">
        <f t="shared" si="0"/>
        <v>0</v>
      </c>
      <c r="D35" s="10" t="str">
        <f t="shared" si="1"/>
        <v>&lt;RANGO_MET&gt;</v>
      </c>
      <c r="E35" s="32"/>
      <c r="F35" s="32"/>
      <c r="G35" s="492"/>
      <c r="H35" s="492"/>
      <c r="I35" s="492"/>
      <c r="J35" s="492"/>
      <c r="K35" s="35"/>
      <c r="L35" s="33"/>
      <c r="M35" s="492"/>
      <c r="N35" s="492"/>
      <c r="O35" s="492"/>
      <c r="P35" s="492"/>
      <c r="Q35" s="492"/>
      <c r="R35" s="501"/>
      <c r="S35" s="501"/>
      <c r="T35" s="501"/>
      <c r="U35" s="501"/>
      <c r="V35" s="501"/>
      <c r="W35" s="502"/>
      <c r="X35" s="503"/>
      <c r="Y35" s="23"/>
    </row>
    <row r="36" spans="1:25" ht="17.850000000000001" customHeight="1">
      <c r="A36" s="9" t="s">
        <v>103</v>
      </c>
      <c r="B36" s="10">
        <f>IF(ISERROR($S$23/$S$24),0,$S$23/$S$24)</f>
        <v>0</v>
      </c>
      <c r="C36" s="10">
        <f t="shared" ref="C36:C38" si="2">IF(B36=0,0,100%)</f>
        <v>0</v>
      </c>
      <c r="D36" s="10" t="str">
        <f t="shared" si="1"/>
        <v>&lt;RANGO_MET&gt;</v>
      </c>
      <c r="E36" s="32"/>
      <c r="F36" s="32"/>
      <c r="G36" s="492"/>
      <c r="H36" s="492"/>
      <c r="I36" s="492"/>
      <c r="J36" s="492"/>
      <c r="K36" s="35"/>
      <c r="L36" s="33"/>
      <c r="M36" s="492"/>
      <c r="N36" s="492"/>
      <c r="O36" s="492"/>
      <c r="P36" s="492"/>
      <c r="Q36" s="492"/>
      <c r="R36" s="501"/>
      <c r="S36" s="501"/>
      <c r="T36" s="501"/>
      <c r="U36" s="501"/>
      <c r="V36" s="501"/>
      <c r="W36" s="502"/>
      <c r="X36" s="503"/>
      <c r="Y36" s="23"/>
    </row>
    <row r="37" spans="1:25" ht="17.850000000000001" customHeight="1">
      <c r="A37" s="9" t="s">
        <v>104</v>
      </c>
      <c r="B37" s="10">
        <f>IF(ISERROR($U$23/$U$24),0,$U$23/$U$24)</f>
        <v>0</v>
      </c>
      <c r="C37" s="10">
        <f t="shared" si="2"/>
        <v>0</v>
      </c>
      <c r="D37" s="10" t="str">
        <f t="shared" si="1"/>
        <v>&lt;RANGO_MET&gt;</v>
      </c>
      <c r="E37" s="32"/>
      <c r="F37" s="32"/>
      <c r="G37" s="492"/>
      <c r="H37" s="492"/>
      <c r="I37" s="492"/>
      <c r="J37" s="492"/>
      <c r="K37" s="35"/>
      <c r="L37" s="33"/>
      <c r="M37" s="492"/>
      <c r="N37" s="492"/>
      <c r="O37" s="492"/>
      <c r="P37" s="492"/>
      <c r="Q37" s="492"/>
      <c r="R37" s="501"/>
      <c r="S37" s="501"/>
      <c r="T37" s="501"/>
      <c r="U37" s="501"/>
      <c r="V37" s="501"/>
      <c r="W37" s="502"/>
      <c r="X37" s="503"/>
      <c r="Y37" s="23"/>
    </row>
    <row r="38" spans="1:25" ht="17.850000000000001" customHeight="1" thickBot="1">
      <c r="A38" s="27" t="s">
        <v>105</v>
      </c>
      <c r="B38" s="28">
        <f>IF(ISERROR($W$23/$W$24),0,$W$23/$W$24)</f>
        <v>0</v>
      </c>
      <c r="C38" s="28">
        <f t="shared" si="2"/>
        <v>0</v>
      </c>
      <c r="D38" s="28" t="str">
        <f t="shared" si="1"/>
        <v>&lt;RANGO_MET&gt;</v>
      </c>
      <c r="E38" s="32"/>
      <c r="F38" s="32"/>
      <c r="G38" s="32"/>
      <c r="H38" s="32"/>
      <c r="I38" s="32"/>
      <c r="J38" s="32"/>
      <c r="K38" s="35"/>
      <c r="L38" s="33"/>
      <c r="M38" s="32"/>
      <c r="N38" s="32"/>
      <c r="O38" s="32"/>
      <c r="P38" s="32"/>
      <c r="Q38" s="32"/>
      <c r="R38" s="504"/>
      <c r="S38" s="504"/>
      <c r="T38" s="504"/>
      <c r="U38" s="504"/>
      <c r="V38" s="504"/>
      <c r="W38" s="492"/>
      <c r="X38" s="505"/>
      <c r="Y38" s="23"/>
    </row>
    <row r="39" spans="1:25" ht="17.25" customHeight="1" thickBot="1">
      <c r="A39" s="29" t="s">
        <v>106</v>
      </c>
      <c r="B39" s="30">
        <f>IF(ISERROR($X$23/$X$24),0,$X$23/$X$24)</f>
        <v>0</v>
      </c>
      <c r="C39" s="30" t="s">
        <v>34</v>
      </c>
      <c r="D39" s="31">
        <f t="shared" ref="D39" si="3">SUM(D27:D38)/12</f>
        <v>0</v>
      </c>
      <c r="E39" s="18"/>
      <c r="F39" s="18"/>
      <c r="G39" s="488"/>
      <c r="H39" s="488"/>
      <c r="I39" s="488"/>
      <c r="J39" s="488"/>
      <c r="K39" s="11"/>
      <c r="L39" s="12"/>
      <c r="M39" s="488"/>
      <c r="N39" s="488"/>
      <c r="O39" s="488"/>
      <c r="P39" s="488"/>
      <c r="Q39" s="488"/>
      <c r="R39" s="506"/>
      <c r="S39" s="506"/>
      <c r="T39" s="506"/>
      <c r="U39" s="506"/>
      <c r="V39" s="506"/>
      <c r="W39" s="488"/>
      <c r="X39" s="507"/>
      <c r="Y39" s="23"/>
    </row>
    <row r="40" spans="1:25" ht="15.75" customHeight="1" thickBot="1">
      <c r="A40" s="489" t="s">
        <v>107</v>
      </c>
      <c r="B40" s="490"/>
      <c r="C40" s="490"/>
      <c r="D40" s="490"/>
      <c r="E40" s="490"/>
      <c r="F40" s="490"/>
      <c r="G40" s="490"/>
      <c r="H40" s="490"/>
      <c r="I40" s="490"/>
      <c r="J40" s="490"/>
      <c r="K40" s="490"/>
      <c r="L40" s="490"/>
      <c r="M40" s="490"/>
      <c r="N40" s="490"/>
      <c r="O40" s="490"/>
      <c r="P40" s="490"/>
      <c r="Q40" s="490"/>
      <c r="R40" s="490"/>
      <c r="S40" s="490"/>
      <c r="T40" s="490"/>
      <c r="U40" s="490"/>
      <c r="V40" s="490"/>
      <c r="W40" s="490"/>
      <c r="X40" s="491"/>
      <c r="Y40" s="23"/>
    </row>
    <row r="41" spans="1:25" ht="12">
      <c r="A41" s="466" t="s">
        <v>108</v>
      </c>
      <c r="B41" s="467"/>
      <c r="C41" s="467"/>
      <c r="D41" s="467"/>
      <c r="E41" s="467"/>
      <c r="F41" s="467"/>
      <c r="G41" s="467"/>
      <c r="H41" s="467"/>
      <c r="I41" s="467"/>
      <c r="J41" s="467"/>
      <c r="K41" s="467"/>
      <c r="L41" s="467"/>
      <c r="M41" s="467"/>
      <c r="N41" s="467"/>
      <c r="O41" s="467"/>
      <c r="P41" s="467"/>
      <c r="Q41" s="467"/>
      <c r="R41" s="467"/>
      <c r="S41" s="467"/>
      <c r="T41" s="467"/>
      <c r="U41" s="467"/>
      <c r="V41" s="467"/>
      <c r="W41" s="467"/>
      <c r="X41" s="468"/>
      <c r="Y41" s="23"/>
    </row>
    <row r="42" spans="1:25" ht="24.75" customHeight="1">
      <c r="A42" s="460"/>
      <c r="B42" s="461"/>
      <c r="C42" s="461"/>
      <c r="D42" s="461"/>
      <c r="E42" s="461"/>
      <c r="F42" s="461"/>
      <c r="G42" s="461"/>
      <c r="H42" s="461"/>
      <c r="I42" s="461"/>
      <c r="J42" s="461"/>
      <c r="K42" s="461"/>
      <c r="L42" s="461"/>
      <c r="M42" s="461"/>
      <c r="N42" s="461"/>
      <c r="O42" s="461"/>
      <c r="P42" s="461"/>
      <c r="Q42" s="461"/>
      <c r="R42" s="461"/>
      <c r="S42" s="461"/>
      <c r="T42" s="461"/>
      <c r="U42" s="461"/>
      <c r="V42" s="461"/>
      <c r="W42" s="461"/>
      <c r="X42" s="462"/>
      <c r="Y42" s="23"/>
    </row>
    <row r="43" spans="1:25" ht="23.25" customHeight="1">
      <c r="A43" s="463"/>
      <c r="B43" s="464"/>
      <c r="C43" s="464"/>
      <c r="D43" s="464"/>
      <c r="E43" s="464"/>
      <c r="F43" s="464"/>
      <c r="G43" s="464"/>
      <c r="H43" s="464"/>
      <c r="I43" s="464"/>
      <c r="J43" s="464"/>
      <c r="K43" s="464"/>
      <c r="L43" s="464"/>
      <c r="M43" s="464"/>
      <c r="N43" s="464"/>
      <c r="O43" s="464"/>
      <c r="P43" s="464"/>
      <c r="Q43" s="464"/>
      <c r="R43" s="464"/>
      <c r="S43" s="464"/>
      <c r="T43" s="464"/>
      <c r="U43" s="464"/>
      <c r="V43" s="464"/>
      <c r="W43" s="464"/>
      <c r="X43" s="465"/>
      <c r="Y43" s="23"/>
    </row>
    <row r="44" spans="1:25" ht="2.25" customHeight="1" thickBot="1">
      <c r="A44" s="485"/>
      <c r="B44" s="486"/>
      <c r="C44" s="486"/>
      <c r="D44" s="486"/>
      <c r="E44" s="486"/>
      <c r="F44" s="486"/>
      <c r="G44" s="486"/>
      <c r="H44" s="486"/>
      <c r="I44" s="486"/>
      <c r="J44" s="486"/>
      <c r="K44" s="486"/>
      <c r="L44" s="486"/>
      <c r="M44" s="486"/>
      <c r="N44" s="486"/>
      <c r="O44" s="486"/>
      <c r="P44" s="486"/>
      <c r="Q44" s="486"/>
      <c r="R44" s="486"/>
      <c r="S44" s="486"/>
      <c r="T44" s="486"/>
      <c r="U44" s="486"/>
      <c r="V44" s="486"/>
      <c r="W44" s="486"/>
      <c r="X44" s="487"/>
      <c r="Y44" s="23"/>
    </row>
    <row r="45" spans="1:25" ht="12">
      <c r="A45" s="466" t="s">
        <v>109</v>
      </c>
      <c r="B45" s="467"/>
      <c r="C45" s="467"/>
      <c r="D45" s="467"/>
      <c r="E45" s="467"/>
      <c r="F45" s="467"/>
      <c r="G45" s="467"/>
      <c r="H45" s="467"/>
      <c r="I45" s="467"/>
      <c r="J45" s="467"/>
      <c r="K45" s="467"/>
      <c r="L45" s="467"/>
      <c r="M45" s="467"/>
      <c r="N45" s="467"/>
      <c r="O45" s="467"/>
      <c r="P45" s="467"/>
      <c r="Q45" s="467"/>
      <c r="R45" s="467"/>
      <c r="S45" s="467"/>
      <c r="T45" s="467"/>
      <c r="U45" s="467"/>
      <c r="V45" s="467"/>
      <c r="W45" s="467"/>
      <c r="X45" s="468"/>
      <c r="Y45" s="23"/>
    </row>
    <row r="46" spans="1:25" s="16" customFormat="1" ht="24" customHeight="1">
      <c r="A46" s="460"/>
      <c r="B46" s="461"/>
      <c r="C46" s="461"/>
      <c r="D46" s="461"/>
      <c r="E46" s="461"/>
      <c r="F46" s="461"/>
      <c r="G46" s="461"/>
      <c r="H46" s="461"/>
      <c r="I46" s="461"/>
      <c r="J46" s="461"/>
      <c r="K46" s="461"/>
      <c r="L46" s="461"/>
      <c r="M46" s="461"/>
      <c r="N46" s="461"/>
      <c r="O46" s="461"/>
      <c r="P46" s="461"/>
      <c r="Q46" s="461"/>
      <c r="R46" s="461"/>
      <c r="S46" s="461"/>
      <c r="T46" s="461"/>
      <c r="U46" s="461"/>
      <c r="V46" s="461"/>
      <c r="W46" s="461"/>
      <c r="X46" s="462"/>
      <c r="Y46" s="25"/>
    </row>
    <row r="47" spans="1:25" s="16" customFormat="1" ht="23.25" customHeight="1">
      <c r="A47" s="463"/>
      <c r="B47" s="464"/>
      <c r="C47" s="464"/>
      <c r="D47" s="464"/>
      <c r="E47" s="464"/>
      <c r="F47" s="464"/>
      <c r="G47" s="464"/>
      <c r="H47" s="464"/>
      <c r="I47" s="464"/>
      <c r="J47" s="464"/>
      <c r="K47" s="464"/>
      <c r="L47" s="464"/>
      <c r="M47" s="464"/>
      <c r="N47" s="464"/>
      <c r="O47" s="464"/>
      <c r="P47" s="464"/>
      <c r="Q47" s="464"/>
      <c r="R47" s="464"/>
      <c r="S47" s="464"/>
      <c r="T47" s="464"/>
      <c r="U47" s="464"/>
      <c r="V47" s="464"/>
      <c r="W47" s="464"/>
      <c r="X47" s="465"/>
      <c r="Y47" s="25"/>
    </row>
    <row r="48" spans="1:25" s="16" customFormat="1" ht="2.25" customHeight="1" thickBot="1">
      <c r="A48" s="460"/>
      <c r="B48" s="461"/>
      <c r="C48" s="461"/>
      <c r="D48" s="461"/>
      <c r="E48" s="461"/>
      <c r="F48" s="461"/>
      <c r="G48" s="461"/>
      <c r="H48" s="461"/>
      <c r="I48" s="461"/>
      <c r="J48" s="461"/>
      <c r="K48" s="461"/>
      <c r="L48" s="461"/>
      <c r="M48" s="461"/>
      <c r="N48" s="461"/>
      <c r="O48" s="461"/>
      <c r="P48" s="461"/>
      <c r="Q48" s="461"/>
      <c r="R48" s="461"/>
      <c r="S48" s="461"/>
      <c r="T48" s="461"/>
      <c r="U48" s="461"/>
      <c r="V48" s="461"/>
      <c r="W48" s="461"/>
      <c r="X48" s="462"/>
      <c r="Y48" s="25"/>
    </row>
    <row r="49" spans="1:25" ht="12">
      <c r="A49" s="466" t="s">
        <v>110</v>
      </c>
      <c r="B49" s="467"/>
      <c r="C49" s="467"/>
      <c r="D49" s="467"/>
      <c r="E49" s="467"/>
      <c r="F49" s="467"/>
      <c r="G49" s="467"/>
      <c r="H49" s="467"/>
      <c r="I49" s="467"/>
      <c r="J49" s="467"/>
      <c r="K49" s="467"/>
      <c r="L49" s="467"/>
      <c r="M49" s="467"/>
      <c r="N49" s="467"/>
      <c r="O49" s="467"/>
      <c r="P49" s="467"/>
      <c r="Q49" s="467"/>
      <c r="R49" s="467"/>
      <c r="S49" s="467"/>
      <c r="T49" s="467"/>
      <c r="U49" s="467"/>
      <c r="V49" s="467"/>
      <c r="W49" s="467"/>
      <c r="X49" s="468"/>
      <c r="Y49" s="23"/>
    </row>
    <row r="50" spans="1:25" s="16" customFormat="1" ht="30.75" customHeight="1">
      <c r="A50" s="460"/>
      <c r="B50" s="461"/>
      <c r="C50" s="461"/>
      <c r="D50" s="461"/>
      <c r="E50" s="461"/>
      <c r="F50" s="461"/>
      <c r="G50" s="461"/>
      <c r="H50" s="461"/>
      <c r="I50" s="461"/>
      <c r="J50" s="461"/>
      <c r="K50" s="461"/>
      <c r="L50" s="461"/>
      <c r="M50" s="461"/>
      <c r="N50" s="461"/>
      <c r="O50" s="461"/>
      <c r="P50" s="461"/>
      <c r="Q50" s="461"/>
      <c r="R50" s="461"/>
      <c r="S50" s="461"/>
      <c r="T50" s="461"/>
      <c r="U50" s="461"/>
      <c r="V50" s="461"/>
      <c r="W50" s="461"/>
      <c r="X50" s="462"/>
      <c r="Y50" s="25"/>
    </row>
    <row r="51" spans="1:25" s="16" customFormat="1" ht="18" customHeight="1">
      <c r="A51" s="463"/>
      <c r="B51" s="464"/>
      <c r="C51" s="464"/>
      <c r="D51" s="464"/>
      <c r="E51" s="464"/>
      <c r="F51" s="464"/>
      <c r="G51" s="464"/>
      <c r="H51" s="464"/>
      <c r="I51" s="464"/>
      <c r="J51" s="464"/>
      <c r="K51" s="464"/>
      <c r="L51" s="464"/>
      <c r="M51" s="464"/>
      <c r="N51" s="464"/>
      <c r="O51" s="464"/>
      <c r="P51" s="464"/>
      <c r="Q51" s="464"/>
      <c r="R51" s="464"/>
      <c r="S51" s="464"/>
      <c r="T51" s="464"/>
      <c r="U51" s="464"/>
      <c r="V51" s="464"/>
      <c r="W51" s="464"/>
      <c r="X51" s="465"/>
      <c r="Y51" s="25"/>
    </row>
    <row r="52" spans="1:25" s="16" customFormat="1" ht="2.25" customHeight="1" thickBot="1">
      <c r="A52" s="460"/>
      <c r="B52" s="461"/>
      <c r="C52" s="461"/>
      <c r="D52" s="461"/>
      <c r="E52" s="461"/>
      <c r="F52" s="461"/>
      <c r="G52" s="461"/>
      <c r="H52" s="461"/>
      <c r="I52" s="461"/>
      <c r="J52" s="461"/>
      <c r="K52" s="461"/>
      <c r="L52" s="461"/>
      <c r="M52" s="461"/>
      <c r="N52" s="461"/>
      <c r="O52" s="461"/>
      <c r="P52" s="461"/>
      <c r="Q52" s="461"/>
      <c r="R52" s="461"/>
      <c r="S52" s="461"/>
      <c r="T52" s="461"/>
      <c r="U52" s="461"/>
      <c r="V52" s="461"/>
      <c r="W52" s="461"/>
      <c r="X52" s="462"/>
      <c r="Y52" s="25"/>
    </row>
    <row r="53" spans="1:25" ht="12">
      <c r="A53" s="466" t="s">
        <v>111</v>
      </c>
      <c r="B53" s="467"/>
      <c r="C53" s="467"/>
      <c r="D53" s="467"/>
      <c r="E53" s="467"/>
      <c r="F53" s="467"/>
      <c r="G53" s="467"/>
      <c r="H53" s="467"/>
      <c r="I53" s="467"/>
      <c r="J53" s="467"/>
      <c r="K53" s="467"/>
      <c r="L53" s="467"/>
      <c r="M53" s="467"/>
      <c r="N53" s="467"/>
      <c r="O53" s="467"/>
      <c r="P53" s="467"/>
      <c r="Q53" s="467"/>
      <c r="R53" s="467"/>
      <c r="S53" s="467"/>
      <c r="T53" s="467"/>
      <c r="U53" s="467"/>
      <c r="V53" s="467"/>
      <c r="W53" s="467"/>
      <c r="X53" s="468"/>
      <c r="Y53" s="23"/>
    </row>
    <row r="54" spans="1:25" s="16" customFormat="1" ht="27.75" customHeight="1">
      <c r="A54" s="460"/>
      <c r="B54" s="461"/>
      <c r="C54" s="461"/>
      <c r="D54" s="461"/>
      <c r="E54" s="461"/>
      <c r="F54" s="461"/>
      <c r="G54" s="461"/>
      <c r="H54" s="461"/>
      <c r="I54" s="461"/>
      <c r="J54" s="461"/>
      <c r="K54" s="461"/>
      <c r="L54" s="461"/>
      <c r="M54" s="461"/>
      <c r="N54" s="461"/>
      <c r="O54" s="461"/>
      <c r="P54" s="461"/>
      <c r="Q54" s="461"/>
      <c r="R54" s="461"/>
      <c r="S54" s="461"/>
      <c r="T54" s="461"/>
      <c r="U54" s="461"/>
      <c r="V54" s="461"/>
      <c r="W54" s="461"/>
      <c r="X54" s="462"/>
      <c r="Y54" s="25"/>
    </row>
    <row r="55" spans="1:25" s="16" customFormat="1" ht="19.5" customHeight="1">
      <c r="A55" s="463"/>
      <c r="B55" s="464"/>
      <c r="C55" s="464"/>
      <c r="D55" s="464"/>
      <c r="E55" s="464"/>
      <c r="F55" s="464"/>
      <c r="G55" s="464"/>
      <c r="H55" s="464"/>
      <c r="I55" s="464"/>
      <c r="J55" s="464"/>
      <c r="K55" s="464"/>
      <c r="L55" s="464"/>
      <c r="M55" s="464"/>
      <c r="N55" s="464"/>
      <c r="O55" s="464"/>
      <c r="P55" s="464"/>
      <c r="Q55" s="464"/>
      <c r="R55" s="464"/>
      <c r="S55" s="464"/>
      <c r="T55" s="464"/>
      <c r="U55" s="464"/>
      <c r="V55" s="464"/>
      <c r="W55" s="464"/>
      <c r="X55" s="465"/>
      <c r="Y55" s="25"/>
    </row>
    <row r="56" spans="1:25" s="16" customFormat="1" ht="2.25" customHeight="1" thickBot="1">
      <c r="A56" s="460"/>
      <c r="B56" s="461"/>
      <c r="C56" s="461"/>
      <c r="D56" s="461"/>
      <c r="E56" s="461"/>
      <c r="F56" s="461"/>
      <c r="G56" s="461"/>
      <c r="H56" s="461"/>
      <c r="I56" s="461"/>
      <c r="J56" s="461"/>
      <c r="K56" s="461"/>
      <c r="L56" s="461"/>
      <c r="M56" s="461"/>
      <c r="N56" s="461"/>
      <c r="O56" s="461"/>
      <c r="P56" s="461"/>
      <c r="Q56" s="461"/>
      <c r="R56" s="461"/>
      <c r="S56" s="461"/>
      <c r="T56" s="461"/>
      <c r="U56" s="461"/>
      <c r="V56" s="461"/>
      <c r="W56" s="461"/>
      <c r="X56" s="462"/>
      <c r="Y56" s="25"/>
    </row>
    <row r="57" spans="1:25" ht="12">
      <c r="A57" s="466" t="s">
        <v>112</v>
      </c>
      <c r="B57" s="467"/>
      <c r="C57" s="467"/>
      <c r="D57" s="467"/>
      <c r="E57" s="467"/>
      <c r="F57" s="467"/>
      <c r="G57" s="467"/>
      <c r="H57" s="467"/>
      <c r="I57" s="467"/>
      <c r="J57" s="467"/>
      <c r="K57" s="467"/>
      <c r="L57" s="467"/>
      <c r="M57" s="467"/>
      <c r="N57" s="467"/>
      <c r="O57" s="467"/>
      <c r="P57" s="467"/>
      <c r="Q57" s="467"/>
      <c r="R57" s="467"/>
      <c r="S57" s="467"/>
      <c r="T57" s="467"/>
      <c r="U57" s="467"/>
      <c r="V57" s="467"/>
      <c r="W57" s="467"/>
      <c r="X57" s="468"/>
      <c r="Y57" s="23"/>
    </row>
    <row r="58" spans="1:25" s="16" customFormat="1" ht="27.75" customHeight="1">
      <c r="A58" s="460"/>
      <c r="B58" s="461"/>
      <c r="C58" s="461"/>
      <c r="D58" s="461"/>
      <c r="E58" s="461"/>
      <c r="F58" s="461"/>
      <c r="G58" s="461"/>
      <c r="H58" s="461"/>
      <c r="I58" s="461"/>
      <c r="J58" s="461"/>
      <c r="K58" s="461"/>
      <c r="L58" s="461"/>
      <c r="M58" s="461"/>
      <c r="N58" s="461"/>
      <c r="O58" s="461"/>
      <c r="P58" s="461"/>
      <c r="Q58" s="461"/>
      <c r="R58" s="461"/>
      <c r="S58" s="461"/>
      <c r="T58" s="461"/>
      <c r="U58" s="461"/>
      <c r="V58" s="461"/>
      <c r="W58" s="461"/>
      <c r="X58" s="462"/>
      <c r="Y58" s="25"/>
    </row>
    <row r="59" spans="1:25" s="16" customFormat="1" ht="18.75" customHeight="1">
      <c r="A59" s="463"/>
      <c r="B59" s="464"/>
      <c r="C59" s="464"/>
      <c r="D59" s="464"/>
      <c r="E59" s="464"/>
      <c r="F59" s="464"/>
      <c r="G59" s="464"/>
      <c r="H59" s="464"/>
      <c r="I59" s="464"/>
      <c r="J59" s="464"/>
      <c r="K59" s="464"/>
      <c r="L59" s="464"/>
      <c r="M59" s="464"/>
      <c r="N59" s="464"/>
      <c r="O59" s="464"/>
      <c r="P59" s="464"/>
      <c r="Q59" s="464"/>
      <c r="R59" s="464"/>
      <c r="S59" s="464"/>
      <c r="T59" s="464"/>
      <c r="U59" s="464"/>
      <c r="V59" s="464"/>
      <c r="W59" s="464"/>
      <c r="X59" s="465"/>
      <c r="Y59" s="25"/>
    </row>
    <row r="60" spans="1:25" s="16" customFormat="1" ht="2.25" customHeight="1" thickBot="1">
      <c r="A60" s="460"/>
      <c r="B60" s="461"/>
      <c r="C60" s="461"/>
      <c r="D60" s="461"/>
      <c r="E60" s="461"/>
      <c r="F60" s="461"/>
      <c r="G60" s="461"/>
      <c r="H60" s="461"/>
      <c r="I60" s="461"/>
      <c r="J60" s="461"/>
      <c r="K60" s="461"/>
      <c r="L60" s="461"/>
      <c r="M60" s="461"/>
      <c r="N60" s="461"/>
      <c r="O60" s="461"/>
      <c r="P60" s="461"/>
      <c r="Q60" s="461"/>
      <c r="R60" s="461"/>
      <c r="S60" s="461"/>
      <c r="T60" s="461"/>
      <c r="U60" s="461"/>
      <c r="V60" s="461"/>
      <c r="W60" s="461"/>
      <c r="X60" s="462"/>
      <c r="Y60" s="25"/>
    </row>
    <row r="61" spans="1:25" s="16" customFormat="1" ht="12">
      <c r="A61" s="466" t="s">
        <v>113</v>
      </c>
      <c r="B61" s="467"/>
      <c r="C61" s="467"/>
      <c r="D61" s="467"/>
      <c r="E61" s="467"/>
      <c r="F61" s="467"/>
      <c r="G61" s="467"/>
      <c r="H61" s="467"/>
      <c r="I61" s="467"/>
      <c r="J61" s="467"/>
      <c r="K61" s="467"/>
      <c r="L61" s="467"/>
      <c r="M61" s="467"/>
      <c r="N61" s="467"/>
      <c r="O61" s="467"/>
      <c r="P61" s="467"/>
      <c r="Q61" s="467"/>
      <c r="R61" s="467"/>
      <c r="S61" s="467"/>
      <c r="T61" s="467"/>
      <c r="U61" s="467"/>
      <c r="V61" s="467"/>
      <c r="W61" s="467"/>
      <c r="X61" s="468"/>
      <c r="Y61" s="25"/>
    </row>
    <row r="62" spans="1:25" s="16" customFormat="1" ht="25.5" customHeight="1">
      <c r="A62" s="460"/>
      <c r="B62" s="461"/>
      <c r="C62" s="461"/>
      <c r="D62" s="461"/>
      <c r="E62" s="461"/>
      <c r="F62" s="461"/>
      <c r="G62" s="461"/>
      <c r="H62" s="461"/>
      <c r="I62" s="461"/>
      <c r="J62" s="461"/>
      <c r="K62" s="461"/>
      <c r="L62" s="461"/>
      <c r="M62" s="461"/>
      <c r="N62" s="461"/>
      <c r="O62" s="461"/>
      <c r="P62" s="461"/>
      <c r="Q62" s="461"/>
      <c r="R62" s="461"/>
      <c r="S62" s="461"/>
      <c r="T62" s="461"/>
      <c r="U62" s="461"/>
      <c r="V62" s="461"/>
      <c r="W62" s="461"/>
      <c r="X62" s="462"/>
      <c r="Y62" s="25"/>
    </row>
    <row r="63" spans="1:25" s="16" customFormat="1" ht="17.25" customHeight="1">
      <c r="A63" s="463"/>
      <c r="B63" s="464"/>
      <c r="C63" s="464"/>
      <c r="D63" s="464"/>
      <c r="E63" s="464"/>
      <c r="F63" s="464"/>
      <c r="G63" s="464"/>
      <c r="H63" s="464"/>
      <c r="I63" s="464"/>
      <c r="J63" s="464"/>
      <c r="K63" s="464"/>
      <c r="L63" s="464"/>
      <c r="M63" s="464"/>
      <c r="N63" s="464"/>
      <c r="O63" s="464"/>
      <c r="P63" s="464"/>
      <c r="Q63" s="464"/>
      <c r="R63" s="464"/>
      <c r="S63" s="464"/>
      <c r="T63" s="464"/>
      <c r="U63" s="464"/>
      <c r="V63" s="464"/>
      <c r="W63" s="464"/>
      <c r="X63" s="465"/>
      <c r="Y63" s="25"/>
    </row>
    <row r="64" spans="1:25" s="16" customFormat="1" ht="3" customHeight="1" thickBot="1">
      <c r="A64" s="460"/>
      <c r="B64" s="461"/>
      <c r="C64" s="461"/>
      <c r="D64" s="461"/>
      <c r="E64" s="461"/>
      <c r="F64" s="461"/>
      <c r="G64" s="461"/>
      <c r="H64" s="461"/>
      <c r="I64" s="461"/>
      <c r="J64" s="461"/>
      <c r="K64" s="461"/>
      <c r="L64" s="461"/>
      <c r="M64" s="461"/>
      <c r="N64" s="461"/>
      <c r="O64" s="461"/>
      <c r="P64" s="461"/>
      <c r="Q64" s="461"/>
      <c r="R64" s="461"/>
      <c r="S64" s="461"/>
      <c r="T64" s="461"/>
      <c r="U64" s="461"/>
      <c r="V64" s="461"/>
      <c r="W64" s="461"/>
      <c r="X64" s="462"/>
      <c r="Y64" s="25"/>
    </row>
    <row r="65" spans="1:25" ht="12">
      <c r="A65" s="466" t="s">
        <v>114</v>
      </c>
      <c r="B65" s="467"/>
      <c r="C65" s="467"/>
      <c r="D65" s="467"/>
      <c r="E65" s="467"/>
      <c r="F65" s="467"/>
      <c r="G65" s="467"/>
      <c r="H65" s="467"/>
      <c r="I65" s="467"/>
      <c r="J65" s="467"/>
      <c r="K65" s="467"/>
      <c r="L65" s="467"/>
      <c r="M65" s="467"/>
      <c r="N65" s="467"/>
      <c r="O65" s="467"/>
      <c r="P65" s="467"/>
      <c r="Q65" s="467"/>
      <c r="R65" s="467"/>
      <c r="S65" s="467"/>
      <c r="T65" s="467"/>
      <c r="U65" s="467"/>
      <c r="V65" s="467"/>
      <c r="W65" s="467"/>
      <c r="X65" s="468"/>
      <c r="Y65" s="23"/>
    </row>
    <row r="66" spans="1:25" s="16" customFormat="1" ht="25.5" customHeight="1">
      <c r="A66" s="460"/>
      <c r="B66" s="461"/>
      <c r="C66" s="461"/>
      <c r="D66" s="461"/>
      <c r="E66" s="461"/>
      <c r="F66" s="461"/>
      <c r="G66" s="461"/>
      <c r="H66" s="461"/>
      <c r="I66" s="461"/>
      <c r="J66" s="461"/>
      <c r="K66" s="461"/>
      <c r="L66" s="461"/>
      <c r="M66" s="461"/>
      <c r="N66" s="461"/>
      <c r="O66" s="461"/>
      <c r="P66" s="461"/>
      <c r="Q66" s="461"/>
      <c r="R66" s="461"/>
      <c r="S66" s="461"/>
      <c r="T66" s="461"/>
      <c r="U66" s="461"/>
      <c r="V66" s="461"/>
      <c r="W66" s="461"/>
      <c r="X66" s="462"/>
      <c r="Y66" s="25"/>
    </row>
    <row r="67" spans="1:25" s="16" customFormat="1" ht="21.75" customHeight="1">
      <c r="A67" s="463"/>
      <c r="B67" s="464"/>
      <c r="C67" s="464"/>
      <c r="D67" s="464"/>
      <c r="E67" s="464"/>
      <c r="F67" s="464"/>
      <c r="G67" s="464"/>
      <c r="H67" s="464"/>
      <c r="I67" s="464"/>
      <c r="J67" s="464"/>
      <c r="K67" s="464"/>
      <c r="L67" s="464"/>
      <c r="M67" s="464"/>
      <c r="N67" s="464"/>
      <c r="O67" s="464"/>
      <c r="P67" s="464"/>
      <c r="Q67" s="464"/>
      <c r="R67" s="464"/>
      <c r="S67" s="464"/>
      <c r="T67" s="464"/>
      <c r="U67" s="464"/>
      <c r="V67" s="464"/>
      <c r="W67" s="464"/>
      <c r="X67" s="465"/>
      <c r="Y67" s="25"/>
    </row>
    <row r="68" spans="1:25" s="16" customFormat="1" ht="3" customHeight="1" thickBot="1">
      <c r="A68" s="460"/>
      <c r="B68" s="461"/>
      <c r="C68" s="461"/>
      <c r="D68" s="461"/>
      <c r="E68" s="461"/>
      <c r="F68" s="461"/>
      <c r="G68" s="461"/>
      <c r="H68" s="461"/>
      <c r="I68" s="461"/>
      <c r="J68" s="461"/>
      <c r="K68" s="461"/>
      <c r="L68" s="461"/>
      <c r="M68" s="461"/>
      <c r="N68" s="461"/>
      <c r="O68" s="461"/>
      <c r="P68" s="461"/>
      <c r="Q68" s="461"/>
      <c r="R68" s="461"/>
      <c r="S68" s="461"/>
      <c r="T68" s="461"/>
      <c r="U68" s="461"/>
      <c r="V68" s="461"/>
      <c r="W68" s="461"/>
      <c r="X68" s="462"/>
      <c r="Y68" s="25"/>
    </row>
    <row r="69" spans="1:25" ht="12">
      <c r="A69" s="466" t="s">
        <v>115</v>
      </c>
      <c r="B69" s="467"/>
      <c r="C69" s="467"/>
      <c r="D69" s="467"/>
      <c r="E69" s="467"/>
      <c r="F69" s="467"/>
      <c r="G69" s="467"/>
      <c r="H69" s="467"/>
      <c r="I69" s="467"/>
      <c r="J69" s="467"/>
      <c r="K69" s="467"/>
      <c r="L69" s="467"/>
      <c r="M69" s="467"/>
      <c r="N69" s="467"/>
      <c r="O69" s="467"/>
      <c r="P69" s="467"/>
      <c r="Q69" s="467"/>
      <c r="R69" s="467"/>
      <c r="S69" s="467"/>
      <c r="T69" s="467"/>
      <c r="U69" s="467"/>
      <c r="V69" s="467"/>
      <c r="W69" s="467"/>
      <c r="X69" s="468"/>
      <c r="Y69" s="23"/>
    </row>
    <row r="70" spans="1:25" s="16" customFormat="1" ht="27" customHeight="1">
      <c r="A70" s="460"/>
      <c r="B70" s="461"/>
      <c r="C70" s="461"/>
      <c r="D70" s="461"/>
      <c r="E70" s="461"/>
      <c r="F70" s="461"/>
      <c r="G70" s="461"/>
      <c r="H70" s="461"/>
      <c r="I70" s="461"/>
      <c r="J70" s="461"/>
      <c r="K70" s="461"/>
      <c r="L70" s="461"/>
      <c r="M70" s="461"/>
      <c r="N70" s="461"/>
      <c r="O70" s="461"/>
      <c r="P70" s="461"/>
      <c r="Q70" s="461"/>
      <c r="R70" s="461"/>
      <c r="S70" s="461"/>
      <c r="T70" s="461"/>
      <c r="U70" s="461"/>
      <c r="V70" s="461"/>
      <c r="W70" s="461"/>
      <c r="X70" s="462"/>
      <c r="Y70" s="25"/>
    </row>
    <row r="71" spans="1:25" s="16" customFormat="1" ht="19.5" customHeight="1">
      <c r="A71" s="463"/>
      <c r="B71" s="464"/>
      <c r="C71" s="464"/>
      <c r="D71" s="464"/>
      <c r="E71" s="464"/>
      <c r="F71" s="464"/>
      <c r="G71" s="464"/>
      <c r="H71" s="464"/>
      <c r="I71" s="464"/>
      <c r="J71" s="464"/>
      <c r="K71" s="464"/>
      <c r="L71" s="464"/>
      <c r="M71" s="464"/>
      <c r="N71" s="464"/>
      <c r="O71" s="464"/>
      <c r="P71" s="464"/>
      <c r="Q71" s="464"/>
      <c r="R71" s="464"/>
      <c r="S71" s="464"/>
      <c r="T71" s="464"/>
      <c r="U71" s="464"/>
      <c r="V71" s="464"/>
      <c r="W71" s="464"/>
      <c r="X71" s="465"/>
      <c r="Y71" s="25"/>
    </row>
    <row r="72" spans="1:25" s="16" customFormat="1" ht="2.25" customHeight="1" thickBot="1">
      <c r="A72" s="460"/>
      <c r="B72" s="461"/>
      <c r="C72" s="461"/>
      <c r="D72" s="461"/>
      <c r="E72" s="461"/>
      <c r="F72" s="461"/>
      <c r="G72" s="461"/>
      <c r="H72" s="461"/>
      <c r="I72" s="461"/>
      <c r="J72" s="461"/>
      <c r="K72" s="461"/>
      <c r="L72" s="461"/>
      <c r="M72" s="461"/>
      <c r="N72" s="461"/>
      <c r="O72" s="461"/>
      <c r="P72" s="461"/>
      <c r="Q72" s="461"/>
      <c r="R72" s="461"/>
      <c r="S72" s="461"/>
      <c r="T72" s="461"/>
      <c r="U72" s="461"/>
      <c r="V72" s="461"/>
      <c r="W72" s="461"/>
      <c r="X72" s="462"/>
      <c r="Y72" s="25"/>
    </row>
    <row r="73" spans="1:25" s="16" customFormat="1" ht="12">
      <c r="A73" s="466" t="s">
        <v>116</v>
      </c>
      <c r="B73" s="467"/>
      <c r="C73" s="467"/>
      <c r="D73" s="467"/>
      <c r="E73" s="467"/>
      <c r="F73" s="467"/>
      <c r="G73" s="467"/>
      <c r="H73" s="467"/>
      <c r="I73" s="467"/>
      <c r="J73" s="467"/>
      <c r="K73" s="467"/>
      <c r="L73" s="467"/>
      <c r="M73" s="467"/>
      <c r="N73" s="467"/>
      <c r="O73" s="467"/>
      <c r="P73" s="467"/>
      <c r="Q73" s="467"/>
      <c r="R73" s="467"/>
      <c r="S73" s="467"/>
      <c r="T73" s="467"/>
      <c r="U73" s="467"/>
      <c r="V73" s="467"/>
      <c r="W73" s="467"/>
      <c r="X73" s="468"/>
      <c r="Y73" s="25"/>
    </row>
    <row r="74" spans="1:25" s="17" customFormat="1" ht="27" customHeight="1">
      <c r="A74" s="460"/>
      <c r="B74" s="461"/>
      <c r="C74" s="461"/>
      <c r="D74" s="461"/>
      <c r="E74" s="461"/>
      <c r="F74" s="461"/>
      <c r="G74" s="461"/>
      <c r="H74" s="461"/>
      <c r="I74" s="461"/>
      <c r="J74" s="461"/>
      <c r="K74" s="461"/>
      <c r="L74" s="461"/>
      <c r="M74" s="461"/>
      <c r="N74" s="461"/>
      <c r="O74" s="461"/>
      <c r="P74" s="461"/>
      <c r="Q74" s="461"/>
      <c r="R74" s="461"/>
      <c r="S74" s="461"/>
      <c r="T74" s="461"/>
      <c r="U74" s="461"/>
      <c r="V74" s="461"/>
      <c r="W74" s="461"/>
      <c r="X74" s="462"/>
      <c r="Y74" s="26"/>
    </row>
    <row r="75" spans="1:25" s="17" customFormat="1" ht="24" customHeight="1">
      <c r="A75" s="463"/>
      <c r="B75" s="464"/>
      <c r="C75" s="464"/>
      <c r="D75" s="464"/>
      <c r="E75" s="464"/>
      <c r="F75" s="464"/>
      <c r="G75" s="464"/>
      <c r="H75" s="464"/>
      <c r="I75" s="464"/>
      <c r="J75" s="464"/>
      <c r="K75" s="464"/>
      <c r="L75" s="464"/>
      <c r="M75" s="464"/>
      <c r="N75" s="464"/>
      <c r="O75" s="464"/>
      <c r="P75" s="464"/>
      <c r="Q75" s="464"/>
      <c r="R75" s="464"/>
      <c r="S75" s="464"/>
      <c r="T75" s="464"/>
      <c r="U75" s="464"/>
      <c r="V75" s="464"/>
      <c r="W75" s="464"/>
      <c r="X75" s="465"/>
      <c r="Y75" s="26"/>
    </row>
    <row r="76" spans="1:25" s="16" customFormat="1" ht="2.25" customHeight="1" thickBot="1">
      <c r="A76" s="482"/>
      <c r="B76" s="483"/>
      <c r="C76" s="483"/>
      <c r="D76" s="483"/>
      <c r="E76" s="483"/>
      <c r="F76" s="483"/>
      <c r="G76" s="483"/>
      <c r="H76" s="483"/>
      <c r="I76" s="483"/>
      <c r="J76" s="483"/>
      <c r="K76" s="483"/>
      <c r="L76" s="483"/>
      <c r="M76" s="483"/>
      <c r="N76" s="483"/>
      <c r="O76" s="483"/>
      <c r="P76" s="483"/>
      <c r="Q76" s="483"/>
      <c r="R76" s="483"/>
      <c r="S76" s="483"/>
      <c r="T76" s="483"/>
      <c r="U76" s="483"/>
      <c r="V76" s="483"/>
      <c r="W76" s="483"/>
      <c r="X76" s="484"/>
      <c r="Y76" s="25"/>
    </row>
    <row r="77" spans="1:25" s="16" customFormat="1" ht="12">
      <c r="A77" s="466" t="s">
        <v>117</v>
      </c>
      <c r="B77" s="467"/>
      <c r="C77" s="467"/>
      <c r="D77" s="467"/>
      <c r="E77" s="467"/>
      <c r="F77" s="467"/>
      <c r="G77" s="467"/>
      <c r="H77" s="467"/>
      <c r="I77" s="467"/>
      <c r="J77" s="467"/>
      <c r="K77" s="467"/>
      <c r="L77" s="467"/>
      <c r="M77" s="467"/>
      <c r="N77" s="467"/>
      <c r="O77" s="467"/>
      <c r="P77" s="467"/>
      <c r="Q77" s="467"/>
      <c r="R77" s="467"/>
      <c r="S77" s="467"/>
      <c r="T77" s="467"/>
      <c r="U77" s="467"/>
      <c r="V77" s="467"/>
      <c r="W77" s="467"/>
      <c r="X77" s="468"/>
      <c r="Y77" s="25"/>
    </row>
    <row r="78" spans="1:25" s="16" customFormat="1" ht="27.75" customHeight="1">
      <c r="A78" s="460"/>
      <c r="B78" s="461"/>
      <c r="C78" s="461"/>
      <c r="D78" s="461"/>
      <c r="E78" s="461"/>
      <c r="F78" s="461"/>
      <c r="G78" s="461"/>
      <c r="H78" s="461"/>
      <c r="I78" s="461"/>
      <c r="J78" s="461"/>
      <c r="K78" s="461"/>
      <c r="L78" s="461"/>
      <c r="M78" s="461"/>
      <c r="N78" s="461"/>
      <c r="O78" s="461"/>
      <c r="P78" s="461"/>
      <c r="Q78" s="461"/>
      <c r="R78" s="461"/>
      <c r="S78" s="461"/>
      <c r="T78" s="461"/>
      <c r="U78" s="461"/>
      <c r="V78" s="461"/>
      <c r="W78" s="461"/>
      <c r="X78" s="462"/>
      <c r="Y78" s="25"/>
    </row>
    <row r="79" spans="1:25" s="16" customFormat="1" ht="25.5" customHeight="1">
      <c r="A79" s="463"/>
      <c r="B79" s="464"/>
      <c r="C79" s="464"/>
      <c r="D79" s="464"/>
      <c r="E79" s="464"/>
      <c r="F79" s="464"/>
      <c r="G79" s="464"/>
      <c r="H79" s="464"/>
      <c r="I79" s="464"/>
      <c r="J79" s="464"/>
      <c r="K79" s="464"/>
      <c r="L79" s="464"/>
      <c r="M79" s="464"/>
      <c r="N79" s="464"/>
      <c r="O79" s="464"/>
      <c r="P79" s="464"/>
      <c r="Q79" s="464"/>
      <c r="R79" s="464"/>
      <c r="S79" s="464"/>
      <c r="T79" s="464"/>
      <c r="U79" s="464"/>
      <c r="V79" s="464"/>
      <c r="W79" s="464"/>
      <c r="X79" s="465"/>
      <c r="Y79" s="25"/>
    </row>
    <row r="80" spans="1:25" s="16" customFormat="1" ht="2.25" customHeight="1" thickBot="1">
      <c r="A80" s="460"/>
      <c r="B80" s="461"/>
      <c r="C80" s="461"/>
      <c r="D80" s="461"/>
      <c r="E80" s="461"/>
      <c r="F80" s="461"/>
      <c r="G80" s="461"/>
      <c r="H80" s="461"/>
      <c r="I80" s="461"/>
      <c r="J80" s="461"/>
      <c r="K80" s="461"/>
      <c r="L80" s="461"/>
      <c r="M80" s="461"/>
      <c r="N80" s="461"/>
      <c r="O80" s="461"/>
      <c r="P80" s="461"/>
      <c r="Q80" s="461"/>
      <c r="R80" s="461"/>
      <c r="S80" s="461"/>
      <c r="T80" s="461"/>
      <c r="U80" s="461"/>
      <c r="V80" s="461"/>
      <c r="W80" s="461"/>
      <c r="X80" s="462"/>
      <c r="Y80" s="25"/>
    </row>
    <row r="81" spans="1:25" ht="12">
      <c r="A81" s="466" t="s">
        <v>118</v>
      </c>
      <c r="B81" s="467"/>
      <c r="C81" s="467"/>
      <c r="D81" s="467"/>
      <c r="E81" s="467"/>
      <c r="F81" s="467"/>
      <c r="G81" s="467"/>
      <c r="H81" s="467"/>
      <c r="I81" s="467"/>
      <c r="J81" s="467"/>
      <c r="K81" s="467"/>
      <c r="L81" s="467"/>
      <c r="M81" s="467"/>
      <c r="N81" s="467"/>
      <c r="O81" s="467"/>
      <c r="P81" s="467"/>
      <c r="Q81" s="467"/>
      <c r="R81" s="467"/>
      <c r="S81" s="467"/>
      <c r="T81" s="467"/>
      <c r="U81" s="467"/>
      <c r="V81" s="467"/>
      <c r="W81" s="467"/>
      <c r="X81" s="468"/>
      <c r="Y81" s="23"/>
    </row>
    <row r="82" spans="1:25" s="16" customFormat="1" ht="24" customHeight="1">
      <c r="A82" s="460"/>
      <c r="B82" s="461"/>
      <c r="C82" s="461"/>
      <c r="D82" s="461"/>
      <c r="E82" s="461"/>
      <c r="F82" s="461"/>
      <c r="G82" s="461"/>
      <c r="H82" s="461"/>
      <c r="I82" s="461"/>
      <c r="J82" s="461"/>
      <c r="K82" s="461"/>
      <c r="L82" s="461"/>
      <c r="M82" s="461"/>
      <c r="N82" s="461"/>
      <c r="O82" s="461"/>
      <c r="P82" s="461"/>
      <c r="Q82" s="461"/>
      <c r="R82" s="461"/>
      <c r="S82" s="461"/>
      <c r="T82" s="461"/>
      <c r="U82" s="461"/>
      <c r="V82" s="461"/>
      <c r="W82" s="461"/>
      <c r="X82" s="462"/>
      <c r="Y82" s="25"/>
    </row>
    <row r="83" spans="1:25" s="16" customFormat="1" ht="24.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5"/>
      <c r="Y83" s="25"/>
    </row>
    <row r="84" spans="1:25" s="16" customFormat="1" ht="3" customHeight="1" thickBot="1">
      <c r="A84" s="460"/>
      <c r="B84" s="461"/>
      <c r="C84" s="461"/>
      <c r="D84" s="461"/>
      <c r="E84" s="461"/>
      <c r="F84" s="461"/>
      <c r="G84" s="461"/>
      <c r="H84" s="461"/>
      <c r="I84" s="461"/>
      <c r="J84" s="461"/>
      <c r="K84" s="461"/>
      <c r="L84" s="461"/>
      <c r="M84" s="461"/>
      <c r="N84" s="461"/>
      <c r="O84" s="461"/>
      <c r="P84" s="461"/>
      <c r="Q84" s="461"/>
      <c r="R84" s="461"/>
      <c r="S84" s="461"/>
      <c r="T84" s="461"/>
      <c r="U84" s="461"/>
      <c r="V84" s="461"/>
      <c r="W84" s="461"/>
      <c r="X84" s="462"/>
      <c r="Y84" s="25"/>
    </row>
    <row r="85" spans="1:25" ht="12">
      <c r="A85" s="466" t="s">
        <v>119</v>
      </c>
      <c r="B85" s="467"/>
      <c r="C85" s="467"/>
      <c r="D85" s="467"/>
      <c r="E85" s="467"/>
      <c r="F85" s="467"/>
      <c r="G85" s="467"/>
      <c r="H85" s="467"/>
      <c r="I85" s="467"/>
      <c r="J85" s="467"/>
      <c r="K85" s="467"/>
      <c r="L85" s="467"/>
      <c r="M85" s="467"/>
      <c r="N85" s="467"/>
      <c r="O85" s="467"/>
      <c r="P85" s="467"/>
      <c r="Q85" s="467"/>
      <c r="R85" s="467"/>
      <c r="S85" s="467"/>
      <c r="T85" s="467"/>
      <c r="U85" s="467"/>
      <c r="V85" s="467"/>
      <c r="W85" s="467"/>
      <c r="X85" s="468"/>
      <c r="Y85" s="23"/>
    </row>
    <row r="86" spans="1:25" s="16" customFormat="1" ht="19.5" customHeight="1">
      <c r="A86" s="469" t="s">
        <v>120</v>
      </c>
      <c r="B86" s="470"/>
      <c r="C86" s="470"/>
      <c r="D86" s="470"/>
      <c r="E86" s="470"/>
      <c r="F86" s="470"/>
      <c r="G86" s="470"/>
      <c r="H86" s="470"/>
      <c r="I86" s="470"/>
      <c r="J86" s="470"/>
      <c r="K86" s="470"/>
      <c r="L86" s="470"/>
      <c r="M86" s="470"/>
      <c r="N86" s="470"/>
      <c r="O86" s="470"/>
      <c r="P86" s="470"/>
      <c r="Q86" s="470"/>
      <c r="R86" s="470"/>
      <c r="S86" s="470"/>
      <c r="T86" s="470"/>
      <c r="U86" s="470"/>
      <c r="V86" s="470"/>
      <c r="W86" s="470"/>
      <c r="X86" s="471"/>
      <c r="Y86" s="25"/>
    </row>
    <row r="87" spans="1:25" s="16" customFormat="1" ht="30.75" customHeight="1" thickBot="1">
      <c r="A87" s="472"/>
      <c r="B87" s="473"/>
      <c r="C87" s="473"/>
      <c r="D87" s="473"/>
      <c r="E87" s="473"/>
      <c r="F87" s="473"/>
      <c r="G87" s="473"/>
      <c r="H87" s="473"/>
      <c r="I87" s="473"/>
      <c r="J87" s="473"/>
      <c r="K87" s="473"/>
      <c r="L87" s="473"/>
      <c r="M87" s="473"/>
      <c r="N87" s="473"/>
      <c r="O87" s="473"/>
      <c r="P87" s="473"/>
      <c r="Q87" s="473"/>
      <c r="R87" s="473"/>
      <c r="S87" s="473"/>
      <c r="T87" s="473"/>
      <c r="U87" s="473"/>
      <c r="V87" s="473"/>
      <c r="W87" s="473"/>
      <c r="X87" s="474"/>
      <c r="Y87" s="25"/>
    </row>
    <row r="88" spans="1:25" ht="15" customHeight="1">
      <c r="A88" s="475"/>
      <c r="B88" s="476"/>
      <c r="C88" s="476"/>
      <c r="D88" s="476"/>
      <c r="E88" s="476"/>
      <c r="F88" s="476"/>
      <c r="G88" s="476"/>
      <c r="H88" s="476"/>
      <c r="I88" s="476"/>
      <c r="J88" s="476"/>
      <c r="K88" s="476"/>
      <c r="L88" s="476"/>
      <c r="M88" s="476"/>
      <c r="N88" s="476"/>
      <c r="O88" s="476"/>
      <c r="P88" s="476"/>
      <c r="Q88" s="476"/>
      <c r="R88" s="476"/>
      <c r="S88" s="476"/>
      <c r="T88" s="476"/>
      <c r="U88" s="476"/>
      <c r="V88" s="476"/>
      <c r="W88" s="476"/>
      <c r="X88" s="477"/>
      <c r="Y88" s="23"/>
    </row>
    <row r="89" spans="1:25" ht="15" customHeight="1">
      <c r="A89" s="478"/>
      <c r="B89" s="476"/>
      <c r="C89" s="476"/>
      <c r="D89" s="476"/>
      <c r="E89" s="476"/>
      <c r="F89" s="476"/>
      <c r="G89" s="476"/>
      <c r="H89" s="476"/>
      <c r="I89" s="476"/>
      <c r="J89" s="476"/>
      <c r="K89" s="476"/>
      <c r="L89" s="476"/>
      <c r="M89" s="476"/>
      <c r="N89" s="476"/>
      <c r="O89" s="476"/>
      <c r="P89" s="476"/>
      <c r="Q89" s="476"/>
      <c r="R89" s="476"/>
      <c r="S89" s="476"/>
      <c r="T89" s="476"/>
      <c r="U89" s="476"/>
      <c r="V89" s="476"/>
      <c r="W89" s="476"/>
      <c r="X89" s="477"/>
      <c r="Y89" s="23"/>
    </row>
    <row r="90" spans="1:25" ht="15" customHeight="1">
      <c r="A90" s="478"/>
      <c r="B90" s="476"/>
      <c r="C90" s="476"/>
      <c r="D90" s="476"/>
      <c r="E90" s="476"/>
      <c r="F90" s="476"/>
      <c r="G90" s="476"/>
      <c r="H90" s="476"/>
      <c r="I90" s="476"/>
      <c r="J90" s="476"/>
      <c r="K90" s="476"/>
      <c r="L90" s="476"/>
      <c r="M90" s="476"/>
      <c r="N90" s="476"/>
      <c r="O90" s="476"/>
      <c r="P90" s="476"/>
      <c r="Q90" s="476"/>
      <c r="R90" s="476"/>
      <c r="S90" s="476"/>
      <c r="T90" s="476"/>
      <c r="U90" s="476"/>
      <c r="V90" s="476"/>
      <c r="W90" s="476"/>
      <c r="X90" s="477"/>
      <c r="Y90" s="23"/>
    </row>
    <row r="91" spans="1:25" ht="15" customHeight="1">
      <c r="A91" s="478"/>
      <c r="B91" s="476"/>
      <c r="C91" s="476"/>
      <c r="D91" s="476"/>
      <c r="E91" s="476"/>
      <c r="F91" s="476"/>
      <c r="G91" s="476"/>
      <c r="H91" s="476"/>
      <c r="I91" s="476"/>
      <c r="J91" s="476"/>
      <c r="K91" s="476"/>
      <c r="L91" s="476"/>
      <c r="M91" s="476"/>
      <c r="N91" s="476"/>
      <c r="O91" s="476"/>
      <c r="P91" s="476"/>
      <c r="Q91" s="476"/>
      <c r="R91" s="476"/>
      <c r="S91" s="476"/>
      <c r="T91" s="476"/>
      <c r="U91" s="476"/>
      <c r="V91" s="476"/>
      <c r="W91" s="476"/>
      <c r="X91" s="477"/>
      <c r="Y91" s="23"/>
    </row>
    <row r="92" spans="1:25" ht="15" customHeight="1" thickBot="1">
      <c r="A92" s="479"/>
      <c r="B92" s="480"/>
      <c r="C92" s="480"/>
      <c r="D92" s="480"/>
      <c r="E92" s="480"/>
      <c r="F92" s="480"/>
      <c r="G92" s="480"/>
      <c r="H92" s="480"/>
      <c r="I92" s="480"/>
      <c r="J92" s="480"/>
      <c r="K92" s="480"/>
      <c r="L92" s="480"/>
      <c r="M92" s="480"/>
      <c r="N92" s="480"/>
      <c r="O92" s="480"/>
      <c r="P92" s="480"/>
      <c r="Q92" s="480"/>
      <c r="R92" s="480"/>
      <c r="S92" s="480"/>
      <c r="T92" s="480"/>
      <c r="U92" s="480"/>
      <c r="V92" s="480"/>
      <c r="W92" s="480"/>
      <c r="X92" s="481"/>
      <c r="Y92" s="23"/>
    </row>
  </sheetData>
  <sheetProtection algorithmName="SHA-512" hashValue="JqMYGfGw0bl7ewW2/1mYCigdUlC2Yc106e/n358eYiZYkRd3YMH2hYzvnlZnPAepglVuoQ/a5UxcbxaskHPFWA==" saltValue="XIWed12ipM2O8Lz3XZR7Xw==" spinCount="100000" sheet="1" objects="1" scenarios="1"/>
  <mergeCells count="164">
    <mergeCell ref="A74:X75"/>
    <mergeCell ref="A5:X5"/>
    <mergeCell ref="A6:B6"/>
    <mergeCell ref="C6:X6"/>
    <mergeCell ref="A7:B7"/>
    <mergeCell ref="C7:X7"/>
    <mergeCell ref="A8:B8"/>
    <mergeCell ref="C8:X8"/>
    <mergeCell ref="A1:B4"/>
    <mergeCell ref="C1:D2"/>
    <mergeCell ref="E1:Q2"/>
    <mergeCell ref="R1:T2"/>
    <mergeCell ref="U1:X2"/>
    <mergeCell ref="C3:D4"/>
    <mergeCell ref="E3:Q4"/>
    <mergeCell ref="R3:T4"/>
    <mergeCell ref="U3:X4"/>
    <mergeCell ref="A9:B9"/>
    <mergeCell ref="C9:X9"/>
    <mergeCell ref="A10:B13"/>
    <mergeCell ref="C10:E10"/>
    <mergeCell ref="F10:M10"/>
    <mergeCell ref="N10:X10"/>
    <mergeCell ref="C11:E11"/>
    <mergeCell ref="F11:M13"/>
    <mergeCell ref="N11:Q12"/>
    <mergeCell ref="R11:T12"/>
    <mergeCell ref="A14:X14"/>
    <mergeCell ref="B15:C15"/>
    <mergeCell ref="D15:E15"/>
    <mergeCell ref="F15:I15"/>
    <mergeCell ref="J15:R15"/>
    <mergeCell ref="S15:X15"/>
    <mergeCell ref="U11:X12"/>
    <mergeCell ref="C12:E12"/>
    <mergeCell ref="C13:E13"/>
    <mergeCell ref="N13:Q13"/>
    <mergeCell ref="R13:T13"/>
    <mergeCell ref="U13:X13"/>
    <mergeCell ref="S16:X18"/>
    <mergeCell ref="J17:M17"/>
    <mergeCell ref="N17:R17"/>
    <mergeCell ref="J18:M18"/>
    <mergeCell ref="N18:R18"/>
    <mergeCell ref="A19:X19"/>
    <mergeCell ref="A16:A18"/>
    <mergeCell ref="B16:C18"/>
    <mergeCell ref="D16:E18"/>
    <mergeCell ref="F16:I18"/>
    <mergeCell ref="J16:M16"/>
    <mergeCell ref="N16:R16"/>
    <mergeCell ref="U22:V22"/>
    <mergeCell ref="A23:B23"/>
    <mergeCell ref="F23:H23"/>
    <mergeCell ref="J23:L23"/>
    <mergeCell ref="N23:O23"/>
    <mergeCell ref="P23:R23"/>
    <mergeCell ref="S23:T23"/>
    <mergeCell ref="U23:V23"/>
    <mergeCell ref="A20:E20"/>
    <mergeCell ref="F20:N20"/>
    <mergeCell ref="O20:X20"/>
    <mergeCell ref="A21:X21"/>
    <mergeCell ref="A22:B22"/>
    <mergeCell ref="F22:H22"/>
    <mergeCell ref="J22:L22"/>
    <mergeCell ref="N22:O22"/>
    <mergeCell ref="P22:R22"/>
    <mergeCell ref="S22:T22"/>
    <mergeCell ref="U24:V24"/>
    <mergeCell ref="A25:X25"/>
    <mergeCell ref="G26:H27"/>
    <mergeCell ref="I26:L26"/>
    <mergeCell ref="M26:N27"/>
    <mergeCell ref="O26:Q27"/>
    <mergeCell ref="R26:X26"/>
    <mergeCell ref="I27:J27"/>
    <mergeCell ref="R27:X39"/>
    <mergeCell ref="G28:H28"/>
    <mergeCell ref="A24:B24"/>
    <mergeCell ref="F24:H24"/>
    <mergeCell ref="J24:L24"/>
    <mergeCell ref="N24:O24"/>
    <mergeCell ref="P24:R24"/>
    <mergeCell ref="S24:T24"/>
    <mergeCell ref="G30:H30"/>
    <mergeCell ref="I30:J30"/>
    <mergeCell ref="M30:N30"/>
    <mergeCell ref="O30:Q30"/>
    <mergeCell ref="G31:H31"/>
    <mergeCell ref="I31:J31"/>
    <mergeCell ref="M31:N31"/>
    <mergeCell ref="O31:Q31"/>
    <mergeCell ref="I28:J28"/>
    <mergeCell ref="M28:N28"/>
    <mergeCell ref="O28:Q28"/>
    <mergeCell ref="G29:H29"/>
    <mergeCell ref="I29:J29"/>
    <mergeCell ref="M29:N29"/>
    <mergeCell ref="O29:Q29"/>
    <mergeCell ref="G34:H34"/>
    <mergeCell ref="I34:J34"/>
    <mergeCell ref="M34:N34"/>
    <mergeCell ref="O34:Q34"/>
    <mergeCell ref="G35:H35"/>
    <mergeCell ref="I35:J35"/>
    <mergeCell ref="M35:N35"/>
    <mergeCell ref="O35:Q35"/>
    <mergeCell ref="G32:H32"/>
    <mergeCell ref="I32:J32"/>
    <mergeCell ref="M32:N32"/>
    <mergeCell ref="O32:Q32"/>
    <mergeCell ref="G33:H33"/>
    <mergeCell ref="I33:J33"/>
    <mergeCell ref="M33:N33"/>
    <mergeCell ref="O33:Q33"/>
    <mergeCell ref="G39:H39"/>
    <mergeCell ref="I39:J39"/>
    <mergeCell ref="M39:N39"/>
    <mergeCell ref="O39:Q39"/>
    <mergeCell ref="A40:X40"/>
    <mergeCell ref="A41:X41"/>
    <mergeCell ref="G36:H36"/>
    <mergeCell ref="I36:J36"/>
    <mergeCell ref="M36:N36"/>
    <mergeCell ref="O36:Q36"/>
    <mergeCell ref="G37:H37"/>
    <mergeCell ref="I37:J37"/>
    <mergeCell ref="M37:N37"/>
    <mergeCell ref="O37:Q37"/>
    <mergeCell ref="A50:X51"/>
    <mergeCell ref="A52:X52"/>
    <mergeCell ref="A53:X53"/>
    <mergeCell ref="A54:X55"/>
    <mergeCell ref="A56:X56"/>
    <mergeCell ref="A57:X57"/>
    <mergeCell ref="A42:X43"/>
    <mergeCell ref="A44:X44"/>
    <mergeCell ref="A45:X45"/>
    <mergeCell ref="A46:X47"/>
    <mergeCell ref="A48:X48"/>
    <mergeCell ref="A49:X49"/>
    <mergeCell ref="A66:X67"/>
    <mergeCell ref="A68:X68"/>
    <mergeCell ref="A69:X69"/>
    <mergeCell ref="A70:X71"/>
    <mergeCell ref="A72:X72"/>
    <mergeCell ref="A73:X73"/>
    <mergeCell ref="A58:X59"/>
    <mergeCell ref="A60:X60"/>
    <mergeCell ref="A61:X61"/>
    <mergeCell ref="A62:X63"/>
    <mergeCell ref="A64:X64"/>
    <mergeCell ref="A65:X65"/>
    <mergeCell ref="A82:X83"/>
    <mergeCell ref="A84:X84"/>
    <mergeCell ref="A85:X85"/>
    <mergeCell ref="A86:X87"/>
    <mergeCell ref="A88:X92"/>
    <mergeCell ref="A76:X76"/>
    <mergeCell ref="A77:X77"/>
    <mergeCell ref="A78:X79"/>
    <mergeCell ref="A80:X80"/>
    <mergeCell ref="A81:X81"/>
  </mergeCells>
  <printOptions horizontalCentered="1"/>
  <pageMargins left="0.23622047244094491" right="0.23622047244094491" top="0.74803149606299213" bottom="0.74803149606299213" header="0.31496062992125984" footer="0.31496062992125984"/>
  <pageSetup paperSize="5" scale="80" firstPageNumber="0" pageOrder="overThenDown" orientation="portrait" r:id="rId1"/>
  <headerFooter alignWithMargins="0"/>
  <ignoredErrors>
    <ignoredError sqref="C8:C9"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9ED6-CA8B-454C-9AFC-CE9AC915AA7B}">
  <sheetPr codeName="Hoja9"/>
  <dimension ref="A1:I64"/>
  <sheetViews>
    <sheetView zoomScaleNormal="100" workbookViewId="0">
      <pane ySplit="9" topLeftCell="A10" activePane="bottomLeft" state="frozen"/>
      <selection activeCell="D16" sqref="D16"/>
      <selection pane="bottomLeft" activeCell="D14" sqref="D14"/>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58" t="s">
        <v>1587</v>
      </c>
      <c r="D7" s="658"/>
      <c r="E7" s="42"/>
      <c r="F7" s="36"/>
      <c r="G7" s="36"/>
    </row>
    <row r="8" spans="1:7">
      <c r="A8" s="36"/>
      <c r="B8" s="41"/>
      <c r="C8" s="658"/>
      <c r="D8" s="658"/>
      <c r="E8" s="42"/>
      <c r="F8" s="36"/>
      <c r="G8" s="36"/>
    </row>
    <row r="9" spans="1:7">
      <c r="A9" s="36"/>
      <c r="B9" s="41"/>
      <c r="C9" s="51"/>
      <c r="D9" s="36"/>
      <c r="E9" s="42"/>
      <c r="F9" s="36"/>
      <c r="G9" s="36"/>
    </row>
    <row r="10" spans="1:7" ht="57">
      <c r="A10" s="36"/>
      <c r="B10" s="41"/>
      <c r="C10" s="56" t="s">
        <v>642</v>
      </c>
      <c r="D10" s="60" t="s">
        <v>674</v>
      </c>
      <c r="E10" s="42"/>
      <c r="F10" s="36"/>
      <c r="G10" s="36"/>
    </row>
    <row r="11" spans="1:7" ht="42.75">
      <c r="A11" s="36"/>
      <c r="B11" s="41"/>
      <c r="C11" s="56" t="s">
        <v>602</v>
      </c>
      <c r="D11" s="60" t="s">
        <v>604</v>
      </c>
      <c r="E11" s="42"/>
      <c r="F11" s="36"/>
      <c r="G11" s="36"/>
    </row>
    <row r="12" spans="1:7" ht="42.75">
      <c r="A12" s="36"/>
      <c r="B12" s="41"/>
      <c r="C12" s="56" t="s">
        <v>575</v>
      </c>
      <c r="D12" s="60" t="s">
        <v>577</v>
      </c>
      <c r="E12" s="42"/>
      <c r="F12" s="36"/>
      <c r="G12" s="36"/>
    </row>
    <row r="13" spans="1:7" ht="71.25">
      <c r="A13" s="36"/>
      <c r="B13" s="41"/>
      <c r="C13" s="56" t="s">
        <v>579</v>
      </c>
      <c r="D13" s="60" t="s">
        <v>581</v>
      </c>
      <c r="E13" s="42"/>
      <c r="F13" s="36"/>
      <c r="G13" s="36"/>
    </row>
    <row r="14" spans="1:7" ht="42.75">
      <c r="A14" s="36"/>
      <c r="B14" s="41"/>
      <c r="C14" s="56" t="s">
        <v>584</v>
      </c>
      <c r="D14" s="60" t="s">
        <v>586</v>
      </c>
      <c r="E14" s="42"/>
      <c r="F14" s="36"/>
      <c r="G14" s="36"/>
    </row>
    <row r="15" spans="1:7" ht="42.75">
      <c r="A15" s="36"/>
      <c r="B15" s="41"/>
      <c r="C15" s="56" t="s">
        <v>460</v>
      </c>
      <c r="D15" s="60" t="s">
        <v>462</v>
      </c>
      <c r="E15" s="42"/>
      <c r="F15" s="36"/>
      <c r="G15" s="36"/>
    </row>
    <row r="16" spans="1:7" ht="57">
      <c r="A16" s="36"/>
      <c r="B16" s="41"/>
      <c r="C16" s="56" t="s">
        <v>466</v>
      </c>
      <c r="D16" s="60" t="s">
        <v>468</v>
      </c>
      <c r="E16" s="42"/>
      <c r="F16" s="36"/>
      <c r="G16" s="36"/>
    </row>
    <row r="17" spans="1:7" ht="28.5">
      <c r="A17" s="36"/>
      <c r="B17" s="41"/>
      <c r="C17" s="56" t="s">
        <v>223</v>
      </c>
      <c r="D17" s="60" t="s">
        <v>456</v>
      </c>
      <c r="E17" s="42"/>
      <c r="F17" s="36"/>
      <c r="G17" s="36"/>
    </row>
    <row r="18" spans="1:7" ht="15" thickBot="1">
      <c r="A18" s="36"/>
      <c r="B18" s="43"/>
      <c r="C18" s="54"/>
      <c r="D18" s="44"/>
      <c r="E18" s="45"/>
      <c r="F18" s="36"/>
    </row>
    <row r="19" spans="1:7">
      <c r="A19" s="36"/>
      <c r="B19" s="36"/>
      <c r="C19" s="51"/>
      <c r="D19" s="36"/>
      <c r="E19" s="36"/>
      <c r="F19" s="36"/>
    </row>
    <row r="20" spans="1:7"/>
    <row r="21" spans="1:7"/>
    <row r="22" spans="1:7"/>
    <row r="23" spans="1:7"/>
    <row r="24" spans="1:7"/>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sheetData>
  <mergeCells count="1">
    <mergeCell ref="C7:D8"/>
  </mergeCells>
  <hyperlinks>
    <hyperlink ref="C10" location="'SE43'!Área_de_impresión" display="SE43" xr:uid="{31394358-FD04-4CE7-945E-18013691BEF6}"/>
    <hyperlink ref="C11" location="'SE42'!Área_de_impresión" display="SE42" xr:uid="{445EFE37-C449-4A73-BE05-7B033E2BA5CB}"/>
    <hyperlink ref="C12" location="'RL19'!Área_de_impresión" display="RL19" xr:uid="{5F06D696-5254-47C8-AC15-D0D79BCF6095}"/>
    <hyperlink ref="C13" location="'RL20'!Área_de_impresión" display="RL20" xr:uid="{C1571A3A-0047-4E7E-98AB-B36EF25ACB09}"/>
    <hyperlink ref="C14" location="'RL11'!Área_de_impresión" display="RL11" xr:uid="{0BEFA48C-8AB7-4816-A634-B06815E0C0DC}"/>
    <hyperlink ref="C15" location="'SE22'!Área_de_impresión" display="SE22" xr:uid="{730983AE-85B8-4F20-9297-C6731CB2A9B7}"/>
    <hyperlink ref="C16" location="'SE23'!Área_de_impresión" display="SE23" xr:uid="{C5FD68FD-66CB-4F6A-A970-7F3E81608A5A}"/>
    <hyperlink ref="C17" location="'AT09'!Área_de_impresión" display="AT09" xr:uid="{E82289FF-8B1B-4E89-9F92-59125BCE8411}"/>
  </hyperlinks>
  <pageMargins left="0.7" right="0.7" top="0.75" bottom="0.75" header="0.3" footer="0.3"/>
  <pageSetup paperSize="9" scale="76" orientation="portrait" r:id="rId1"/>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CA39-2E60-48EC-A5D3-369E79B8CC5A}">
  <sheetPr codeName="Hoja99"/>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Publicación trimestral del boletín jurídico en la página web de la Entidad</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15.75">
      <c r="A8" s="792" t="s">
        <v>1594</v>
      </c>
      <c r="B8" s="774"/>
      <c r="C8" s="711" t="str">
        <f>VLOOKUP(L12,Reporte!$A$5:$N$133,13,FALSE)</f>
        <v>Realizar actividades tendientes a la consolidación y publicación del boletín jurídico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boletines publicados en el periodo</v>
      </c>
      <c r="D10" s="711"/>
      <c r="E10" s="711"/>
      <c r="F10" s="799" t="str">
        <f>VLOOKUP(L12,Reporte!$N$5:$BN$133,6,FALSE)</f>
        <v>Este indicador mide las publicaciones del boletin en la pagina web de la entidad</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Eficiencia</v>
      </c>
      <c r="K12" s="712"/>
      <c r="L12" s="713" t="s">
        <v>324</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4</v>
      </c>
      <c r="D15" s="826"/>
      <c r="E15" s="827"/>
      <c r="F15" s="740" t="str">
        <f>VLOOKUP(L12,Reporte!$N$5:$BN$133,9,FALSE)</f>
        <v xml:space="preserve">Trimestral </v>
      </c>
      <c r="G15" s="741"/>
      <c r="H15" s="707" t="s">
        <v>37</v>
      </c>
      <c r="I15" s="707"/>
      <c r="J15" s="746" t="s">
        <v>1595</v>
      </c>
      <c r="K15" s="747"/>
      <c r="L15" s="748"/>
      <c r="M15" s="775" t="str">
        <f>VLOOKUP(L12,Reporte!$N$5:$BN$133,28,FALSE)</f>
        <v>Dirección Jurídica</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1</v>
      </c>
      <c r="E22" s="132">
        <f>VLOOKUP(L12,Reporte!$N$5:$BN$133,32,FALSE)</f>
        <v>0</v>
      </c>
      <c r="F22" s="139">
        <f>VLOOKUP(L12,Reporte!$N$5:$BN$133,33,FALSE)</f>
        <v>1</v>
      </c>
      <c r="G22" s="132">
        <f>VLOOKUP(L12,Reporte!$N$5:$BN$133,34,FALSE)</f>
        <v>0</v>
      </c>
      <c r="H22" s="139">
        <f>VLOOKUP(L12,Reporte!$N$5:$BN$133,35,FALSE)</f>
        <v>0</v>
      </c>
      <c r="I22" s="132">
        <f>VLOOKUP(L12,Reporte!$N$5:$BN$133,36,FALSE)</f>
        <v>1</v>
      </c>
      <c r="J22" s="139">
        <f>VLOOKUP(L12,Reporte!$N$5:$BN$133,37,FALSE)</f>
        <v>0</v>
      </c>
      <c r="K22" s="139">
        <f>VLOOKUP(L12,Reporte!$N$5:$BN$133,38,FALSE)</f>
        <v>0</v>
      </c>
      <c r="L22" s="139">
        <f>VLOOKUP(L12,Reporte!$N$5:$BN$133,39,FALSE)</f>
        <v>1</v>
      </c>
      <c r="M22" s="139">
        <f>VLOOKUP(L12,Reporte!$N$5:$BN$133,40,FALSE)</f>
        <v>0</v>
      </c>
      <c r="N22" s="133">
        <f>VLOOKUP(L12,Reporte!$N$5:$BN$133,41,FALSE)</f>
        <v>0</v>
      </c>
      <c r="O22" s="133">
        <f>SUM(C22:N22)</f>
        <v>4</v>
      </c>
      <c r="P22" s="128"/>
    </row>
    <row r="23" spans="1:17" ht="16.5" thickBot="1">
      <c r="A23" s="690" t="s">
        <v>76</v>
      </c>
      <c r="B23" s="691"/>
      <c r="C23" s="140">
        <f>VLOOKUP(L12,Reporte!$N$5:$BN$133,42,FALSE)</f>
        <v>0</v>
      </c>
      <c r="D23" s="140">
        <f>VLOOKUP(L12,Reporte!$N$5:$BN$133,43,FALSE)</f>
        <v>1</v>
      </c>
      <c r="E23" s="140">
        <f>VLOOKUP(L12,Reporte!$N$5:$BN$133,44,FALSE)</f>
        <v>0</v>
      </c>
      <c r="F23" s="140">
        <f>VLOOKUP(L12,Reporte!$N$5:$BN$133,45,FALSE)</f>
        <v>1</v>
      </c>
      <c r="G23" s="140">
        <f>VLOOKUP(L12,Reporte!$N$5:$BN$133,46,FALSE)</f>
        <v>0</v>
      </c>
      <c r="H23" s="140">
        <f>VLOOKUP(L12,Reporte!$N$5:$BN$133,47,FALSE)</f>
        <v>0</v>
      </c>
      <c r="I23" s="140">
        <f>VLOOKUP(L12,Reporte!$N$5:$BN$133,48,FALSE)</f>
        <v>1</v>
      </c>
      <c r="J23" s="140">
        <f>VLOOKUP(L12,Reporte!$N$5:$BN$133,49,FALSE)</f>
        <v>0</v>
      </c>
      <c r="K23" s="140">
        <f>VLOOKUP(L12,Reporte!$N$5:$BN$133,50,FALSE)</f>
        <v>0</v>
      </c>
      <c r="L23" s="140">
        <f>VLOOKUP(L12,Reporte!$N$5:$BN$133,51,FALSE)</f>
        <v>1</v>
      </c>
      <c r="M23" s="140">
        <f>VLOOKUP(L12,Reporte!$N$5:$BN$133,52,FALSE)</f>
        <v>0</v>
      </c>
      <c r="N23" s="141">
        <f>VLOOKUP(L12,Reporte!$N$5:$BN$133,53,FALSE)</f>
        <v>0</v>
      </c>
      <c r="O23" s="133">
        <f>SUM(C23:N23)</f>
        <v>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4</v>
      </c>
      <c r="D26" s="161">
        <f>+C26*0.98</f>
        <v>3.92</v>
      </c>
      <c r="E26" s="147"/>
      <c r="F26" s="147"/>
      <c r="G26" s="685"/>
      <c r="H26" s="685"/>
      <c r="I26" s="699"/>
      <c r="J26" s="699"/>
      <c r="K26" s="699"/>
      <c r="L26" s="685"/>
      <c r="M26" s="685"/>
      <c r="N26" s="685"/>
      <c r="O26" s="701"/>
      <c r="P26" s="148"/>
      <c r="Q26" s="149"/>
    </row>
    <row r="27" spans="1:17" s="127" customFormat="1" ht="15">
      <c r="A27" s="145" t="s">
        <v>95</v>
      </c>
      <c r="B27" s="161">
        <f>+D22</f>
        <v>1</v>
      </c>
      <c r="C27" s="161">
        <f>+C26</f>
        <v>4</v>
      </c>
      <c r="D27" s="161">
        <f>+D26</f>
        <v>3.92</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4</v>
      </c>
      <c r="D28" s="161">
        <f t="shared" si="0"/>
        <v>3.92</v>
      </c>
      <c r="E28" s="147"/>
      <c r="F28" s="147"/>
      <c r="G28" s="685"/>
      <c r="H28" s="685"/>
      <c r="I28" s="685"/>
      <c r="J28" s="685"/>
      <c r="K28" s="147"/>
      <c r="L28" s="685"/>
      <c r="M28" s="685"/>
      <c r="N28" s="685"/>
      <c r="O28" s="701"/>
      <c r="P28" s="148"/>
      <c r="Q28" s="149"/>
    </row>
    <row r="29" spans="1:17" s="127" customFormat="1" ht="15">
      <c r="A29" s="145" t="s">
        <v>97</v>
      </c>
      <c r="B29" s="161">
        <f>+F22</f>
        <v>1</v>
      </c>
      <c r="C29" s="161">
        <f t="shared" si="0"/>
        <v>4</v>
      </c>
      <c r="D29" s="161">
        <f t="shared" si="0"/>
        <v>3.92</v>
      </c>
      <c r="E29" s="147"/>
      <c r="F29" s="147"/>
      <c r="G29" s="685"/>
      <c r="H29" s="685"/>
      <c r="I29" s="685"/>
      <c r="J29" s="685"/>
      <c r="K29" s="147"/>
      <c r="L29" s="685"/>
      <c r="M29" s="685"/>
      <c r="N29" s="685"/>
      <c r="O29" s="701"/>
      <c r="P29" s="148"/>
      <c r="Q29" s="149"/>
    </row>
    <row r="30" spans="1:17" s="127" customFormat="1" ht="15">
      <c r="A30" s="145" t="s">
        <v>98</v>
      </c>
      <c r="B30" s="161">
        <f>+G22</f>
        <v>0</v>
      </c>
      <c r="C30" s="161">
        <f t="shared" si="0"/>
        <v>4</v>
      </c>
      <c r="D30" s="161">
        <f t="shared" si="0"/>
        <v>3.92</v>
      </c>
      <c r="E30" s="147"/>
      <c r="F30" s="147"/>
      <c r="G30" s="685"/>
      <c r="H30" s="685"/>
      <c r="I30" s="685"/>
      <c r="J30" s="685"/>
      <c r="K30" s="147"/>
      <c r="L30" s="685"/>
      <c r="M30" s="685"/>
      <c r="N30" s="685"/>
      <c r="O30" s="701"/>
      <c r="P30" s="148"/>
      <c r="Q30" s="149"/>
    </row>
    <row r="31" spans="1:17" s="127" customFormat="1" ht="15">
      <c r="A31" s="145" t="s">
        <v>99</v>
      </c>
      <c r="B31" s="161">
        <f>+H22</f>
        <v>0</v>
      </c>
      <c r="C31" s="161">
        <f t="shared" si="0"/>
        <v>4</v>
      </c>
      <c r="D31" s="161">
        <f t="shared" si="0"/>
        <v>3.92</v>
      </c>
      <c r="E31" s="147"/>
      <c r="F31" s="147"/>
      <c r="G31" s="685"/>
      <c r="H31" s="685"/>
      <c r="I31" s="685"/>
      <c r="J31" s="685"/>
      <c r="K31" s="147"/>
      <c r="L31" s="685"/>
      <c r="M31" s="685"/>
      <c r="N31" s="685"/>
      <c r="O31" s="701"/>
      <c r="P31" s="148"/>
      <c r="Q31" s="149"/>
    </row>
    <row r="32" spans="1:17" s="127" customFormat="1" ht="15">
      <c r="A32" s="145" t="s">
        <v>100</v>
      </c>
      <c r="B32" s="161">
        <f>+I22</f>
        <v>1</v>
      </c>
      <c r="C32" s="161">
        <f t="shared" si="0"/>
        <v>4</v>
      </c>
      <c r="D32" s="161">
        <f t="shared" si="0"/>
        <v>3.92</v>
      </c>
      <c r="E32" s="147"/>
      <c r="F32" s="147"/>
      <c r="G32" s="685"/>
      <c r="H32" s="685"/>
      <c r="I32" s="685"/>
      <c r="J32" s="685"/>
      <c r="K32" s="147"/>
      <c r="L32" s="685"/>
      <c r="M32" s="685"/>
      <c r="N32" s="685"/>
      <c r="O32" s="701"/>
      <c r="P32" s="148"/>
      <c r="Q32" s="149"/>
    </row>
    <row r="33" spans="1:17" s="127" customFormat="1" ht="15">
      <c r="A33" s="145" t="s">
        <v>101</v>
      </c>
      <c r="B33" s="161">
        <f>+J22</f>
        <v>0</v>
      </c>
      <c r="C33" s="161">
        <f t="shared" si="0"/>
        <v>4</v>
      </c>
      <c r="D33" s="161">
        <f t="shared" si="0"/>
        <v>3.92</v>
      </c>
      <c r="E33" s="147"/>
      <c r="F33" s="147"/>
      <c r="G33" s="685"/>
      <c r="H33" s="685"/>
      <c r="I33" s="685"/>
      <c r="J33" s="685"/>
      <c r="K33" s="147"/>
      <c r="L33" s="685"/>
      <c r="M33" s="685"/>
      <c r="N33" s="685"/>
      <c r="O33" s="701"/>
      <c r="P33" s="148"/>
      <c r="Q33" s="149"/>
    </row>
    <row r="34" spans="1:17" s="127" customFormat="1" ht="15">
      <c r="A34" s="145" t="s">
        <v>102</v>
      </c>
      <c r="B34" s="161">
        <f>+K22</f>
        <v>0</v>
      </c>
      <c r="C34" s="161">
        <f t="shared" si="0"/>
        <v>4</v>
      </c>
      <c r="D34" s="161">
        <f t="shared" si="0"/>
        <v>3.92</v>
      </c>
      <c r="E34" s="147"/>
      <c r="F34" s="147"/>
      <c r="G34" s="685"/>
      <c r="H34" s="685"/>
      <c r="I34" s="685"/>
      <c r="J34" s="685"/>
      <c r="K34" s="147"/>
      <c r="L34" s="685"/>
      <c r="M34" s="685"/>
      <c r="N34" s="685"/>
      <c r="O34" s="701"/>
      <c r="P34" s="148"/>
      <c r="Q34" s="149"/>
    </row>
    <row r="35" spans="1:17" s="127" customFormat="1" ht="15">
      <c r="A35" s="145" t="s">
        <v>103</v>
      </c>
      <c r="B35" s="161">
        <f>+L22</f>
        <v>1</v>
      </c>
      <c r="C35" s="161">
        <f t="shared" si="0"/>
        <v>4</v>
      </c>
      <c r="D35" s="161">
        <f t="shared" si="0"/>
        <v>3.92</v>
      </c>
      <c r="E35" s="147"/>
      <c r="F35" s="147"/>
      <c r="G35" s="685"/>
      <c r="H35" s="685"/>
      <c r="I35" s="685"/>
      <c r="J35" s="685"/>
      <c r="K35" s="147"/>
      <c r="L35" s="685"/>
      <c r="M35" s="685"/>
      <c r="N35" s="685"/>
      <c r="O35" s="701"/>
      <c r="P35" s="148"/>
      <c r="Q35" s="149"/>
    </row>
    <row r="36" spans="1:17" s="127" customFormat="1" ht="15">
      <c r="A36" s="145" t="s">
        <v>104</v>
      </c>
      <c r="B36" s="161">
        <f>+M22</f>
        <v>0</v>
      </c>
      <c r="C36" s="161">
        <f t="shared" si="0"/>
        <v>4</v>
      </c>
      <c r="D36" s="161">
        <f t="shared" si="0"/>
        <v>3.92</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4</v>
      </c>
      <c r="D37" s="161">
        <f t="shared" si="0"/>
        <v>3.92</v>
      </c>
      <c r="E37" s="147"/>
      <c r="F37" s="147"/>
      <c r="G37" s="147"/>
      <c r="H37" s="147"/>
      <c r="I37" s="147"/>
      <c r="J37" s="147"/>
      <c r="K37" s="147"/>
      <c r="L37" s="685"/>
      <c r="M37" s="685"/>
      <c r="N37" s="685"/>
      <c r="O37" s="701"/>
      <c r="P37" s="148"/>
      <c r="Q37" s="149"/>
    </row>
    <row r="38" spans="1:17" s="127" customFormat="1" ht="15.75" thickBot="1">
      <c r="A38" s="152" t="s">
        <v>106</v>
      </c>
      <c r="B38" s="164">
        <f>+O22</f>
        <v>4</v>
      </c>
      <c r="C38" s="164">
        <f>+C37</f>
        <v>4</v>
      </c>
      <c r="D38" s="164">
        <f>+D37</f>
        <v>3.92</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 xml:space="preserve">​Durante el primer trimestre de 2025 fue publicado el nuevo formato de boletín (Magazine Jurídico) correspondiente al último trimestre de 2024, en este se hizo una recopilación de los conceptos más relevantes emitidos por la Dirección Jurídica sobre el tema de medicamentos.
</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​En el boletín jurídico del primer trimestre del año 2025, se realizó una publicación de conceptos de interés para el publico en general como las oficinas de atención al usuario, la cobertura del SOAT y el manual de identidad de la Superintendencia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 xml:space="preserve">​Se han realizado una publicación de boletin jurídicos en el normograma de la entidad que corresponde a primer  trimestre del presente año.  Con la publicación de los boletines se busca que los usuarios del SGSSS externos e internos cuenten con una herramienta de fácil consulta sobre los diferentes temas de competencia de la Superintendencia Nacional de Salud.
</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 xml:space="preserve">​Se realizó la publicación del boletin jurídico correspondiente al tercer trimestre de 2025, en el normograma de la Superintendencia Nacional de Salud: https://normograma.supersalud.gov.co/compilacion/boletines_juridicos_sns.html.,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publicaron 4 boletines, con cumplimiento la meta de 4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CA5C-6FDC-46BF-89A3-AFF238A23E1B}">
  <sheetPr codeName="Hoja10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acciones contencioso administrativas y ordinarias tramitadas dentro de los términos de ley</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15.75">
      <c r="A8" s="792" t="s">
        <v>1594</v>
      </c>
      <c r="B8" s="774"/>
      <c r="C8" s="711" t="str">
        <f>VLOOKUP(L12,Reporte!$A$5:$N$133,13,FALSE)</f>
        <v>Proyectar contestaciones y ejercer la actividad procesal.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2" customHeight="1">
      <c r="A10" s="794"/>
      <c r="B10" s="795"/>
      <c r="C10" s="711" t="str">
        <f>VLOOKUP(L12,Reporte!$N$5:$BN$133,4,FALSE)</f>
        <v>Número de acciones contencioso administrativas y ordinarias tramitadas dentro de los términos de ley en el periodo</v>
      </c>
      <c r="D10" s="711"/>
      <c r="E10" s="711"/>
      <c r="F10" s="799" t="str">
        <f>VLOOKUP(L12,Reporte!$N$5:$BN$133,6,FALSE)</f>
        <v>Este indicador mide el porcentaje de acciones administrativas tramitadas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2" customHeight="1" thickBot="1">
      <c r="A12" s="796"/>
      <c r="B12" s="768"/>
      <c r="C12" s="710" t="str">
        <f>VLOOKUP(L12,Reporte!$N$5:$BN$133,5,FALSE)</f>
        <v>Total de acciones contencioso administrativas y ordinarias recibidas para trámite en el periodo x100</v>
      </c>
      <c r="D12" s="711"/>
      <c r="E12" s="711"/>
      <c r="F12" s="799"/>
      <c r="G12" s="799"/>
      <c r="H12" s="799"/>
      <c r="I12" s="799"/>
      <c r="J12" s="712" t="str">
        <f>VLOOKUP(L12,Reporte!$N$5:$BN$133,7,FALSE)</f>
        <v>Eficiencia</v>
      </c>
      <c r="K12" s="712"/>
      <c r="L12" s="713" t="s">
        <v>336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Dirección Jurídica</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155</v>
      </c>
      <c r="F22" s="139">
        <f>VLOOKUP(L12,Reporte!$N$5:$BN$133,33,FALSE)</f>
        <v>0</v>
      </c>
      <c r="G22" s="132">
        <f>VLOOKUP(L12,Reporte!$N$5:$BN$133,34,FALSE)</f>
        <v>0</v>
      </c>
      <c r="H22" s="139">
        <f>VLOOKUP(L12,Reporte!$N$5:$BN$133,35,FALSE)</f>
        <v>153</v>
      </c>
      <c r="I22" s="132">
        <f>VLOOKUP(L12,Reporte!$N$5:$BN$133,36,FALSE)</f>
        <v>0</v>
      </c>
      <c r="J22" s="139">
        <f>VLOOKUP(L12,Reporte!$N$5:$BN$133,37,FALSE)</f>
        <v>0</v>
      </c>
      <c r="K22" s="139">
        <f>VLOOKUP(L12,Reporte!$N$5:$BN$133,38,FALSE)</f>
        <v>123</v>
      </c>
      <c r="L22" s="139">
        <f>VLOOKUP(L12,Reporte!$N$5:$BN$133,39,FALSE)</f>
        <v>0</v>
      </c>
      <c r="M22" s="139">
        <f>VLOOKUP(L12,Reporte!$N$5:$BN$133,40,FALSE)</f>
        <v>0</v>
      </c>
      <c r="N22" s="133">
        <f>VLOOKUP(L12,Reporte!$N$5:$BN$133,41,FALSE)</f>
        <v>74</v>
      </c>
      <c r="O22" s="133">
        <f>SUM(C22:N22)</f>
        <v>505</v>
      </c>
      <c r="P22" s="128"/>
    </row>
    <row r="23" spans="1:17" ht="16.5" thickBot="1">
      <c r="A23" s="690" t="s">
        <v>76</v>
      </c>
      <c r="B23" s="691"/>
      <c r="C23" s="140">
        <f>VLOOKUP(L12,Reporte!$N$5:$BN$133,42,FALSE)</f>
        <v>0</v>
      </c>
      <c r="D23" s="140">
        <f>VLOOKUP(L12,Reporte!$N$5:$BN$133,43,FALSE)</f>
        <v>0</v>
      </c>
      <c r="E23" s="140">
        <f>VLOOKUP(L12,Reporte!$N$5:$BN$133,44,FALSE)</f>
        <v>155</v>
      </c>
      <c r="F23" s="140">
        <f>VLOOKUP(L12,Reporte!$N$5:$BN$133,45,FALSE)</f>
        <v>0</v>
      </c>
      <c r="G23" s="140">
        <f>VLOOKUP(L12,Reporte!$N$5:$BN$133,46,FALSE)</f>
        <v>0</v>
      </c>
      <c r="H23" s="140">
        <f>VLOOKUP(L12,Reporte!$N$5:$BN$133,47,FALSE)</f>
        <v>153</v>
      </c>
      <c r="I23" s="140">
        <f>VLOOKUP(L12,Reporte!$N$5:$BN$133,48,FALSE)</f>
        <v>0</v>
      </c>
      <c r="J23" s="140">
        <f>VLOOKUP(L12,Reporte!$N$5:$BN$133,49,FALSE)</f>
        <v>0</v>
      </c>
      <c r="K23" s="140">
        <f>VLOOKUP(L12,Reporte!$N$5:$BN$133,50,FALSE)</f>
        <v>123</v>
      </c>
      <c r="L23" s="140">
        <f>VLOOKUP(L12,Reporte!$N$5:$BN$133,51,FALSE)</f>
        <v>0</v>
      </c>
      <c r="M23" s="140">
        <f>VLOOKUP(L12,Reporte!$N$5:$BN$133,52,FALSE)</f>
        <v>0</v>
      </c>
      <c r="N23" s="141">
        <f>VLOOKUP(L12,Reporte!$N$5:$BN$133,53,FALSE)</f>
        <v>74</v>
      </c>
      <c r="O23" s="133">
        <f>SUM(C23:N23)</f>
        <v>505</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65.25" customHeight="1" thickBot="1">
      <c r="A45" s="682" t="str">
        <f>VLOOKUP(L12,Reporte!$N$5:$BZ$133,56,FALSE)</f>
        <v xml:space="preserve">​En el primer trimestre del año 2025, se recibieron en total 155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Ahora bien, de las 155 demandas radicadas, se notificaron 17 autos admisorios de la demanda por lo que, los abogados del Grupo de Defensa Judicial realizaron la contestación de estas 17 demandas en el término otorgado por la ley, y 138 asuntos judiciales están en trámite de proyección por no haberse notificado a la fecha el auto admisorio de estas demandas; en conclusión se tiene un total de 155 procesos judiciales y un cumplimiento del 100% respecto de las demandas notificadas y contestadas dentro del término legal.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94.5" customHeight="1" thickBot="1">
      <c r="A51" s="673" t="str">
        <f>VLOOKUP(L12,Reporte!$N$5:$BZ$133,59,FALSE)</f>
        <v xml:space="preserve">​En el segundo trimestre del año 2025, se recibieron en total 153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Respecto a los 153 asuntos de demandas recibidos , se notificaron 12 autos admisorios de la demanda por lo que, los abogados del Grupo de Defensa Judicial realizaron la contestación de estas 06 demandas en el término otorgado por la ley, y 137 asuntos judiciales están en trámite de proyección por no haberse notificado a la fecha el auto admisorio de estas demandas; 1 asunto judicial se encuentra en evaluación de presentación de Nulidad frente a la notificación, al tratarse de un auto vencido en términos; 2 asuntos judiciales se encuentran en viabilidad de presentación de la demanda por falta de documentos; en 1 asunto judicial no hace parte la SNS; en conclusión se tiene un total de 153 procesos judiciales y un cumplimiento del 100% respecto de las demandas notificadas y contestadas dentro del término legal.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75" customHeight="1" thickBot="1">
      <c r="A57" s="682" t="str">
        <f>VLOOKUP(L12,Reporte!$N$5:$BZ$133,62,FALSE)</f>
        <v xml:space="preserve">​En el tercer trimestre del año 2025, se recibieron en total 123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Respecto a los 123 asuntos de demandas recibidos , se notificaron 31 autos admisorios de la demanda de los cuales fueron contestadas 22 demandas y recursos de insistencia, se encuentran en proyecto 8 contestaciones de demanda y 1 admisorio de la demanda se encuentra en recurso de apelación, y 90 asuntos judiciales están en trámite de proyección por no haberse notificado a la fecha el auto admisorio de estas demandas, 1 asunto judicial con rechazo de la demanda y en 1 asunto judicial no hace parte la SNS; en conclusión se tiene un total de 123  procesos judiciales y un cumplimiento del 100% respecto de las demandas notificadas y contestadas dentro del término legal.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​Durante el periodo informado se tramitó 74 acciones contencioso adminstrativas y ordinarias atendiendo el 100% de los autos admisorios recepcionados,   lo que impactó favorablemente la prevención del daño antijurídico al cumplir con  los términos de ley.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tramitaron 505 de las acciones contencioso-administrativas y ordinarias, con el cumplimiento de la meta de 100%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E3970-20E7-4EEA-8C7D-F7E89BD6423C}">
  <sheetPr codeName="Hoja101"/>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solicitudes de conciliaciones que cumplan requisitos de ley para ser presentadas al Comité de Conciliación</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15.75">
      <c r="A8" s="792" t="s">
        <v>1594</v>
      </c>
      <c r="B8" s="774"/>
      <c r="C8" s="711" t="str">
        <f>VLOOKUP(L12,Reporte!$A$5:$N$133,13,FALSE)</f>
        <v>Someter los asuntos de competencia al Comité de Conciliación</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94.5" customHeight="1">
      <c r="A10" s="794"/>
      <c r="B10" s="795"/>
      <c r="C10" s="711" t="str">
        <f>VLOOKUP(L12,Reporte!$N$5:$BN$133,4,FALSE)</f>
        <v xml:space="preserve">Número de solicitudes de conciliaciones que cumplan los requisitos de ley para ser presentadas ante el Comité de conciliación, en un término de 15 días hábiles siguientes </v>
      </c>
      <c r="D10" s="711"/>
      <c r="E10" s="711"/>
      <c r="F10" s="799" t="str">
        <f>VLOOKUP(L12,Reporte!$N$5:$BN$133,6,FALSE)</f>
        <v>Este indicador mide el número de solicitudes de conciliaciones presentadas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94.5" customHeight="1" thickBot="1">
      <c r="A12" s="796"/>
      <c r="B12" s="768"/>
      <c r="C12" s="710" t="str">
        <f>VLOOKUP(L12,Reporte!$N$5:$BN$133,5,FALSE)</f>
        <v xml:space="preserve"> Número total de solicitudes de conciliaciones recibidas que cumplen con los requisitos de ley durante el periodo de reporte x 100.</v>
      </c>
      <c r="D12" s="711"/>
      <c r="E12" s="711"/>
      <c r="F12" s="799"/>
      <c r="G12" s="799"/>
      <c r="H12" s="799"/>
      <c r="I12" s="799"/>
      <c r="J12" s="712" t="str">
        <f>VLOOKUP(L12,Reporte!$N$5:$BN$133,7,FALSE)</f>
        <v>Eficiencia</v>
      </c>
      <c r="K12" s="712"/>
      <c r="L12" s="713" t="s">
        <v>342</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Dirección Jurídica</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197</v>
      </c>
      <c r="F22" s="139">
        <f>VLOOKUP(L12,Reporte!$N$5:$BN$133,33,FALSE)</f>
        <v>0</v>
      </c>
      <c r="G22" s="132">
        <f>VLOOKUP(L12,Reporte!$N$5:$BN$133,34,FALSE)</f>
        <v>0</v>
      </c>
      <c r="H22" s="139">
        <f>VLOOKUP(L12,Reporte!$N$5:$BN$133,35,FALSE)</f>
        <v>75</v>
      </c>
      <c r="I22" s="132">
        <f>VLOOKUP(L12,Reporte!$N$5:$BN$133,36,FALSE)</f>
        <v>0</v>
      </c>
      <c r="J22" s="139">
        <f>VLOOKUP(L12,Reporte!$N$5:$BN$133,37,FALSE)</f>
        <v>0</v>
      </c>
      <c r="K22" s="139">
        <f>VLOOKUP(L12,Reporte!$N$5:$BN$133,38,FALSE)</f>
        <v>36</v>
      </c>
      <c r="L22" s="139">
        <f>VLOOKUP(L12,Reporte!$N$5:$BN$133,39,FALSE)</f>
        <v>0</v>
      </c>
      <c r="M22" s="139">
        <f>VLOOKUP(L12,Reporte!$N$5:$BN$133,40,FALSE)</f>
        <v>0</v>
      </c>
      <c r="N22" s="133">
        <f>VLOOKUP(L12,Reporte!$N$5:$BN$133,41,FALSE)</f>
        <v>83</v>
      </c>
      <c r="O22" s="133">
        <f>SUM(C22:N22)</f>
        <v>391</v>
      </c>
      <c r="P22" s="128"/>
    </row>
    <row r="23" spans="1:17" ht="16.5" thickBot="1">
      <c r="A23" s="690" t="s">
        <v>76</v>
      </c>
      <c r="B23" s="691"/>
      <c r="C23" s="140">
        <f>VLOOKUP(L12,Reporte!$N$5:$BN$133,42,FALSE)</f>
        <v>0</v>
      </c>
      <c r="D23" s="140">
        <f>VLOOKUP(L12,Reporte!$N$5:$BN$133,43,FALSE)</f>
        <v>0</v>
      </c>
      <c r="E23" s="140">
        <f>VLOOKUP(L12,Reporte!$N$5:$BN$133,44,FALSE)</f>
        <v>211</v>
      </c>
      <c r="F23" s="140">
        <f>VLOOKUP(L12,Reporte!$N$5:$BN$133,45,FALSE)</f>
        <v>0</v>
      </c>
      <c r="G23" s="140">
        <f>VLOOKUP(L12,Reporte!$N$5:$BN$133,46,FALSE)</f>
        <v>0</v>
      </c>
      <c r="H23" s="140">
        <f>VLOOKUP(L12,Reporte!$N$5:$BN$133,47,FALSE)</f>
        <v>78</v>
      </c>
      <c r="I23" s="140">
        <f>VLOOKUP(L12,Reporte!$N$5:$BN$133,48,FALSE)</f>
        <v>0</v>
      </c>
      <c r="J23" s="140">
        <f>VLOOKUP(L12,Reporte!$N$5:$BN$133,49,FALSE)</f>
        <v>0</v>
      </c>
      <c r="K23" s="140">
        <f>VLOOKUP(L12,Reporte!$N$5:$BN$133,50,FALSE)</f>
        <v>36</v>
      </c>
      <c r="L23" s="140">
        <f>VLOOKUP(L12,Reporte!$N$5:$BN$133,51,FALSE)</f>
        <v>0</v>
      </c>
      <c r="M23" s="140">
        <f>VLOOKUP(L12,Reporte!$N$5:$BN$133,52,FALSE)</f>
        <v>0</v>
      </c>
      <c r="N23" s="141">
        <f>VLOOKUP(L12,Reporte!$N$5:$BN$133,53,FALSE)</f>
        <v>83</v>
      </c>
      <c r="O23" s="133">
        <f>SUM(C23:N23)</f>
        <v>408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0.93364928909952605</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0.96153846153846156</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0.95833333333333337</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​En el primer trimestre del año 2025, se recibieron 211 solicitudes de conciliación extrajudicial; de las cuales 197 fueron presentadas y decididas por el Comité de Conciliación, y 14 se encuentran en proyecto para ser presentadas en el próximo comité, para un total de 211 solicitudes, cumpliéndose este indicador en un 93,36%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​En el segundo trimestre del año 2025, se recibieron 78 solicitudes de conciliación extrajudicial; de las cuales 75 fueron presentadas y decididas por el Comité de Conciliación, 2 se encuentran en proyecto para ser presentadas en el próximo comité de conciliación, y 1 solicitud de conciliación se encuentra en evaluación por duplicidad, en espera de soporte; para un total de 78 solicitudes, cumpliéndose este indicador en un 96,15%.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​En el tercer trimestre del año 2025, se recibieron 39 solicitudes de conciliación extrajudicial; de las cuales 36 fueron presentadas y decididas por el Comité de Conciliación, 2 no cumplen con los requisitos de ley establecidos para su presentación, y en 1 solicitud de conciliación la SNS no es parte; para un total de 39 solicitudes, cumpliéndose este indicador en un 100%.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​Dentro del periodo se reporta en el 100%  este indicador,  al estudiar y resolver en términos 83 solicitudes de conciliación de un total de 83 recibidas conforme al aplicativo E-kogui,  por lo tanto se garantiza el debido proceso y la respuesta  oportuna de la Superintendencia  en el área de defensa técnica de la entidad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tramitado 391 solicitudes de conciliaciones del periodo de las 408 que allegaron a la dependencia es decir el 96% se tramito, con un incumplimiento en la meta porcentual de 100%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02CA-270C-4EDF-B24B-476A694F9057}">
  <sheetPr codeName="Hoja102"/>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Cumplimiento de planes de políticas de prevención de daño antijurídico</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15.75">
      <c r="A8" s="792" t="s">
        <v>1594</v>
      </c>
      <c r="B8" s="774"/>
      <c r="C8" s="711" t="str">
        <f>VLOOKUP(L12,Reporte!$A$5:$N$133,13,FALSE)</f>
        <v>Implementar planes de acción de políticas de prevención de daño antijurídico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35.25" customHeight="1">
      <c r="A10" s="794"/>
      <c r="B10" s="795"/>
      <c r="C10" s="711" t="str">
        <f>VLOOKUP(L12,Reporte!$N$5:$BN$133,4,FALSE)</f>
        <v xml:space="preserve">Cantidad de actividades ejecutadas en el periodo </v>
      </c>
      <c r="D10" s="711"/>
      <c r="E10" s="711"/>
      <c r="F10" s="799" t="str">
        <f>VLOOKUP(L12,Reporte!$N$5:$BN$133,6,FALSE)</f>
        <v>Este indicador mide las actividades de seguimiento a la gestión de la política de prevención</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63.75" customHeight="1" thickBot="1">
      <c r="A12" s="796"/>
      <c r="B12" s="768"/>
      <c r="C12" s="710" t="str">
        <f>VLOOKUP(L12,Reporte!$N$5:$BN$133,5,FALSE)</f>
        <v xml:space="preserve"> Cantidad de actividades planificadas en la política de prevención del daño antijurídico para el periodo*100</v>
      </c>
      <c r="D12" s="711"/>
      <c r="E12" s="711"/>
      <c r="F12" s="799"/>
      <c r="G12" s="799"/>
      <c r="H12" s="799"/>
      <c r="I12" s="799"/>
      <c r="J12" s="712" t="str">
        <f>VLOOKUP(L12,Reporte!$N$5:$BN$133,7,FALSE)</f>
        <v>Eficiencia</v>
      </c>
      <c r="K12" s="712"/>
      <c r="L12" s="713" t="s">
        <v>513</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Dirección Jurídica</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2</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2</v>
      </c>
      <c r="O22" s="133">
        <f>SUM(C22:N22)</f>
        <v>4</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2</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2</v>
      </c>
      <c r="O23" s="133">
        <f>SUM(C23:N23)</f>
        <v>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​Durante el primer semestre de 2025  para las dos actividades programadas en el cumplimiento del indicador, se confirmó la realización de las capacitaciones a cargo de la Subdirección de Recursos Jurídicos y la Delegada de Investigaciones Administrativas, en cumplimiento al seguimiento a la PPDA, se adjunta soportes.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​Durante el segundo  semestre de 2025  se confirmó la realización de 2  capacitaciones en cumplimiento al seguimiento a la PPDA.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ejecutaron las 4 actividades programadas, con cumplimiento de la meta establecida para lo corrido de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B6E33-757E-4024-90DC-DB8F00A2426D}">
  <sheetPr codeName="Hoja10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acciones cumplidas para el diseño del sistema integral de seguimiento a sentencias</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15.75">
      <c r="A8" s="792" t="s">
        <v>1594</v>
      </c>
      <c r="B8" s="774"/>
      <c r="C8" s="711" t="str">
        <f>VLOOKUP(L12,Reporte!$A$5:$N$133,13,FALSE)</f>
        <v>Diseñar un sistema  integral de seguimiento, monitoreo y evaluación de las órdenes judiciales y mandatos de organismos internacionales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3.5" customHeight="1">
      <c r="A10" s="794"/>
      <c r="B10" s="795"/>
      <c r="C10" s="711" t="str">
        <f>VLOOKUP(L12,Reporte!$N$5:$BN$133,4,FALSE)</f>
        <v xml:space="preserve">Numero de acciones realizadas para el diseño del sistema integral </v>
      </c>
      <c r="D10" s="711"/>
      <c r="E10" s="711"/>
      <c r="F10" s="799" t="str">
        <f>VLOOKUP(L12,Reporte!$N$5:$BN$133,6,FALSE)</f>
        <v>Este indicador mide el número de acciones realizadas para el diseño del sistema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6.25" customHeight="1" thickBot="1">
      <c r="A12" s="796"/>
      <c r="B12" s="768"/>
      <c r="C12" s="710" t="str">
        <f>VLOOKUP(L12,Reporte!$N$5:$BN$133,5,FALSE)</f>
        <v xml:space="preserve"> Total de acciones programadas para el diseño del sistema integral de seguimiento a sentencias *100 </v>
      </c>
      <c r="D12" s="711"/>
      <c r="E12" s="711"/>
      <c r="F12" s="799"/>
      <c r="G12" s="799"/>
      <c r="H12" s="799"/>
      <c r="I12" s="799"/>
      <c r="J12" s="712" t="str">
        <f>VLOOKUP(L12,Reporte!$N$5:$BN$133,7,FALSE)</f>
        <v>Eficiencia</v>
      </c>
      <c r="K12" s="712"/>
      <c r="L12" s="713" t="s">
        <v>515</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Dirección Jurídica</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3</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3</v>
      </c>
      <c r="O22" s="133">
        <f>SUM(C22:N22)</f>
        <v>6</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3</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3</v>
      </c>
      <c r="O23" s="133">
        <f>SUM(C23:N23)</f>
        <v>6</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​Durante el primer semestre se realizaron 3 acciones para el diseño del sistema integral de seguimiento a sentencias, en las cuales se viene trabajando la creación del procedimiento de seguimiento a sentencias y el desarrollo del aplicativo que apoye en la identificación, seguimiento y cumplimiento de las diferentes ordenes.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72" customHeight="1" thickBot="1">
      <c r="A63" s="673" t="str">
        <f>VLOOKUP(L12,Reporte!$N$5:$BZ$133,65,FALSE)</f>
        <v xml:space="preserve">​Durante el segundo semestre se desarrolló  3  acciones para el diseño del sistema integral de seguimiento a sentencias.  Se evolucionó el procedimiento de seguimiento de sentencias judiciales y conjuntamente con  la Subdirección de Tecnologías de la Información se adelantó  el desarrollo del aplicativo que apoyará la identificación, seguimiento y cumplimiento de las diferentes órdenes judiciales.  En esta etapa se superó  la generación del insumo  por parte de la Dirección jurídica para la fase de diseño ( (1. Análisis de requerimientos  y  2, Diseño técnico y funcional) de manera tal que la subdirección de tecnologías de la información pueda dar continuidad a la elaboración e implementación  del programa informático que facilite el ejercicio de control y seguimiento a cargo de la Dirección Jurídica.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realizó el total de 6 acciones programadas para el diseño del sistema integral, con cumplimiento de la meta establecida para lo corrido de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9C89A-45FA-4FF7-8271-3CDEC913E299}">
  <sheetPr codeName="Hoja10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Actividades ejecutadas en el cronograma de implementación y sostenibilidad de la política de gestión y desempeño de Defensa Jurídica.</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15.75">
      <c r="A8" s="792" t="s">
        <v>1594</v>
      </c>
      <c r="B8" s="774"/>
      <c r="C8" s="711" t="str">
        <f>VLOOKUP(L12,Reporte!$A$5:$N$133,13,FALSE)</f>
        <v>Ejecutar cronograma de actividades para la implementación y sostenibilidad de la política de gestión y desempeño de defensa Jurídica.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85.5" customHeight="1">
      <c r="A10" s="794"/>
      <c r="B10" s="795"/>
      <c r="C10" s="711" t="str">
        <f>VLOOKUP(L12,Reporte!$N$5:$BN$133,4,FALSE)</f>
        <v>Número de actividades ejecutadas en el cronograma de implementación y sostenibilidad de la política de gestión y desempeño de Defensa Jurídica.</v>
      </c>
      <c r="D10" s="711"/>
      <c r="E10" s="711"/>
      <c r="F10" s="799" t="str">
        <f>VLOOKUP(L12,Reporte!$N$5:$BN$133,6,FALSE)</f>
        <v>Este indicador mide el Número de requerimientos tramitados oportunamente</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318</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10</v>
      </c>
      <c r="D15" s="826"/>
      <c r="E15" s="827"/>
      <c r="F15" s="740" t="str">
        <f>VLOOKUP(L12,Reporte!$N$5:$BN$133,9,FALSE)</f>
        <v>Trimestral</v>
      </c>
      <c r="G15" s="741"/>
      <c r="H15" s="707" t="s">
        <v>37</v>
      </c>
      <c r="I15" s="707"/>
      <c r="J15" s="746" t="s">
        <v>1595</v>
      </c>
      <c r="K15" s="747"/>
      <c r="L15" s="748"/>
      <c r="M15" s="775" t="str">
        <f>VLOOKUP(L12,Reporte!$N$5:$BN$133,28,FALSE)</f>
        <v>Dirección Jurídica</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1</v>
      </c>
      <c r="D22" s="132">
        <f>VLOOKUP(L12,Reporte!$N$5:$BN$133,31,FALSE)</f>
        <v>0</v>
      </c>
      <c r="E22" s="132">
        <f>VLOOKUP(L12,Reporte!$N$5:$BN$133,32,FALSE)</f>
        <v>0</v>
      </c>
      <c r="F22" s="139">
        <f>VLOOKUP(L12,Reporte!$N$5:$BN$133,33,FALSE)</f>
        <v>0</v>
      </c>
      <c r="G22" s="132">
        <f>VLOOKUP(L12,Reporte!$N$5:$BN$133,34,FALSE)</f>
        <v>0</v>
      </c>
      <c r="H22" s="139">
        <f>VLOOKUP(L12,Reporte!$N$5:$BN$133,35,FALSE)</f>
        <v>5</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4</v>
      </c>
      <c r="O22" s="133">
        <f>SUM(C22:N22)</f>
        <v>10</v>
      </c>
      <c r="P22" s="128"/>
    </row>
    <row r="23" spans="1:17" ht="16.5" thickBot="1">
      <c r="A23" s="690" t="s">
        <v>76</v>
      </c>
      <c r="B23" s="691"/>
      <c r="C23" s="140">
        <f>VLOOKUP(L12,Reporte!$N$5:$BN$133,42,FALSE)</f>
        <v>1</v>
      </c>
      <c r="D23" s="140">
        <f>VLOOKUP(L12,Reporte!$N$5:$BN$133,43,FALSE)</f>
        <v>0</v>
      </c>
      <c r="E23" s="140">
        <f>VLOOKUP(L12,Reporte!$N$5:$BN$133,44,FALSE)</f>
        <v>0</v>
      </c>
      <c r="F23" s="140">
        <f>VLOOKUP(L12,Reporte!$N$5:$BN$133,45,FALSE)</f>
        <v>0</v>
      </c>
      <c r="G23" s="140">
        <f>VLOOKUP(L12,Reporte!$N$5:$BN$133,46,FALSE)</f>
        <v>0</v>
      </c>
      <c r="H23" s="140">
        <f>VLOOKUP(L12,Reporte!$N$5:$BN$133,47,FALSE)</f>
        <v>5</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4</v>
      </c>
      <c r="O23" s="133">
        <f>SUM(C23:N23)</f>
        <v>10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1</v>
      </c>
      <c r="C26" s="161">
        <f>+C15</f>
        <v>10</v>
      </c>
      <c r="D26" s="161">
        <f>+C26*0.98</f>
        <v>9.8000000000000007</v>
      </c>
      <c r="E26" s="147"/>
      <c r="F26" s="147"/>
      <c r="G26" s="685"/>
      <c r="H26" s="685"/>
      <c r="I26" s="699"/>
      <c r="J26" s="699"/>
      <c r="K26" s="699"/>
      <c r="L26" s="685"/>
      <c r="M26" s="685"/>
      <c r="N26" s="685"/>
      <c r="O26" s="701"/>
      <c r="P26" s="148"/>
      <c r="Q26" s="149"/>
    </row>
    <row r="27" spans="1:17" s="127" customFormat="1" ht="15">
      <c r="A27" s="145" t="s">
        <v>95</v>
      </c>
      <c r="B27" s="161">
        <f>+D22</f>
        <v>0</v>
      </c>
      <c r="C27" s="161">
        <f>+C26</f>
        <v>10</v>
      </c>
      <c r="D27" s="161">
        <f>+D26</f>
        <v>9.8000000000000007</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10</v>
      </c>
      <c r="D28" s="161">
        <f t="shared" si="0"/>
        <v>9.8000000000000007</v>
      </c>
      <c r="E28" s="147"/>
      <c r="F28" s="147"/>
      <c r="G28" s="685"/>
      <c r="H28" s="685"/>
      <c r="I28" s="685"/>
      <c r="J28" s="685"/>
      <c r="K28" s="147"/>
      <c r="L28" s="685"/>
      <c r="M28" s="685"/>
      <c r="N28" s="685"/>
      <c r="O28" s="701"/>
      <c r="P28" s="148"/>
      <c r="Q28" s="149"/>
    </row>
    <row r="29" spans="1:17" s="127" customFormat="1" ht="15">
      <c r="A29" s="145" t="s">
        <v>97</v>
      </c>
      <c r="B29" s="161">
        <f>+F22</f>
        <v>0</v>
      </c>
      <c r="C29" s="161">
        <f t="shared" si="0"/>
        <v>10</v>
      </c>
      <c r="D29" s="161">
        <f t="shared" si="0"/>
        <v>9.8000000000000007</v>
      </c>
      <c r="E29" s="147"/>
      <c r="F29" s="147"/>
      <c r="G29" s="685"/>
      <c r="H29" s="685"/>
      <c r="I29" s="685"/>
      <c r="J29" s="685"/>
      <c r="K29" s="147"/>
      <c r="L29" s="685"/>
      <c r="M29" s="685"/>
      <c r="N29" s="685"/>
      <c r="O29" s="701"/>
      <c r="P29" s="148"/>
      <c r="Q29" s="149"/>
    </row>
    <row r="30" spans="1:17" s="127" customFormat="1" ht="15">
      <c r="A30" s="145" t="s">
        <v>98</v>
      </c>
      <c r="B30" s="161">
        <f>+G22</f>
        <v>0</v>
      </c>
      <c r="C30" s="161">
        <f t="shared" si="0"/>
        <v>10</v>
      </c>
      <c r="D30" s="161">
        <f t="shared" si="0"/>
        <v>9.8000000000000007</v>
      </c>
      <c r="E30" s="147"/>
      <c r="F30" s="147"/>
      <c r="G30" s="685"/>
      <c r="H30" s="685"/>
      <c r="I30" s="685"/>
      <c r="J30" s="685"/>
      <c r="K30" s="147"/>
      <c r="L30" s="685"/>
      <c r="M30" s="685"/>
      <c r="N30" s="685"/>
      <c r="O30" s="701"/>
      <c r="P30" s="148"/>
      <c r="Q30" s="149"/>
    </row>
    <row r="31" spans="1:17" s="127" customFormat="1" ht="15">
      <c r="A31" s="145" t="s">
        <v>99</v>
      </c>
      <c r="B31" s="161">
        <f>+H22</f>
        <v>5</v>
      </c>
      <c r="C31" s="161">
        <f t="shared" si="0"/>
        <v>10</v>
      </c>
      <c r="D31" s="161">
        <f t="shared" si="0"/>
        <v>9.8000000000000007</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10</v>
      </c>
      <c r="D32" s="161">
        <f t="shared" si="0"/>
        <v>9.8000000000000007</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10</v>
      </c>
      <c r="D33" s="161">
        <f t="shared" si="0"/>
        <v>9.8000000000000007</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10</v>
      </c>
      <c r="D34" s="161">
        <f t="shared" si="0"/>
        <v>9.8000000000000007</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10</v>
      </c>
      <c r="D35" s="161">
        <f t="shared" si="0"/>
        <v>9.8000000000000007</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10</v>
      </c>
      <c r="D36" s="161">
        <f t="shared" si="0"/>
        <v>9.8000000000000007</v>
      </c>
      <c r="E36" s="147"/>
      <c r="F36" s="147"/>
      <c r="G36" s="685"/>
      <c r="H36" s="685"/>
      <c r="I36" s="685"/>
      <c r="J36" s="685"/>
      <c r="K36" s="147"/>
      <c r="L36" s="685"/>
      <c r="M36" s="685"/>
      <c r="N36" s="685"/>
      <c r="O36" s="701"/>
      <c r="P36" s="148"/>
      <c r="Q36" s="149"/>
    </row>
    <row r="37" spans="1:17" s="127" customFormat="1" ht="15.75" thickBot="1">
      <c r="A37" s="150" t="s">
        <v>105</v>
      </c>
      <c r="B37" s="162">
        <f>+N22</f>
        <v>4</v>
      </c>
      <c r="C37" s="161">
        <f t="shared" si="0"/>
        <v>10</v>
      </c>
      <c r="D37" s="161">
        <f t="shared" si="0"/>
        <v>9.8000000000000007</v>
      </c>
      <c r="E37" s="147"/>
      <c r="F37" s="147"/>
      <c r="G37" s="147"/>
      <c r="H37" s="147"/>
      <c r="I37" s="147"/>
      <c r="J37" s="147"/>
      <c r="K37" s="147"/>
      <c r="L37" s="685"/>
      <c r="M37" s="685"/>
      <c r="N37" s="685"/>
      <c r="O37" s="701"/>
      <c r="P37" s="148"/>
      <c r="Q37" s="149"/>
    </row>
    <row r="38" spans="1:17" s="127" customFormat="1" ht="15.75" thickBot="1">
      <c r="A38" s="152" t="s">
        <v>106</v>
      </c>
      <c r="B38" s="164">
        <f>+O22</f>
        <v>10</v>
      </c>
      <c r="C38" s="164">
        <f>+C37</f>
        <v>10</v>
      </c>
      <c r="D38" s="164">
        <f>+D37</f>
        <v>9.8000000000000007</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 xml:space="preserve">​Durante el mes de enero de 2025 se da cumplimiento a la actividad: "Actualizar los riesgos contemplados en la defensa jurídica del estado y fortalecerlos con el apoyo de la Guía para la Administración del Riesgo." formulada en el cronograma de implementación y sostenibilidad de la política de Defensa Jurídica se realiza la revisión y monitoreo de los riesgos y la efectividad de los controles, se adjunta las evidencias de ejecución de la actividad.
</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​Con respecto a la medición de la tasa de éxito procesal: Durante el primer semestre de 2025 fueron fallados 116 procesos, 7 con sentido del fallo desfavorable que corresponde al 6,03%  y 109 con sentencias favorables que corresponde al 93,97%, evidenciando una adecuada defensa técnica de los intereses de la Superintendencia Nacional de Salud por parte de los abogados del Grupo de Defensa Judicial.
Con respecto a la actualización de la Relatoría: Durante el primer semestre de 2025 los abogados del Grupo de Defensa Judicial, realizaron la actualización de la relatoria, se adjunta como soporte: el documento Relatoría 2025 y la matriz en excel.
Con respecto a fortalecer con capacitación a los abogados en la actuación en procesos orales y cambios normativos: Durante el primer semestre de 2025 los abogados del Grupo de Defensa Judicial, se capacitaron en la Comunidad Jurídica del Conocimiento, se adjuntan evidencias de cursos.
Con respecto al monitoreo de la ejecución del plan de acción de la política del daño antijurídico: En cumplimiento a la actividad,  se adjunta soportes de capacitación del 02 de abril de 2025 de la Subdirección de Recursos Jurídicos. Asímismo se remite correo electrónico del 04 de julio solicitando la evidencias de capacitación de la DIA.
Con respecto a adelantar actividades de seguimiento a la gestión en el marco de la política de prevención del daño antijurídico PPDA en la Superintendencia Nacional de Salud: Como evidencia de realización de la actividad se anexa el reporte de seguimiento a la PPDA del Ekogui.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​En el cuarto trimestre de 2025 y en desarrollo de la politica de gestion y desempeño de defensa juridica se desarrollaron las 4 actividades programadas  en el plan de gestión, por lo que se dio cumplimiento al 100% del indicador previsto.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 realizado 12 actividades para la implementación y sostenibilidad de la política de gestión y desempeño de Defensa Jurídica, con incumplimiento la meta de 12 actividades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BB0F0-6D14-425D-8A77-F629BDE51D4F}">
  <sheetPr codeName="Hoja105"/>
  <dimension ref="A1:Q67"/>
  <sheetViews>
    <sheetView view="pageBreakPreview" zoomScale="80" zoomScaleNormal="73" zoomScaleSheetLayoutView="80" zoomScalePageLayoutView="55" workbookViewId="0">
      <selection activeCell="L12" sqref="L12:M12"/>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Actividades ejecutadas en el cronograma de implementación y sostenibilidad de la política de gestión y desempeño de Mejora Normativa</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15.75">
      <c r="A8" s="792" t="s">
        <v>1594</v>
      </c>
      <c r="B8" s="774"/>
      <c r="C8" s="711" t="str">
        <f>VLOOKUP(L12,Reporte!$A$5:$N$133,13,FALSE)</f>
        <v>Ejecutar cronograma de actividades para la implementación y sostenibilidad de la política de gestión y desempeño de Mejora Normativa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90.75" customHeight="1">
      <c r="A10" s="794"/>
      <c r="B10" s="795"/>
      <c r="C10" s="711" t="str">
        <f>VLOOKUP(L12,Reporte!$N$5:$BN$133,4,FALSE)</f>
        <v>Número de actividades ejecutadas en el cronograma de implementación y sostenibilidad de la política de gestión y desempeño de Mejora Normativa.</v>
      </c>
      <c r="D10" s="711"/>
      <c r="E10" s="711"/>
      <c r="F10" s="799" t="str">
        <f>VLOOKUP(L12,Reporte!$N$5:$BN$133,6,FALSE)</f>
        <v>Este indicador mide el porcentaje de actividades ejecutadas en el cronograma de implemetacion de mejora normativa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330</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32</v>
      </c>
      <c r="D15" s="826"/>
      <c r="E15" s="827"/>
      <c r="F15" s="740" t="str">
        <f>VLOOKUP(L12,Reporte!$N$5:$BN$133,9,FALSE)</f>
        <v xml:space="preserve">Mensual </v>
      </c>
      <c r="G15" s="741"/>
      <c r="H15" s="707" t="s">
        <v>37</v>
      </c>
      <c r="I15" s="707"/>
      <c r="J15" s="746" t="s">
        <v>1595</v>
      </c>
      <c r="K15" s="747"/>
      <c r="L15" s="748"/>
      <c r="M15" s="775" t="str">
        <f>VLOOKUP(L12,Reporte!$N$5:$BN$133,28,FALSE)</f>
        <v>Dirección Jurídica</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1</v>
      </c>
      <c r="E22" s="132">
        <f>VLOOKUP(L12,Reporte!$N$5:$BN$133,32,FALSE)</f>
        <v>4</v>
      </c>
      <c r="F22" s="139">
        <f>VLOOKUP(L12,Reporte!$N$5:$BN$133,33,FALSE)</f>
        <v>1</v>
      </c>
      <c r="G22" s="132">
        <f>VLOOKUP(L12,Reporte!$N$5:$BN$133,34,FALSE)</f>
        <v>0</v>
      </c>
      <c r="H22" s="139">
        <f>VLOOKUP(L12,Reporte!$N$5:$BN$133,35,FALSE)</f>
        <v>7</v>
      </c>
      <c r="I22" s="132">
        <f>VLOOKUP(L12,Reporte!$N$5:$BN$133,36,FALSE)</f>
        <v>0</v>
      </c>
      <c r="J22" s="139">
        <f>VLOOKUP(L12,Reporte!$N$5:$BN$133,37,FALSE)</f>
        <v>1</v>
      </c>
      <c r="K22" s="139">
        <f>VLOOKUP(L12,Reporte!$N$5:$BN$133,38,FALSE)</f>
        <v>6</v>
      </c>
      <c r="L22" s="139">
        <f>VLOOKUP(L12,Reporte!$N$5:$BN$133,39,FALSE)</f>
        <v>1</v>
      </c>
      <c r="M22" s="139">
        <f>VLOOKUP(L12,Reporte!$N$5:$BN$133,40,FALSE)</f>
        <v>0</v>
      </c>
      <c r="N22" s="133">
        <f>VLOOKUP(L12,Reporte!$N$5:$BN$133,41,FALSE)</f>
        <v>11</v>
      </c>
      <c r="O22" s="133">
        <f>SUM(C22:N22)</f>
        <v>32</v>
      </c>
      <c r="P22" s="128"/>
    </row>
    <row r="23" spans="1:17" ht="16.5" thickBot="1">
      <c r="A23" s="690" t="s">
        <v>76</v>
      </c>
      <c r="B23" s="691"/>
      <c r="C23" s="140">
        <f>VLOOKUP(L12,Reporte!$N$5:$BN$133,42,FALSE)</f>
        <v>0</v>
      </c>
      <c r="D23" s="140">
        <f>VLOOKUP(L12,Reporte!$N$5:$BN$133,43,FALSE)</f>
        <v>1</v>
      </c>
      <c r="E23" s="140">
        <f>VLOOKUP(L12,Reporte!$N$5:$BN$133,44,FALSE)</f>
        <v>6</v>
      </c>
      <c r="F23" s="140">
        <f>VLOOKUP(L12,Reporte!$N$5:$BN$133,45,FALSE)</f>
        <v>1</v>
      </c>
      <c r="G23" s="140">
        <f>VLOOKUP(L12,Reporte!$N$5:$BN$133,46,FALSE)</f>
        <v>0</v>
      </c>
      <c r="H23" s="140">
        <f>VLOOKUP(L12,Reporte!$N$5:$BN$133,47,FALSE)</f>
        <v>7</v>
      </c>
      <c r="I23" s="140">
        <f>VLOOKUP(L12,Reporte!$N$5:$BN$133,48,FALSE)</f>
        <v>0</v>
      </c>
      <c r="J23" s="140">
        <f>VLOOKUP(L12,Reporte!$N$5:$BN$133,49,FALSE)</f>
        <v>1</v>
      </c>
      <c r="K23" s="140">
        <f>VLOOKUP(L12,Reporte!$N$5:$BN$133,50,FALSE)</f>
        <v>6</v>
      </c>
      <c r="L23" s="140">
        <f>VLOOKUP(L12,Reporte!$N$5:$BN$133,51,FALSE)</f>
        <v>1</v>
      </c>
      <c r="M23" s="140">
        <f>VLOOKUP(L12,Reporte!$N$5:$BN$133,52,FALSE)</f>
        <v>0</v>
      </c>
      <c r="N23" s="141">
        <f>VLOOKUP(L12,Reporte!$N$5:$BN$133,53,FALSE)</f>
        <v>9</v>
      </c>
      <c r="O23" s="133">
        <f>SUM(C23:N23)</f>
        <v>32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32</v>
      </c>
      <c r="D26" s="161">
        <f>+C26*0.98</f>
        <v>31.36</v>
      </c>
      <c r="E26" s="147"/>
      <c r="F26" s="147"/>
      <c r="G26" s="685"/>
      <c r="H26" s="685"/>
      <c r="I26" s="699"/>
      <c r="J26" s="699"/>
      <c r="K26" s="699"/>
      <c r="L26" s="685"/>
      <c r="M26" s="685"/>
      <c r="N26" s="685"/>
      <c r="O26" s="701"/>
      <c r="P26" s="148"/>
      <c r="Q26" s="149"/>
    </row>
    <row r="27" spans="1:17" s="127" customFormat="1" ht="15">
      <c r="A27" s="145" t="s">
        <v>95</v>
      </c>
      <c r="B27" s="161">
        <f>+D22</f>
        <v>1</v>
      </c>
      <c r="C27" s="161">
        <f>+C26</f>
        <v>32</v>
      </c>
      <c r="D27" s="161">
        <f>+D26</f>
        <v>31.36</v>
      </c>
      <c r="E27" s="147"/>
      <c r="F27" s="147"/>
      <c r="G27" s="685"/>
      <c r="H27" s="685"/>
      <c r="I27" s="685"/>
      <c r="J27" s="685"/>
      <c r="K27" s="147"/>
      <c r="L27" s="685"/>
      <c r="M27" s="685"/>
      <c r="N27" s="685"/>
      <c r="O27" s="701"/>
      <c r="P27" s="148"/>
      <c r="Q27" s="149"/>
    </row>
    <row r="28" spans="1:17" s="127" customFormat="1" ht="15">
      <c r="A28" s="145" t="s">
        <v>96</v>
      </c>
      <c r="B28" s="161">
        <f>+E22</f>
        <v>4</v>
      </c>
      <c r="C28" s="161">
        <f t="shared" ref="C28:D37" si="0">+C27</f>
        <v>32</v>
      </c>
      <c r="D28" s="161">
        <f t="shared" si="0"/>
        <v>31.36</v>
      </c>
      <c r="E28" s="147"/>
      <c r="F28" s="147"/>
      <c r="G28" s="685"/>
      <c r="H28" s="685"/>
      <c r="I28" s="685"/>
      <c r="J28" s="685"/>
      <c r="K28" s="147"/>
      <c r="L28" s="685"/>
      <c r="M28" s="685"/>
      <c r="N28" s="685"/>
      <c r="O28" s="701"/>
      <c r="P28" s="148"/>
      <c r="Q28" s="149"/>
    </row>
    <row r="29" spans="1:17" s="127" customFormat="1" ht="15">
      <c r="A29" s="145" t="s">
        <v>97</v>
      </c>
      <c r="B29" s="161">
        <f>+F22</f>
        <v>1</v>
      </c>
      <c r="C29" s="161">
        <f t="shared" si="0"/>
        <v>32</v>
      </c>
      <c r="D29" s="161">
        <f t="shared" si="0"/>
        <v>31.36</v>
      </c>
      <c r="E29" s="147"/>
      <c r="F29" s="147"/>
      <c r="G29" s="685"/>
      <c r="H29" s="685"/>
      <c r="I29" s="685"/>
      <c r="J29" s="685"/>
      <c r="K29" s="147"/>
      <c r="L29" s="685"/>
      <c r="M29" s="685"/>
      <c r="N29" s="685"/>
      <c r="O29" s="701"/>
      <c r="P29" s="148"/>
      <c r="Q29" s="149"/>
    </row>
    <row r="30" spans="1:17" s="127" customFormat="1" ht="15">
      <c r="A30" s="145" t="s">
        <v>98</v>
      </c>
      <c r="B30" s="161">
        <f>+G22</f>
        <v>0</v>
      </c>
      <c r="C30" s="161">
        <f t="shared" si="0"/>
        <v>32</v>
      </c>
      <c r="D30" s="161">
        <f t="shared" si="0"/>
        <v>31.36</v>
      </c>
      <c r="E30" s="147"/>
      <c r="F30" s="147"/>
      <c r="G30" s="685"/>
      <c r="H30" s="685"/>
      <c r="I30" s="685"/>
      <c r="J30" s="685"/>
      <c r="K30" s="147"/>
      <c r="L30" s="685"/>
      <c r="M30" s="685"/>
      <c r="N30" s="685"/>
      <c r="O30" s="701"/>
      <c r="P30" s="148"/>
      <c r="Q30" s="149"/>
    </row>
    <row r="31" spans="1:17" s="127" customFormat="1" ht="15">
      <c r="A31" s="145" t="s">
        <v>99</v>
      </c>
      <c r="B31" s="161">
        <f>+H22</f>
        <v>7</v>
      </c>
      <c r="C31" s="161">
        <f t="shared" si="0"/>
        <v>32</v>
      </c>
      <c r="D31" s="161">
        <f t="shared" si="0"/>
        <v>31.36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32</v>
      </c>
      <c r="D32" s="161">
        <f t="shared" si="0"/>
        <v>31.36</v>
      </c>
      <c r="E32" s="147"/>
      <c r="F32" s="147"/>
      <c r="G32" s="685"/>
      <c r="H32" s="685"/>
      <c r="I32" s="685"/>
      <c r="J32" s="685"/>
      <c r="K32" s="147"/>
      <c r="L32" s="685"/>
      <c r="M32" s="685"/>
      <c r="N32" s="685"/>
      <c r="O32" s="701"/>
      <c r="P32" s="148"/>
      <c r="Q32" s="149"/>
    </row>
    <row r="33" spans="1:17" s="127" customFormat="1" ht="15">
      <c r="A33" s="145" t="s">
        <v>101</v>
      </c>
      <c r="B33" s="161">
        <f>+J22</f>
        <v>1</v>
      </c>
      <c r="C33" s="161">
        <f t="shared" si="0"/>
        <v>32</v>
      </c>
      <c r="D33" s="161">
        <f t="shared" si="0"/>
        <v>31.36</v>
      </c>
      <c r="E33" s="147"/>
      <c r="F33" s="147"/>
      <c r="G33" s="685"/>
      <c r="H33" s="685"/>
      <c r="I33" s="685"/>
      <c r="J33" s="685"/>
      <c r="K33" s="147"/>
      <c r="L33" s="685"/>
      <c r="M33" s="685"/>
      <c r="N33" s="685"/>
      <c r="O33" s="701"/>
      <c r="P33" s="148"/>
      <c r="Q33" s="149"/>
    </row>
    <row r="34" spans="1:17" s="127" customFormat="1" ht="15">
      <c r="A34" s="145" t="s">
        <v>102</v>
      </c>
      <c r="B34" s="161">
        <f>+K22</f>
        <v>6</v>
      </c>
      <c r="C34" s="161">
        <f t="shared" si="0"/>
        <v>32</v>
      </c>
      <c r="D34" s="161">
        <f t="shared" si="0"/>
        <v>31.36</v>
      </c>
      <c r="E34" s="147"/>
      <c r="F34" s="147"/>
      <c r="G34" s="685"/>
      <c r="H34" s="685"/>
      <c r="I34" s="685"/>
      <c r="J34" s="685"/>
      <c r="K34" s="147"/>
      <c r="L34" s="685"/>
      <c r="M34" s="685"/>
      <c r="N34" s="685"/>
      <c r="O34" s="701"/>
      <c r="P34" s="148"/>
      <c r="Q34" s="149"/>
    </row>
    <row r="35" spans="1:17" s="127" customFormat="1" ht="15">
      <c r="A35" s="145" t="s">
        <v>103</v>
      </c>
      <c r="B35" s="161">
        <f>+L22</f>
        <v>1</v>
      </c>
      <c r="C35" s="161">
        <f t="shared" si="0"/>
        <v>32</v>
      </c>
      <c r="D35" s="161">
        <f t="shared" si="0"/>
        <v>31.36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32</v>
      </c>
      <c r="D36" s="161">
        <f t="shared" si="0"/>
        <v>31.36</v>
      </c>
      <c r="E36" s="147"/>
      <c r="F36" s="147"/>
      <c r="G36" s="685"/>
      <c r="H36" s="685"/>
      <c r="I36" s="685"/>
      <c r="J36" s="685"/>
      <c r="K36" s="147"/>
      <c r="L36" s="685"/>
      <c r="M36" s="685"/>
      <c r="N36" s="685"/>
      <c r="O36" s="701"/>
      <c r="P36" s="148"/>
      <c r="Q36" s="149"/>
    </row>
    <row r="37" spans="1:17" s="127" customFormat="1" ht="15.75" thickBot="1">
      <c r="A37" s="150" t="s">
        <v>105</v>
      </c>
      <c r="B37" s="162">
        <f>+N22</f>
        <v>11</v>
      </c>
      <c r="C37" s="161">
        <f t="shared" si="0"/>
        <v>32</v>
      </c>
      <c r="D37" s="161">
        <f t="shared" si="0"/>
        <v>31.36</v>
      </c>
      <c r="E37" s="147"/>
      <c r="F37" s="147"/>
      <c r="G37" s="147"/>
      <c r="H37" s="147"/>
      <c r="I37" s="147"/>
      <c r="J37" s="147"/>
      <c r="K37" s="147"/>
      <c r="L37" s="685"/>
      <c r="M37" s="685"/>
      <c r="N37" s="685"/>
      <c r="O37" s="701"/>
      <c r="P37" s="148"/>
      <c r="Q37" s="149"/>
    </row>
    <row r="38" spans="1:17" s="127" customFormat="1" ht="15.75" thickBot="1">
      <c r="A38" s="152" t="s">
        <v>106</v>
      </c>
      <c r="B38" s="164">
        <f>+O22</f>
        <v>32</v>
      </c>
      <c r="C38" s="164">
        <f>+C37</f>
        <v>32</v>
      </c>
      <c r="D38" s="164">
        <f>+D37</f>
        <v>31.36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 xml:space="preserve">​Para el primer trimestre de 2025 se llevao a cabo 1 reunion entre la Dirección Jurídica y la Dirección de Innovación y Desarrollo respecto de la implementación de la politica de mejora normativa al interior de la Superintendencia y en la que además se recopilaron datos al respecto para reporte FURAG. Adicionalmente, se realizarón 2 reuniones más del equipo de política de mejora normativa al interior de la Dirección Jurídica
</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​Para el primer trimestre de 2025  fueron efectuadas 4 actualizaciones del normograma según lo pactado en el contrato No. 36 de 2025, sin embargo, al iniciar el contrato a finales de febrero de 2025 no se logró completar las 6 actualizaciones proyectadas para el primer trimestre.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​Para el mes de abril de 2025 se llevo a cabo 1 reunió entre la Dirección Jurídica y la Dirección de Innovación y Desarrollo respecto de la implementación de la politica de mejora normativa al interior de la Superintendencia, en la cual se continuo abordando el tema del ciclo de gobernanza relacionado, entre otras, con la emisión de una circular conjunta con el MSPS sobre la prohibición de intermediación del paciente  o usuario en la autorización de servicios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0" t="str">
        <f>VLOOKUP(L12,Reporte!$N$5:$BZ$133,59,FALSE)</f>
        <v xml:space="preserve">​Durante este trimestre se realizaron las 6 actualizaciones correspondiente al normograma de la entidad. Adicionalmente, se programó mesa de trabajo de la politica de mejora nornativa para el 16 de junio de 2025; sin embargo esta se reprogramó para el dia 1 de julio de 2025 por contingencias laborales en las Direcciones.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​Se cumple con el desarrollo de una mesa de trabajo para la implementación y sostenibilidad de la política de gestión y desempeño de Mejora Normativa de una actividad programada dentro del cronograma para el  mes de agosto de 2025, mesa que se adelantó conjuntamente con el grupo de conceptos de la Dirección Jurídica y la Dirección de Innovación y Desarrollo con el objeto de revisar propuesta del manual de mejora normativa y aclarar competencias frente al proceso.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​Se ejecutaron las 6 actividades programadas para el mes de septiembre conforme al cronograma de implementación y sostenibilidad de la Política de Mejora Normativa.  Con estas actividades se busca la expedición del Manual de mejor Normativa y demás compromisos adquiridos en la implementación y sostenibilidad de la política de mejora normativa.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 xml:space="preserve">Para el mes de octubre se ejcutó actividades del cronograma de implementación y sostenibilidad de la política de gestión y desempeño de Mejora Normativa relacionadas con la elaboración del manual de mejora normativa:  Mesa de trabajo 23 de octubre de 2025 "PRESENTACION VERSION FINAL MANUAL DE MEJORA NORMATIVA" realizada en la Dirección Jurídica con la presencia de la Dirección de Innovación y Desarrollo con el acompañamiento de los enlaces de planeación. Mediante Memorando20251600100109193 de 30 de octubre de 2025 la Dirección Jurídica remitió el Manual de Mejora Normativa a la Oficina Asesora de Planeación para la respectiva gestión.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32 actividades para implementar la política de gestión y desempeño de Mejora Normativa, con cumplimiento de la meta para 2025.
Se presentan inconsistencias en el reporte de datos realizado en el SharePoint de PAG 2025, sin embargo con la validación de evidencias se ajusto el balance final.</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209E8-D4D2-4856-90AA-6FC1BFAD44AB}">
  <sheetPr codeName="Hoja106"/>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28.5" customHeight="1">
      <c r="A6" s="789" t="s">
        <v>8</v>
      </c>
      <c r="B6" s="790"/>
      <c r="C6" s="711" t="str">
        <f>VLOOKUP(L12,Reporte!$N$5:$BN$133,2,FALSE)</f>
        <v>Informes de seguimiento sobre el comportamiento de canales digitales elaborados.</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Realizar seguimiento a través de la  herramienta metodológica del comportamiento de los canales digitales de la entidad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7.75" customHeight="1">
      <c r="A10" s="794"/>
      <c r="B10" s="795"/>
      <c r="C10" s="711" t="str">
        <f>VLOOKUP(L12,Reporte!$N$5:$BN$133,4,FALSE)</f>
        <v>Número de informes de seguimiento sobre el comportamiento de canales digitales elaborados.</v>
      </c>
      <c r="D10" s="711"/>
      <c r="E10" s="711"/>
      <c r="F10" s="799" t="str">
        <f>VLOOKUP(L12,Reporte!$N$5:$BN$133,6,FALSE)</f>
        <v>Este indicador mide el número de informes de seguimiento sobre el comportamiento de canales digitales elaborados.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266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4</v>
      </c>
      <c r="D15" s="826"/>
      <c r="E15" s="827"/>
      <c r="F15" s="740" t="str">
        <f>VLOOKUP(L12,Reporte!$N$5:$BN$133,9,FALSE)</f>
        <v>Trimestral</v>
      </c>
      <c r="G15" s="741"/>
      <c r="H15" s="707" t="s">
        <v>37</v>
      </c>
      <c r="I15" s="707"/>
      <c r="J15" s="746" t="s">
        <v>1595</v>
      </c>
      <c r="K15" s="747"/>
      <c r="L15" s="748"/>
      <c r="M15" s="775" t="str">
        <f>VLOOKUP(L12,Reporte!$N$5:$BN$133,28,FALSE)</f>
        <v>Oficina Asesora de Comunicaciones</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1</v>
      </c>
      <c r="G22" s="132">
        <f>VLOOKUP(L12,Reporte!$N$5:$BN$133,34,FALSE)</f>
        <v>0</v>
      </c>
      <c r="H22" s="139">
        <f>VLOOKUP(L12,Reporte!$N$5:$BN$133,35,FALSE)</f>
        <v>0</v>
      </c>
      <c r="I22" s="132">
        <f>VLOOKUP(L12,Reporte!$N$5:$BN$133,36,FALSE)</f>
        <v>2</v>
      </c>
      <c r="J22" s="139">
        <f>VLOOKUP(L12,Reporte!$N$5:$BN$133,37,FALSE)</f>
        <v>0</v>
      </c>
      <c r="K22" s="139">
        <f>VLOOKUP(L12,Reporte!$N$5:$BN$133,38,FALSE)</f>
        <v>1</v>
      </c>
      <c r="L22" s="139">
        <f>VLOOKUP(L12,Reporte!$N$5:$BN$133,39,FALSE)</f>
        <v>0</v>
      </c>
      <c r="M22" s="139">
        <f>VLOOKUP(L12,Reporte!$N$5:$BN$133,40,FALSE)</f>
        <v>0</v>
      </c>
      <c r="N22" s="133">
        <f>VLOOKUP(L12,Reporte!$N$5:$BN$133,41,FALSE)</f>
        <v>1</v>
      </c>
      <c r="O22" s="133">
        <f>SUM(C22:N22)</f>
        <v>5</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1</v>
      </c>
      <c r="G23" s="140">
        <f>VLOOKUP(L12,Reporte!$N$5:$BN$133,46,FALSE)</f>
        <v>0</v>
      </c>
      <c r="H23" s="140">
        <f>VLOOKUP(L12,Reporte!$N$5:$BN$133,47,FALSE)</f>
        <v>0</v>
      </c>
      <c r="I23" s="140">
        <f>VLOOKUP(L12,Reporte!$N$5:$BN$133,48,FALSE)</f>
        <v>2</v>
      </c>
      <c r="J23" s="140">
        <f>VLOOKUP(L12,Reporte!$N$5:$BN$133,49,FALSE)</f>
        <v>0</v>
      </c>
      <c r="K23" s="140">
        <f>VLOOKUP(L12,Reporte!$N$5:$BN$133,50,FALSE)</f>
        <v>1</v>
      </c>
      <c r="L23" s="140">
        <f>VLOOKUP(L12,Reporte!$N$5:$BN$133,51,FALSE)</f>
        <v>0</v>
      </c>
      <c r="M23" s="140">
        <f>VLOOKUP(L12,Reporte!$N$5:$BN$133,52,FALSE)</f>
        <v>0</v>
      </c>
      <c r="N23" s="141">
        <f>VLOOKUP(L12,Reporte!$N$5:$BN$133,53,FALSE)</f>
        <v>1</v>
      </c>
      <c r="O23" s="133">
        <f>SUM(C23:N23)</f>
        <v>5</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4</v>
      </c>
      <c r="D26" s="161">
        <f>+C26*0.98</f>
        <v>3.92</v>
      </c>
      <c r="E26" s="147"/>
      <c r="F26" s="147"/>
      <c r="G26" s="685"/>
      <c r="H26" s="685"/>
      <c r="I26" s="699"/>
      <c r="J26" s="699"/>
      <c r="K26" s="699"/>
      <c r="L26" s="685"/>
      <c r="M26" s="685"/>
      <c r="N26" s="685"/>
      <c r="O26" s="701"/>
      <c r="P26" s="148"/>
      <c r="Q26" s="149"/>
    </row>
    <row r="27" spans="1:17" s="127" customFormat="1" ht="15">
      <c r="A27" s="145" t="s">
        <v>95</v>
      </c>
      <c r="B27" s="161">
        <f>+D22</f>
        <v>0</v>
      </c>
      <c r="C27" s="161">
        <f>+C26</f>
        <v>4</v>
      </c>
      <c r="D27" s="161">
        <f>+D26</f>
        <v>3.92</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4</v>
      </c>
      <c r="D28" s="161">
        <f t="shared" si="0"/>
        <v>3.92</v>
      </c>
      <c r="E28" s="147"/>
      <c r="F28" s="147"/>
      <c r="G28" s="685"/>
      <c r="H28" s="685"/>
      <c r="I28" s="685"/>
      <c r="J28" s="685"/>
      <c r="K28" s="147"/>
      <c r="L28" s="685"/>
      <c r="M28" s="685"/>
      <c r="N28" s="685"/>
      <c r="O28" s="701"/>
      <c r="P28" s="148"/>
      <c r="Q28" s="149"/>
    </row>
    <row r="29" spans="1:17" s="127" customFormat="1" ht="15">
      <c r="A29" s="145" t="s">
        <v>97</v>
      </c>
      <c r="B29" s="161">
        <f>+F22</f>
        <v>1</v>
      </c>
      <c r="C29" s="161">
        <f t="shared" si="0"/>
        <v>4</v>
      </c>
      <c r="D29" s="161">
        <f t="shared" si="0"/>
        <v>3.92</v>
      </c>
      <c r="E29" s="147"/>
      <c r="F29" s="147"/>
      <c r="G29" s="685"/>
      <c r="H29" s="685"/>
      <c r="I29" s="685"/>
      <c r="J29" s="685"/>
      <c r="K29" s="147"/>
      <c r="L29" s="685"/>
      <c r="M29" s="685"/>
      <c r="N29" s="685"/>
      <c r="O29" s="701"/>
      <c r="P29" s="148"/>
      <c r="Q29" s="149"/>
    </row>
    <row r="30" spans="1:17" s="127" customFormat="1" ht="15">
      <c r="A30" s="145" t="s">
        <v>98</v>
      </c>
      <c r="B30" s="161">
        <f>+G22</f>
        <v>0</v>
      </c>
      <c r="C30" s="161">
        <f t="shared" si="0"/>
        <v>4</v>
      </c>
      <c r="D30" s="161">
        <f t="shared" si="0"/>
        <v>3.92</v>
      </c>
      <c r="E30" s="147"/>
      <c r="F30" s="147"/>
      <c r="G30" s="685"/>
      <c r="H30" s="685"/>
      <c r="I30" s="685"/>
      <c r="J30" s="685"/>
      <c r="K30" s="147"/>
      <c r="L30" s="685"/>
      <c r="M30" s="685"/>
      <c r="N30" s="685"/>
      <c r="O30" s="701"/>
      <c r="P30" s="148"/>
      <c r="Q30" s="149"/>
    </row>
    <row r="31" spans="1:17" s="127" customFormat="1" ht="15">
      <c r="A31" s="145" t="s">
        <v>99</v>
      </c>
      <c r="B31" s="161">
        <f>+H22</f>
        <v>0</v>
      </c>
      <c r="C31" s="161">
        <f t="shared" si="0"/>
        <v>4</v>
      </c>
      <c r="D31" s="161">
        <f t="shared" si="0"/>
        <v>3.92</v>
      </c>
      <c r="E31" s="147"/>
      <c r="F31" s="147"/>
      <c r="G31" s="685"/>
      <c r="H31" s="685"/>
      <c r="I31" s="685"/>
      <c r="J31" s="685"/>
      <c r="K31" s="147"/>
      <c r="L31" s="685"/>
      <c r="M31" s="685"/>
      <c r="N31" s="685"/>
      <c r="O31" s="701"/>
      <c r="P31" s="148"/>
      <c r="Q31" s="149"/>
    </row>
    <row r="32" spans="1:17" s="127" customFormat="1" ht="15">
      <c r="A32" s="145" t="s">
        <v>100</v>
      </c>
      <c r="B32" s="161">
        <f>+I22</f>
        <v>2</v>
      </c>
      <c r="C32" s="161">
        <f t="shared" si="0"/>
        <v>4</v>
      </c>
      <c r="D32" s="161">
        <f t="shared" si="0"/>
        <v>3.92</v>
      </c>
      <c r="E32" s="147"/>
      <c r="F32" s="147"/>
      <c r="G32" s="685"/>
      <c r="H32" s="685"/>
      <c r="I32" s="685"/>
      <c r="J32" s="685"/>
      <c r="K32" s="147"/>
      <c r="L32" s="685"/>
      <c r="M32" s="685"/>
      <c r="N32" s="685"/>
      <c r="O32" s="701"/>
      <c r="P32" s="148"/>
      <c r="Q32" s="149"/>
    </row>
    <row r="33" spans="1:17" s="127" customFormat="1" ht="15">
      <c r="A33" s="145" t="s">
        <v>101</v>
      </c>
      <c r="B33" s="161">
        <f>+J22</f>
        <v>0</v>
      </c>
      <c r="C33" s="161">
        <f t="shared" si="0"/>
        <v>4</v>
      </c>
      <c r="D33" s="161">
        <f t="shared" si="0"/>
        <v>3.92</v>
      </c>
      <c r="E33" s="147"/>
      <c r="F33" s="147"/>
      <c r="G33" s="685"/>
      <c r="H33" s="685"/>
      <c r="I33" s="685"/>
      <c r="J33" s="685"/>
      <c r="K33" s="147"/>
      <c r="L33" s="685"/>
      <c r="M33" s="685"/>
      <c r="N33" s="685"/>
      <c r="O33" s="701"/>
      <c r="P33" s="148"/>
      <c r="Q33" s="149"/>
    </row>
    <row r="34" spans="1:17" s="127" customFormat="1" ht="15">
      <c r="A34" s="145" t="s">
        <v>102</v>
      </c>
      <c r="B34" s="161">
        <f>+K22</f>
        <v>1</v>
      </c>
      <c r="C34" s="161">
        <f t="shared" si="0"/>
        <v>4</v>
      </c>
      <c r="D34" s="161">
        <f t="shared" si="0"/>
        <v>3.92</v>
      </c>
      <c r="E34" s="147"/>
      <c r="F34" s="147"/>
      <c r="G34" s="685"/>
      <c r="H34" s="685"/>
      <c r="I34" s="685"/>
      <c r="J34" s="685"/>
      <c r="K34" s="147"/>
      <c r="L34" s="685"/>
      <c r="M34" s="685"/>
      <c r="N34" s="685"/>
      <c r="O34" s="701"/>
      <c r="P34" s="148"/>
      <c r="Q34" s="149"/>
    </row>
    <row r="35" spans="1:17" s="127" customFormat="1" ht="15">
      <c r="A35" s="145" t="s">
        <v>103</v>
      </c>
      <c r="B35" s="161">
        <f>+L22</f>
        <v>0</v>
      </c>
      <c r="C35" s="161">
        <f t="shared" si="0"/>
        <v>4</v>
      </c>
      <c r="D35" s="161">
        <f t="shared" si="0"/>
        <v>3.92</v>
      </c>
      <c r="E35" s="147"/>
      <c r="F35" s="147"/>
      <c r="G35" s="685"/>
      <c r="H35" s="685"/>
      <c r="I35" s="685"/>
      <c r="J35" s="685"/>
      <c r="K35" s="147"/>
      <c r="L35" s="685"/>
      <c r="M35" s="685"/>
      <c r="N35" s="685"/>
      <c r="O35" s="701"/>
      <c r="P35" s="148"/>
      <c r="Q35" s="149"/>
    </row>
    <row r="36" spans="1:17" s="127" customFormat="1" ht="15">
      <c r="A36" s="145" t="s">
        <v>104</v>
      </c>
      <c r="B36" s="161">
        <f>+M22</f>
        <v>0</v>
      </c>
      <c r="C36" s="161">
        <f t="shared" si="0"/>
        <v>4</v>
      </c>
      <c r="D36" s="161">
        <f t="shared" si="0"/>
        <v>3.92</v>
      </c>
      <c r="E36" s="147"/>
      <c r="F36" s="147"/>
      <c r="G36" s="685"/>
      <c r="H36" s="685"/>
      <c r="I36" s="685"/>
      <c r="J36" s="685"/>
      <c r="K36" s="147"/>
      <c r="L36" s="685"/>
      <c r="M36" s="685"/>
      <c r="N36" s="685"/>
      <c r="O36" s="701"/>
      <c r="P36" s="148"/>
      <c r="Q36" s="149"/>
    </row>
    <row r="37" spans="1:17" s="127" customFormat="1" ht="15.75" thickBot="1">
      <c r="A37" s="150" t="s">
        <v>105</v>
      </c>
      <c r="B37" s="162">
        <f>+N22</f>
        <v>1</v>
      </c>
      <c r="C37" s="161">
        <f t="shared" si="0"/>
        <v>4</v>
      </c>
      <c r="D37" s="161">
        <f t="shared" si="0"/>
        <v>3.92</v>
      </c>
      <c r="E37" s="147"/>
      <c r="F37" s="147"/>
      <c r="G37" s="147"/>
      <c r="H37" s="147"/>
      <c r="I37" s="147"/>
      <c r="J37" s="147"/>
      <c r="K37" s="147"/>
      <c r="L37" s="685"/>
      <c r="M37" s="685"/>
      <c r="N37" s="685"/>
      <c r="O37" s="701"/>
      <c r="P37" s="148"/>
      <c r="Q37" s="149"/>
    </row>
    <row r="38" spans="1:17" s="127" customFormat="1" ht="15.75" thickBot="1">
      <c r="A38" s="152" t="s">
        <v>106</v>
      </c>
      <c r="B38" s="164">
        <f>+O22</f>
        <v>5</v>
      </c>
      <c r="C38" s="164">
        <f>+C37</f>
        <v>4</v>
      </c>
      <c r="D38" s="164">
        <f>+D37</f>
        <v>3.92</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​En el link adjunto se evidencia el avance y seguimiento de la gestión digital en nuestros canales de comunicación establecidos. Tal es el caso del aumento de seguidores, visualización de conteenidos e interacción de mensajes institucionales.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 xml:space="preserve">​Bajo este informe digital, se puede observar el ranking de las paginas institucionales más visitadas, detalle de la participación mesual por parte de los internautas, aumento de consulta por temas publicados, entre otros.
</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El informe presenta un resultado positivo al señalar que el indicador alcanza un cumplimiento del 100%, lo cual refleja la ejecución total de la meta propuesta. La referencia al archivo INF-GESTION-DIGITAL-SEP2025.xlsx aporta soporte documental y evidencia cuantitativa del logro alcanzado, permitiendo la trazabilidad del cumplimiento.
Asimismo, se destaca el aumento de seguidores e interacción en las redes sociales institucionales, lo que puede interpretarse como un crecimiento en el alcance, la visibilidad y el posicionamiento digital de la entidad. Este comportamiento sugiere una efectiva implementación de las estrategias de comunicación digital, coherente con los objetivos misionales de transparencia, participación y cercanía con la ciudadanía.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77" customHeight="1" thickBot="1">
      <c r="A63" s="673" t="str">
        <f>VLOOKUP(L12,Reporte!$N$5:$BZ$133,65,FALSE)</f>
        <v xml:space="preserve">​El informe evidencia un resultado altamente satisfactorio al indicar que el indicador evaluado alcanza un nivel de cumplimiento del 100 %, lo cual da cuenta de la ejecución íntegra de la meta establecida para el periodo analizado. Este resultado refleja una gestión eficaz a nivel de comunicación digital, orientada al logro de los objetivos definidos. La referencia explícita al archivo INF-GESTION-DIGITAL-NOV2025.xlsx constituye un respaldo documental sólido, al aportar evidencia cuantitativa verificable que permite garantizar la trazabilidad, transparencia y consistencia del cumplimiento reportado.
De igual manera, se resalta el incremento tanto en el número de seguidores como en los niveles de interacción en las redes sociales institucionales, lo cual puede interpretarse como un fortalecimiento progresivo del alcance, la visibilidad y el posicionamiento digital de la entidad ante la ciudadanía. Este comportamiento demuestra que las estrategias de comunicación digital implementadas han sido efectivas, al lograr captar el interés de los públicos objetivos y fomentar una relación más cercana y dinámica con los usuarios de los servicios de salud y la sociedad en general.
En este sentido, el fortalecimiento del ecosistema digital resulta especialmente relevante para la Superintendencia Nacional de Salud, cuyo rol misional exige no solo la vigilancia y el control, sino también la generación de confianza, legitimidad institucional y percepción de cercanía con la ciudadanía. Una presencia digital sólida y estratégica contribuye a mejorar la comprensión del quehacer institucional, facilita el acceso a la información pública y promueve la participación ciudadana, en coherencia con los principios de transparencia, y responsabilidad que rigen la función administrativa. En consecuencia, los resultados reportados no solo reflejan un cumplimiento técnico de metas, sino también avances significativos en la consolidación del posicionamiento institucional y en la construcción de una relación más abierta y efectiva con la ciudadanía.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5 informes con un sobrecumplimiento de 125%, con respecto a la meta de 4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9E895-9C45-4157-9B90-669344559F1F}">
  <sheetPr codeName="Hoja10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31.5" customHeight="1">
      <c r="A6" s="789" t="s">
        <v>8</v>
      </c>
      <c r="B6" s="790"/>
      <c r="C6" s="711" t="str">
        <f>VLOOKUP(L12,Reporte!$N$5:$BN$133,2,FALSE)</f>
        <v>Campañas institucionales realizadas</v>
      </c>
      <c r="D6" s="711"/>
      <c r="E6" s="711"/>
      <c r="F6" s="711"/>
      <c r="G6" s="711"/>
      <c r="H6" s="711"/>
      <c r="I6" s="711"/>
      <c r="J6" s="711"/>
      <c r="K6" s="711"/>
      <c r="L6" s="711"/>
      <c r="M6" s="711"/>
      <c r="N6" s="711"/>
      <c r="O6" s="791"/>
      <c r="P6" s="128"/>
    </row>
    <row r="7" spans="1:17" ht="33"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31.5" customHeight="1">
      <c r="A8" s="792" t="s">
        <v>1594</v>
      </c>
      <c r="B8" s="774"/>
      <c r="C8" s="711" t="str">
        <f>VLOOKUP(L12,Reporte!$A$5:$N$133,13,FALSE)</f>
        <v>Realizar campañas institucionales en el marco de posicionar la imagen de la Superintendencia Nacional de Salud  y mejorar la gestión de la reputación institucional.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33.75" customHeight="1">
      <c r="A10" s="794"/>
      <c r="B10" s="795"/>
      <c r="C10" s="711" t="str">
        <f>VLOOKUP(L12,Reporte!$N$5:$BN$133,4,FALSE)</f>
        <v>Número de campañas institucionales socializadas</v>
      </c>
      <c r="D10" s="711"/>
      <c r="E10" s="711"/>
      <c r="F10" s="799" t="str">
        <f>VLOOKUP(L12,Reporte!$N$5:$BN$133,6,FALSE)</f>
        <v>Este indicador mide el número de camapañas realizadas y socializadas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Eficiencia</v>
      </c>
      <c r="K12" s="712"/>
      <c r="L12" s="713" t="s">
        <v>312</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734">
        <f>VLOOKUP(L12,Reporte!$N$5:$BN$133,11,FALSE)</f>
        <v>1</v>
      </c>
      <c r="D15" s="735"/>
      <c r="E15" s="729"/>
      <c r="F15" s="740" t="str">
        <f>VLOOKUP(L12,Reporte!$N$5:$BN$133,9,FALSE)</f>
        <v>Cuatrimestral</v>
      </c>
      <c r="G15" s="741"/>
      <c r="H15" s="707" t="s">
        <v>37</v>
      </c>
      <c r="I15" s="707"/>
      <c r="J15" s="746" t="s">
        <v>1595</v>
      </c>
      <c r="K15" s="747"/>
      <c r="L15" s="748"/>
      <c r="M15" s="775" t="str">
        <f>VLOOKUP(L12,Reporte!$N$5:$BN$133,28,FALSE)</f>
        <v>Oficina Asesora de Comunicaciones</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2</v>
      </c>
      <c r="G22" s="132">
        <f>VLOOKUP(L12,Reporte!$N$5:$BN$133,34,FALSE)</f>
        <v>0</v>
      </c>
      <c r="H22" s="139">
        <f>VLOOKUP(L12,Reporte!$N$5:$BN$133,35,FALSE)</f>
        <v>0</v>
      </c>
      <c r="I22" s="132">
        <f>VLOOKUP(L12,Reporte!$N$5:$BN$133,36,FALSE)</f>
        <v>0</v>
      </c>
      <c r="J22" s="139">
        <f>VLOOKUP(L12,Reporte!$N$5:$BN$133,37,FALSE)</f>
        <v>1</v>
      </c>
      <c r="K22" s="139">
        <f>VLOOKUP(L12,Reporte!$N$5:$BN$133,38,FALSE)</f>
        <v>0</v>
      </c>
      <c r="L22" s="139">
        <f>VLOOKUP(L12,Reporte!$N$5:$BN$133,39,FALSE)</f>
        <v>0</v>
      </c>
      <c r="M22" s="139">
        <f>VLOOKUP(L12,Reporte!$N$5:$BN$133,40,FALSE)</f>
        <v>0</v>
      </c>
      <c r="N22" s="133">
        <f>VLOOKUP(L12,Reporte!$N$5:$BN$133,41,FALSE)</f>
        <v>2</v>
      </c>
      <c r="O22" s="133">
        <f>SUM(C22:N22)</f>
        <v>5</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2</v>
      </c>
      <c r="G23" s="140">
        <f>VLOOKUP(L12,Reporte!$N$5:$BN$133,46,FALSE)</f>
        <v>0</v>
      </c>
      <c r="H23" s="140">
        <f>VLOOKUP(L12,Reporte!$N$5:$BN$133,47,FALSE)</f>
        <v>0</v>
      </c>
      <c r="I23" s="140">
        <f>VLOOKUP(L12,Reporte!$N$5:$BN$133,48,FALSE)</f>
        <v>0</v>
      </c>
      <c r="J23" s="140">
        <f>VLOOKUP(L12,Reporte!$N$5:$BN$133,49,FALSE)</f>
        <v>1</v>
      </c>
      <c r="K23" s="140">
        <f>VLOOKUP(L12,Reporte!$N$5:$BN$133,50,FALSE)</f>
        <v>0</v>
      </c>
      <c r="L23" s="140">
        <f>VLOOKUP(L12,Reporte!$N$5:$BN$133,51,FALSE)</f>
        <v>0</v>
      </c>
      <c r="M23" s="140">
        <f>VLOOKUP(L12,Reporte!$N$5:$BN$133,52,FALSE)</f>
        <v>0</v>
      </c>
      <c r="N23" s="141">
        <f>VLOOKUP(L12,Reporte!$N$5:$BN$133,53,FALSE)</f>
        <v>2</v>
      </c>
      <c r="O23" s="133">
        <f>SUM(C23:N23)</f>
        <v>5</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v>
      </c>
      <c r="D26" s="161">
        <f>+C26*0.98</f>
        <v>0.98</v>
      </c>
      <c r="E26" s="147"/>
      <c r="F26" s="147"/>
      <c r="G26" s="685"/>
      <c r="H26" s="685"/>
      <c r="I26" s="699"/>
      <c r="J26" s="699"/>
      <c r="K26" s="699"/>
      <c r="L26" s="685"/>
      <c r="M26" s="685"/>
      <c r="N26" s="685"/>
      <c r="O26" s="701"/>
      <c r="P26" s="148"/>
      <c r="Q26" s="149"/>
    </row>
    <row r="27" spans="1:17" s="127" customFormat="1" ht="15">
      <c r="A27" s="145" t="s">
        <v>95</v>
      </c>
      <c r="B27" s="161">
        <f>+D22</f>
        <v>0</v>
      </c>
      <c r="C27" s="161">
        <f>+C26</f>
        <v>1</v>
      </c>
      <c r="D27" s="161">
        <f>+D26</f>
        <v>0.98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v>
      </c>
      <c r="D28" s="161">
        <f t="shared" si="0"/>
        <v>0.98</v>
      </c>
      <c r="E28" s="147"/>
      <c r="F28" s="147"/>
      <c r="G28" s="685"/>
      <c r="H28" s="685"/>
      <c r="I28" s="685"/>
      <c r="J28" s="685"/>
      <c r="K28" s="147"/>
      <c r="L28" s="685"/>
      <c r="M28" s="685"/>
      <c r="N28" s="685"/>
      <c r="O28" s="701"/>
      <c r="P28" s="148"/>
      <c r="Q28" s="149"/>
    </row>
    <row r="29" spans="1:17" s="127" customFormat="1" ht="15">
      <c r="A29" s="145" t="s">
        <v>97</v>
      </c>
      <c r="B29" s="161">
        <f>+F22</f>
        <v>2</v>
      </c>
      <c r="C29" s="161">
        <f t="shared" si="0"/>
        <v>1</v>
      </c>
      <c r="D29" s="161">
        <f t="shared" si="0"/>
        <v>0.98</v>
      </c>
      <c r="E29" s="147"/>
      <c r="F29" s="147"/>
      <c r="G29" s="685"/>
      <c r="H29" s="685"/>
      <c r="I29" s="685"/>
      <c r="J29" s="685"/>
      <c r="K29" s="147"/>
      <c r="L29" s="685"/>
      <c r="M29" s="685"/>
      <c r="N29" s="685"/>
      <c r="O29" s="701"/>
      <c r="P29" s="148"/>
      <c r="Q29" s="149"/>
    </row>
    <row r="30" spans="1:17" s="127" customFormat="1" ht="15">
      <c r="A30" s="145" t="s">
        <v>98</v>
      </c>
      <c r="B30" s="161">
        <f>+G22</f>
        <v>0</v>
      </c>
      <c r="C30" s="161">
        <f t="shared" si="0"/>
        <v>1</v>
      </c>
      <c r="D30" s="161">
        <f t="shared" si="0"/>
        <v>0.98</v>
      </c>
      <c r="E30" s="147"/>
      <c r="F30" s="147"/>
      <c r="G30" s="685"/>
      <c r="H30" s="685"/>
      <c r="I30" s="685"/>
      <c r="J30" s="685"/>
      <c r="K30" s="147"/>
      <c r="L30" s="685"/>
      <c r="M30" s="685"/>
      <c r="N30" s="685"/>
      <c r="O30" s="701"/>
      <c r="P30" s="148"/>
      <c r="Q30" s="149"/>
    </row>
    <row r="31" spans="1:17" s="127" customFormat="1" ht="15">
      <c r="A31" s="145" t="s">
        <v>99</v>
      </c>
      <c r="B31" s="161">
        <f>+H22</f>
        <v>0</v>
      </c>
      <c r="C31" s="161">
        <f t="shared" si="0"/>
        <v>1</v>
      </c>
      <c r="D31" s="161">
        <f t="shared" si="0"/>
        <v>0.98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v>
      </c>
      <c r="D32" s="161">
        <f t="shared" si="0"/>
        <v>0.98</v>
      </c>
      <c r="E32" s="147"/>
      <c r="F32" s="147"/>
      <c r="G32" s="685"/>
      <c r="H32" s="685"/>
      <c r="I32" s="685"/>
      <c r="J32" s="685"/>
      <c r="K32" s="147"/>
      <c r="L32" s="685"/>
      <c r="M32" s="685"/>
      <c r="N32" s="685"/>
      <c r="O32" s="701"/>
      <c r="P32" s="148"/>
      <c r="Q32" s="149"/>
    </row>
    <row r="33" spans="1:17" s="127" customFormat="1" ht="15">
      <c r="A33" s="145" t="s">
        <v>101</v>
      </c>
      <c r="B33" s="161">
        <f>+J22</f>
        <v>1</v>
      </c>
      <c r="C33" s="161">
        <f t="shared" si="0"/>
        <v>1</v>
      </c>
      <c r="D33" s="161">
        <f t="shared" si="0"/>
        <v>0.98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v>
      </c>
      <c r="D34" s="161">
        <f t="shared" si="0"/>
        <v>0.98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v>
      </c>
      <c r="D35" s="161">
        <f t="shared" si="0"/>
        <v>0.98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v>
      </c>
      <c r="D36" s="161">
        <f t="shared" si="0"/>
        <v>0.98</v>
      </c>
      <c r="E36" s="147"/>
      <c r="F36" s="147"/>
      <c r="G36" s="685"/>
      <c r="H36" s="685"/>
      <c r="I36" s="685"/>
      <c r="J36" s="685"/>
      <c r="K36" s="147"/>
      <c r="L36" s="685"/>
      <c r="M36" s="685"/>
      <c r="N36" s="685"/>
      <c r="O36" s="701"/>
      <c r="P36" s="148"/>
      <c r="Q36" s="149"/>
    </row>
    <row r="37" spans="1:17" s="127" customFormat="1" ht="15.75" thickBot="1">
      <c r="A37" s="150" t="s">
        <v>105</v>
      </c>
      <c r="B37" s="162">
        <f>+N22</f>
        <v>2</v>
      </c>
      <c r="C37" s="161">
        <f t="shared" si="0"/>
        <v>1</v>
      </c>
      <c r="D37" s="161">
        <f t="shared" si="0"/>
        <v>0.98</v>
      </c>
      <c r="E37" s="147"/>
      <c r="F37" s="147"/>
      <c r="G37" s="147"/>
      <c r="H37" s="147"/>
      <c r="I37" s="147"/>
      <c r="J37" s="147"/>
      <c r="K37" s="147"/>
      <c r="L37" s="685"/>
      <c r="M37" s="685"/>
      <c r="N37" s="685"/>
      <c r="O37" s="701"/>
      <c r="P37" s="148"/>
      <c r="Q37" s="149"/>
    </row>
    <row r="38" spans="1:17" s="127" customFormat="1" ht="15.75" thickBot="1">
      <c r="A38" s="152" t="s">
        <v>106</v>
      </c>
      <c r="B38" s="164">
        <f>+O22</f>
        <v>5</v>
      </c>
      <c r="C38" s="164">
        <f>+C37</f>
        <v>1</v>
      </c>
      <c r="D38" s="164">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Se realizaon distintas campañas institucionales en el marco de posicionar la imagen de la Superintendencia Nacional de Salud y mejorar la gestión de la reputación institucional.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La campaña Supersalud en las regiones se consolido durante el mes de agosto como una de las estrategias institucionales para acercar la gestión de la Supersalud a los territorios. A través de 30 publicaciones en la red social Twitter (x) se logró un alcance superior a las 45 mil impresiones.</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61.25" customHeight="1" thickBot="1">
      <c r="A63" s="673" t="str">
        <f>VLOOKUP(L12,Reporte!$N$5:$BZ$133,65,FALSE)</f>
        <v xml:space="preserve">El resultado del indicador se sustenta en la implementación de dos campañas institucionales estratégicas —la Campaña SENATIC y la Campaña Semana de la Innovación— orientadas a promover la formación, la innovación y la participación activa de los funcionarios, mediante el uso planificado y coherente de canales de comunicación interna, mensajes segmentados y recursos visuales de alto impacto.
La Campaña SENATIC estuvo dirigida a incentivar el registro y la participación de los servidores en los cursos de formación y certificación tecnológica, mediante la articulación de piezas comunicativas multicanal como correos electrónicos, banners en intranet, contenidos audiovisuales, notas informativas y un evento presencial de alto nivel de convocatoria. Esta estrategia permitió reforzar el valor del aprendizaje continuo como eje del desarrollo profesional y herramienta clave para el fortalecimiento de las capacidades institucionales, lo que contribuye al posicionamiento de la entidad como promotora de la transformación digital y la cualificación del talento humano.
Por su parte, la Campaña Semana de la Innovación se orientó a fomentar la participación activa de los funcionarios en espacios de reflexión, aprendizaje y construcción colectiva alrededor de la innovación institucional. A través de una agenda estructurada de workshops, masterclass, foros y actividades participativas, difundidas mediante afiches, wallpapers, correos institucionales, piezas audiovisuales y publicaciones informativas, se fortaleció la apropiación de conceptos relacionados con la innovación, la gestión del conocimiento, la modernización de procesos y el uso estratégico de herramientas tecnológicas. Esta campaña contribuyó, además, a consolidar una narrativa institucional alineada con el eslogan “Innovar para cuidar: el futuro al servicio de la salud”, lo que refuerza la identidad y el propósito misional de la entidad.
En conjunto, ambas campañas evidencian una gestión comunicacional planificada, consistente y orientada a resultados, que no solo permitió alcanzar los objetivos específicos de participación y formación, sino que también fortaleció el posicionamiento institucional de la Superintendencia Nacional de Salud ante su público interno y ante la ciudadanía. Una entidad que comunica de forma clara, estratégica y coherente sus acciones de formación e innovación consolida la confianza, la legitimidad y la percepción de capacidad institucional, elementos fundamentales para una gestión pública moderna, transparente y centrada en el servicio al ciudadano.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5 campañas, con cumplimiento la meta de establecida para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8418-2D6C-4B06-B5A3-62F048CC7E91}">
  <sheetPr codeName="Hoja10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hidden="1"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Audiencia Pública de Rendición de Cuentas </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 xml:space="preserve">Realizar Audiencia Pública de Rendición de Cuentas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Audiencia Pública de Rendición de Cuentas realizada</v>
      </c>
      <c r="D10" s="711"/>
      <c r="E10" s="711"/>
      <c r="F10" s="799" t="str">
        <f>VLOOKUP(L12,Reporte!$N$5:$BN$133,6,FALSE)</f>
        <v>Este indicador mide el número de Audiencia Pública de Rendición de Cuentas realizada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Eficiencia</v>
      </c>
      <c r="K12" s="712"/>
      <c r="L12" s="713" t="s">
        <v>1245</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45">
        <f>VLOOKUP(L12,Reporte!$N$5:$BN$133,11,FALSE)</f>
        <v>1</v>
      </c>
      <c r="D15" s="735"/>
      <c r="E15" s="729"/>
      <c r="F15" s="740" t="str">
        <f>VLOOKUP(L12,Reporte!$N$5:$BN$133,9,FALSE)</f>
        <v>Anual</v>
      </c>
      <c r="G15" s="741"/>
      <c r="H15" s="707" t="s">
        <v>37</v>
      </c>
      <c r="I15" s="707"/>
      <c r="J15" s="746" t="s">
        <v>1595</v>
      </c>
      <c r="K15" s="747"/>
      <c r="L15" s="748"/>
      <c r="M15" s="775" t="str">
        <f>VLOOKUP(L12,Reporte!$N$5:$BN$133,28,FALSE)</f>
        <v>Oficina Asesora de Comunicaciones</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0</v>
      </c>
      <c r="I22" s="132">
        <f>VLOOKUP(L12,Reporte!$N$5:$BN$133,36,FALSE)</f>
        <v>0</v>
      </c>
      <c r="J22" s="139">
        <f>VLOOKUP(L12,Reporte!$N$5:$BN$133,37,FALSE)</f>
        <v>0</v>
      </c>
      <c r="K22" s="139">
        <f>VLOOKUP(L12,Reporte!$N$5:$BN$133,38,FALSE)</f>
        <v>1</v>
      </c>
      <c r="L22" s="139">
        <f>VLOOKUP(L12,Reporte!$N$5:$BN$133,39,FALSE)</f>
        <v>0</v>
      </c>
      <c r="M22" s="139">
        <f>VLOOKUP(L12,Reporte!$N$5:$BN$133,40,FALSE)</f>
        <v>0</v>
      </c>
      <c r="N22" s="133">
        <f>VLOOKUP(L12,Reporte!$N$5:$BN$133,41,FALSE)</f>
        <v>0</v>
      </c>
      <c r="O22" s="133">
        <f>SUM(C22:N22)</f>
        <v>1</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0</v>
      </c>
      <c r="I23" s="140">
        <f>VLOOKUP(L12,Reporte!$N$5:$BN$133,48,FALSE)</f>
        <v>0</v>
      </c>
      <c r="J23" s="140">
        <f>VLOOKUP(L12,Reporte!$N$5:$BN$133,49,FALSE)</f>
        <v>0</v>
      </c>
      <c r="K23" s="140">
        <f>VLOOKUP(L12,Reporte!$N$5:$BN$133,50,FALSE)</f>
        <v>1</v>
      </c>
      <c r="L23" s="140">
        <f>VLOOKUP(L12,Reporte!$N$5:$BN$133,51,FALSE)</f>
        <v>0</v>
      </c>
      <c r="M23" s="140">
        <f>VLOOKUP(L12,Reporte!$N$5:$BN$133,52,FALSE)</f>
        <v>0</v>
      </c>
      <c r="N23" s="141">
        <f>VLOOKUP(L12,Reporte!$N$5:$BN$133,53,FALSE)</f>
        <v>0</v>
      </c>
      <c r="O23" s="133">
        <f>SUM(C23:N23)</f>
        <v>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v>
      </c>
      <c r="D26" s="161">
        <f>+C26*0.98</f>
        <v>0.98</v>
      </c>
      <c r="E26" s="147"/>
      <c r="F26" s="147"/>
      <c r="G26" s="685"/>
      <c r="H26" s="685"/>
      <c r="I26" s="699"/>
      <c r="J26" s="699"/>
      <c r="K26" s="699"/>
      <c r="L26" s="685"/>
      <c r="M26" s="685"/>
      <c r="N26" s="685"/>
      <c r="O26" s="701"/>
      <c r="P26" s="148"/>
      <c r="Q26" s="149"/>
    </row>
    <row r="27" spans="1:17" s="127" customFormat="1" ht="15">
      <c r="A27" s="145" t="s">
        <v>95</v>
      </c>
      <c r="B27" s="161">
        <f>+D22</f>
        <v>0</v>
      </c>
      <c r="C27" s="161">
        <f>+C26</f>
        <v>1</v>
      </c>
      <c r="D27" s="161">
        <f>+D26</f>
        <v>0.98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v>
      </c>
      <c r="D28" s="161">
        <f t="shared" si="0"/>
        <v>0.98</v>
      </c>
      <c r="E28" s="147"/>
      <c r="F28" s="147"/>
      <c r="G28" s="685"/>
      <c r="H28" s="685"/>
      <c r="I28" s="685"/>
      <c r="J28" s="685"/>
      <c r="K28" s="147"/>
      <c r="L28" s="685"/>
      <c r="M28" s="685"/>
      <c r="N28" s="685"/>
      <c r="O28" s="701"/>
      <c r="P28" s="148"/>
      <c r="Q28" s="149"/>
    </row>
    <row r="29" spans="1:17" s="127" customFormat="1" ht="15">
      <c r="A29" s="145" t="s">
        <v>97</v>
      </c>
      <c r="B29" s="161">
        <f>+F22</f>
        <v>0</v>
      </c>
      <c r="C29" s="161">
        <f t="shared" si="0"/>
        <v>1</v>
      </c>
      <c r="D29" s="161">
        <f t="shared" si="0"/>
        <v>0.98</v>
      </c>
      <c r="E29" s="147"/>
      <c r="F29" s="147"/>
      <c r="G29" s="685"/>
      <c r="H29" s="685"/>
      <c r="I29" s="685"/>
      <c r="J29" s="685"/>
      <c r="K29" s="147"/>
      <c r="L29" s="685"/>
      <c r="M29" s="685"/>
      <c r="N29" s="685"/>
      <c r="O29" s="701"/>
      <c r="P29" s="148"/>
      <c r="Q29" s="149"/>
    </row>
    <row r="30" spans="1:17" s="127" customFormat="1" ht="15">
      <c r="A30" s="145" t="s">
        <v>98</v>
      </c>
      <c r="B30" s="161">
        <f>+G22</f>
        <v>0</v>
      </c>
      <c r="C30" s="161">
        <f t="shared" si="0"/>
        <v>1</v>
      </c>
      <c r="D30" s="161">
        <f t="shared" si="0"/>
        <v>0.98</v>
      </c>
      <c r="E30" s="147"/>
      <c r="F30" s="147"/>
      <c r="G30" s="685"/>
      <c r="H30" s="685"/>
      <c r="I30" s="685"/>
      <c r="J30" s="685"/>
      <c r="K30" s="147"/>
      <c r="L30" s="685"/>
      <c r="M30" s="685"/>
      <c r="N30" s="685"/>
      <c r="O30" s="701"/>
      <c r="P30" s="148"/>
      <c r="Q30" s="149"/>
    </row>
    <row r="31" spans="1:17" s="127" customFormat="1" ht="15">
      <c r="A31" s="145" t="s">
        <v>99</v>
      </c>
      <c r="B31" s="161">
        <f>+H22</f>
        <v>0</v>
      </c>
      <c r="C31" s="161">
        <f t="shared" si="0"/>
        <v>1</v>
      </c>
      <c r="D31" s="161">
        <f t="shared" si="0"/>
        <v>0.98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v>
      </c>
      <c r="D32" s="161">
        <f t="shared" si="0"/>
        <v>0.98</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v>
      </c>
      <c r="D33" s="161">
        <f t="shared" si="0"/>
        <v>0.98</v>
      </c>
      <c r="E33" s="147"/>
      <c r="F33" s="147"/>
      <c r="G33" s="685"/>
      <c r="H33" s="685"/>
      <c r="I33" s="685"/>
      <c r="J33" s="685"/>
      <c r="K33" s="147"/>
      <c r="L33" s="685"/>
      <c r="M33" s="685"/>
      <c r="N33" s="685"/>
      <c r="O33" s="701"/>
      <c r="P33" s="148"/>
      <c r="Q33" s="149"/>
    </row>
    <row r="34" spans="1:17" s="127" customFormat="1" ht="15">
      <c r="A34" s="145" t="s">
        <v>102</v>
      </c>
      <c r="B34" s="161">
        <f>+K22</f>
        <v>1</v>
      </c>
      <c r="C34" s="161">
        <f t="shared" si="0"/>
        <v>1</v>
      </c>
      <c r="D34" s="161">
        <f t="shared" si="0"/>
        <v>0.98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v>
      </c>
      <c r="D35" s="161">
        <f t="shared" si="0"/>
        <v>0.98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v>
      </c>
      <c r="D36" s="161">
        <f t="shared" si="0"/>
        <v>0.98</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1</v>
      </c>
      <c r="D37" s="161">
        <f t="shared" si="0"/>
        <v>0.98</v>
      </c>
      <c r="E37" s="147"/>
      <c r="F37" s="147"/>
      <c r="G37" s="147"/>
      <c r="H37" s="147"/>
      <c r="I37" s="147"/>
      <c r="J37" s="147"/>
      <c r="K37" s="147"/>
      <c r="L37" s="685"/>
      <c r="M37" s="685"/>
      <c r="N37" s="685"/>
      <c r="O37" s="701"/>
      <c r="P37" s="148"/>
      <c r="Q37" s="149"/>
    </row>
    <row r="38" spans="1:17" s="127" customFormat="1" ht="15.75" thickBot="1">
      <c r="A38" s="152" t="s">
        <v>106</v>
      </c>
      <c r="B38" s="164">
        <f>+O22</f>
        <v>1</v>
      </c>
      <c r="C38" s="164">
        <f>+C37</f>
        <v>1</v>
      </c>
      <c r="D38" s="164">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68.25" customHeight="1" thickBot="1">
      <c r="A57" s="682" t="str">
        <f>VLOOKUP(L12,Reporte!$N$5:$BZ$133,62,FALSE)</f>
        <v xml:space="preserve">En cumplimiento de las disposiciones establecidas en la Ley 489 de 1998, el Decreto 1081 de 2015 y la Directiva Presidencial 02 de 2022 sobre rendición de cuentas a la ciudadanía, la Superintendencia Nacional de Salud, a través de la Oficina Asesora de Comunicaciones Estratégicas e Imagen Institucional, adelanta el proceso de planeación, producción y difusión de la Audiencia Pública de Rendición de Cuentas correspondiente a la vigencia julio 2024 – junio 2025.
El presente informe consolida los avances en la fase de preparación y divulgación del proceso institucional, destacando las acciones ejecutadas, los productos elaborados y las estrategias implementadas para garantizar la participación ciudadana y la transparencia en la gestión de la Entidad.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e">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e">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e">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registro el Informe de Rendición de cuentas y la Audiencia se pre grabo y se programó su trasmisión para el 18 de octubre en la Pagina YouTube de la SNS.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8E3B8-DD88-44EC-8BAC-83E6DBA98B80}">
  <sheetPr codeName="Hoja10"/>
  <dimension ref="A1:I43"/>
  <sheetViews>
    <sheetView zoomScaleNormal="100" workbookViewId="0">
      <pane ySplit="9" topLeftCell="A10" activePane="bottomLeft" state="frozen"/>
      <selection activeCell="D16" sqref="D16"/>
      <selection pane="bottomLeft" activeCell="A10" sqref="A10"/>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51"/>
      <c r="D7" s="36"/>
      <c r="E7" s="42"/>
      <c r="F7" s="36"/>
      <c r="G7" s="36"/>
    </row>
    <row r="8" spans="1:7" ht="20.25">
      <c r="A8" s="36"/>
      <c r="B8" s="41"/>
      <c r="C8" s="53" t="s">
        <v>1580</v>
      </c>
      <c r="D8" s="36"/>
      <c r="E8" s="42"/>
      <c r="F8" s="36"/>
      <c r="G8" s="36"/>
    </row>
    <row r="9" spans="1:7">
      <c r="A9" s="36"/>
      <c r="B9" s="41"/>
      <c r="C9" s="51"/>
      <c r="D9" s="36"/>
      <c r="E9" s="42"/>
      <c r="F9" s="36"/>
      <c r="G9" s="36"/>
    </row>
    <row r="10" spans="1:7" ht="42.75">
      <c r="A10" s="36"/>
      <c r="B10" s="41"/>
      <c r="C10" s="56" t="s">
        <v>200</v>
      </c>
      <c r="D10" s="60" t="s">
        <v>202</v>
      </c>
      <c r="E10" s="42"/>
      <c r="F10" s="36"/>
      <c r="G10" s="36"/>
    </row>
    <row r="11" spans="1:7">
      <c r="A11" s="36"/>
      <c r="B11" s="41"/>
      <c r="C11" s="56" t="s">
        <v>204</v>
      </c>
      <c r="D11" s="60" t="s">
        <v>206</v>
      </c>
      <c r="E11" s="42"/>
      <c r="F11" s="36"/>
      <c r="G11" s="36"/>
    </row>
    <row r="12" spans="1:7" ht="42.75">
      <c r="A12" s="36"/>
      <c r="B12" s="41"/>
      <c r="C12" s="56" t="s">
        <v>599</v>
      </c>
      <c r="D12" s="60" t="s">
        <v>780</v>
      </c>
      <c r="E12" s="42"/>
      <c r="F12" s="36"/>
      <c r="G12" s="36"/>
    </row>
    <row r="13" spans="1:7" ht="28.5">
      <c r="A13" s="36"/>
      <c r="B13" s="41"/>
      <c r="C13" s="56" t="s">
        <v>598</v>
      </c>
      <c r="D13" s="60" t="s">
        <v>744</v>
      </c>
      <c r="E13" s="42"/>
      <c r="F13" s="36"/>
      <c r="G13" s="36"/>
    </row>
    <row r="14" spans="1:7" ht="28.5">
      <c r="A14" s="36"/>
      <c r="B14" s="41"/>
      <c r="C14" s="56" t="s">
        <v>651</v>
      </c>
      <c r="D14" s="60" t="s">
        <v>756</v>
      </c>
      <c r="E14" s="42"/>
      <c r="F14" s="36"/>
      <c r="G14" s="36"/>
    </row>
    <row r="15" spans="1:7" ht="42.75">
      <c r="A15" s="36"/>
      <c r="B15" s="41"/>
      <c r="C15" s="56" t="s">
        <v>658</v>
      </c>
      <c r="D15" s="60" t="s">
        <v>762</v>
      </c>
      <c r="E15" s="42"/>
      <c r="F15" s="36"/>
      <c r="G15" s="36"/>
    </row>
    <row r="16" spans="1:7" ht="42.75">
      <c r="A16" s="36"/>
      <c r="B16" s="41"/>
      <c r="C16" s="56" t="s">
        <v>630</v>
      </c>
      <c r="D16" s="60" t="s">
        <v>706</v>
      </c>
      <c r="E16" s="42"/>
      <c r="F16" s="36"/>
      <c r="G16" s="36"/>
    </row>
    <row r="17" spans="1:7" ht="28.5">
      <c r="A17" s="36"/>
      <c r="B17" s="41"/>
      <c r="C17" s="56" t="s">
        <v>635</v>
      </c>
      <c r="D17" s="60" t="s">
        <v>1007</v>
      </c>
      <c r="E17" s="42"/>
      <c r="F17" s="36"/>
      <c r="G17" s="36"/>
    </row>
    <row r="18" spans="1:7" ht="28.5">
      <c r="A18" s="36"/>
      <c r="B18" s="41"/>
      <c r="C18" s="56" t="s">
        <v>612</v>
      </c>
      <c r="D18" s="60" t="s">
        <v>716</v>
      </c>
      <c r="E18" s="42"/>
      <c r="F18" s="36"/>
      <c r="G18" s="36"/>
    </row>
    <row r="19" spans="1:7" ht="28.5">
      <c r="A19" s="36"/>
      <c r="B19" s="41"/>
      <c r="C19" s="56" t="s">
        <v>209</v>
      </c>
      <c r="D19" s="60" t="s">
        <v>211</v>
      </c>
      <c r="E19" s="42"/>
      <c r="F19" s="36"/>
      <c r="G19" s="36"/>
    </row>
    <row r="20" spans="1:7" ht="57">
      <c r="A20" s="36"/>
      <c r="B20" s="41"/>
      <c r="C20" s="56" t="s">
        <v>300</v>
      </c>
      <c r="D20" s="60" t="s">
        <v>1019</v>
      </c>
      <c r="E20" s="42"/>
      <c r="F20" s="36"/>
      <c r="G20" s="36"/>
    </row>
    <row r="21" spans="1:7" ht="28.5">
      <c r="A21" s="36"/>
      <c r="B21" s="41"/>
      <c r="C21" s="56" t="s">
        <v>649</v>
      </c>
      <c r="D21" s="60" t="s">
        <v>1024</v>
      </c>
      <c r="E21" s="42"/>
      <c r="F21" s="36"/>
      <c r="G21" s="36"/>
    </row>
    <row r="22" spans="1:7" ht="42.75">
      <c r="A22" s="36"/>
      <c r="B22" s="41"/>
      <c r="C22" s="56" t="s">
        <v>264</v>
      </c>
      <c r="D22" s="60" t="s">
        <v>805</v>
      </c>
      <c r="E22" s="42"/>
      <c r="F22" s="36"/>
      <c r="G22" s="36"/>
    </row>
    <row r="23" spans="1:7" ht="57">
      <c r="A23" s="36"/>
      <c r="B23" s="41"/>
      <c r="C23" s="56" t="s">
        <v>1032</v>
      </c>
      <c r="D23" s="60" t="s">
        <v>1035</v>
      </c>
      <c r="E23" s="42"/>
      <c r="F23" s="36"/>
      <c r="G23" s="36"/>
    </row>
    <row r="24" spans="1:7" ht="57">
      <c r="A24" s="36"/>
      <c r="B24" s="41"/>
      <c r="C24" s="56" t="s">
        <v>270</v>
      </c>
      <c r="D24" s="60" t="s">
        <v>1041</v>
      </c>
      <c r="E24" s="42"/>
      <c r="F24" s="36"/>
      <c r="G24" s="36"/>
    </row>
    <row r="25" spans="1:7" ht="15" thickBot="1">
      <c r="A25" s="36"/>
      <c r="B25" s="43"/>
      <c r="C25" s="54"/>
      <c r="D25" s="44"/>
      <c r="E25" s="45"/>
      <c r="F25" s="36"/>
      <c r="G25" s="36"/>
    </row>
    <row r="26" spans="1:7" s="36" customFormat="1">
      <c r="C26" s="51"/>
    </row>
    <row r="27" spans="1:7"/>
    <row r="28" spans="1:7"/>
    <row r="29" spans="1:7"/>
    <row r="30" spans="1:7"/>
    <row r="31" spans="1:7"/>
    <row r="32" spans="1:7"/>
    <row r="33"/>
    <row r="34"/>
    <row r="35"/>
    <row r="36" ht="14.25" customHeight="1"/>
    <row r="37" ht="14.25" customHeight="1"/>
    <row r="38" ht="14.25" customHeight="1"/>
    <row r="39" ht="14.25" customHeight="1"/>
    <row r="40" ht="14.25" customHeight="1"/>
    <row r="41" ht="14.25" customHeight="1"/>
    <row r="42" ht="14.25" customHeight="1"/>
    <row r="43" ht="14.25" customHeight="1"/>
  </sheetData>
  <hyperlinks>
    <hyperlink ref="C17" location="'SE39'!Área_de_impresión" display="SE39" xr:uid="{15E40D6A-B047-4137-8234-08399B8652A1}"/>
    <hyperlink ref="C18" location="'SE26'!Área_de_impresión" display="SE26" xr:uid="{F993988B-B46B-4FE4-A1D1-42BE4C587232}"/>
    <hyperlink ref="C19" location="'CT23'!Área_de_impresión" display="CT23" xr:uid="{B45377FF-14A0-4A0E-B934-7FDD8D3EC89C}"/>
    <hyperlink ref="C16" location="'SE38'!Área_de_impresión" display="SE38" xr:uid="{A71B3BBD-8251-4C93-821B-30622A861186}"/>
    <hyperlink ref="C10" location="'AT02'!Área_de_impresión" display="AT02" xr:uid="{AFD24124-2BB6-42B7-83F3-3D50920052DC}"/>
    <hyperlink ref="C11" location="'AT03'!Área_de_impresión" display="AT03" xr:uid="{78756C66-AC48-46E0-8773-1D2F9FBC2C56}"/>
    <hyperlink ref="C12" location="'SE06'!Área_de_impresión" display="SE06" xr:uid="{9868BF75-97AF-4BE3-838E-2A4E878E9488}"/>
    <hyperlink ref="C13" location="'SE05'!Área_de_impresión" display="SE05" xr:uid="{837C709E-AEBA-402C-AA14-21CD06B63D96}"/>
    <hyperlink ref="C14" location="'TR05'!Área_de_impresión" display="TR05" xr:uid="{529C9CA1-9EE9-4934-89C2-DE92B35F712C}"/>
    <hyperlink ref="C15" location="'TR07'!Área_de_impresión" display="TR07" xr:uid="{A0560923-DC92-4D88-887A-CAE94E549B11}"/>
    <hyperlink ref="C20" location="'CT24'!Área_de_impresión" display="CT24" xr:uid="{3B73E878-8984-4970-84C4-3D0EC1CD25D8}"/>
    <hyperlink ref="C21" location="'TR04'!Área_de_impresión" display="TR04" xr:uid="{C7B88F2A-063F-403D-A6FD-0753815EFE53}"/>
    <hyperlink ref="C22" location="'CT05'!Área_de_impresión" display="CT05" xr:uid="{178BD87F-3C46-456B-952B-16AE4D0EE6BC}"/>
    <hyperlink ref="C23" location="'CT06'!Área_de_impresión" display="CT06" xr:uid="{C0169616-B4F2-46A8-8016-A02CDC16433A}"/>
    <hyperlink ref="C24" location="'CT07'!Área_de_impresión" display="CT07" xr:uid="{1E1068AE-9FFE-4DC1-9E95-2058A8B18F1A}"/>
  </hyperlinks>
  <pageMargins left="0.7" right="0.7" top="0.75" bottom="0.75" header="0.3" footer="0.3"/>
  <pageSetup paperSize="9" scale="76" orientation="portrait" r:id="rId1"/>
  <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E3D0-8EBD-4DD1-9A59-5E2A357F0E58}">
  <sheetPr codeName="Hoja109"/>
  <dimension ref="A1:Q67"/>
  <sheetViews>
    <sheetView view="pageBreakPreview" topLeftCell="A44" zoomScale="80" zoomScaleNormal="73" zoomScaleSheetLayoutView="80" zoomScalePageLayoutView="55" workbookViewId="0">
      <selection activeCell="A64" sqref="A64:O65"/>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MEJORA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avance en el cumplimiento de actividades formuladas en PEI  y PAG</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Liderar el cumplimiento de metas y compromisos del Plan Estratégico Institucional y Plan Anual de Gestión.</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36.75" customHeight="1">
      <c r="A10" s="794"/>
      <c r="B10" s="795"/>
      <c r="C10" s="711" t="str">
        <f>VLOOKUP(L12,Reporte!$N$5:$BN$133,4,FALSE)</f>
        <v xml:space="preserve">Número de actividades realizadas </v>
      </c>
      <c r="D10" s="711"/>
      <c r="E10" s="711"/>
      <c r="F10" s="799" t="str">
        <f>VLOOKUP(L12,Reporte!$N$5:$BN$133,6,FALSE)</f>
        <v>Este indicador medir elporcentaje de cumplimiento de acciones de los infornes de seguimiento a os planes Estratégicos.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36.75" customHeight="1" thickBot="1">
      <c r="A12" s="796"/>
      <c r="B12" s="768"/>
      <c r="C12" s="710" t="str">
        <f>VLOOKUP(L12,Reporte!$N$5:$BN$133,5,FALSE)</f>
        <v xml:space="preserve"> Número de actividades formuladas en los planes*100</v>
      </c>
      <c r="D12" s="711"/>
      <c r="E12" s="711"/>
      <c r="F12" s="799"/>
      <c r="G12" s="799"/>
      <c r="H12" s="799"/>
      <c r="I12" s="799"/>
      <c r="J12" s="712" t="str">
        <f>VLOOKUP(L12,Reporte!$N$5:$BN$133,7,FALSE)</f>
        <v>Eficiencia</v>
      </c>
      <c r="K12" s="712"/>
      <c r="L12" s="713" t="s">
        <v>520</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0.98</v>
      </c>
      <c r="D15" s="735"/>
      <c r="E15" s="729"/>
      <c r="F15" s="740" t="str">
        <f>VLOOKUP(L12,Reporte!$N$5:$BN$133,9,FALSE)</f>
        <v>Trimestral</v>
      </c>
      <c r="G15" s="741"/>
      <c r="H15" s="707" t="s">
        <v>37</v>
      </c>
      <c r="I15" s="707"/>
      <c r="J15" s="746" t="s">
        <v>1595</v>
      </c>
      <c r="K15" s="747"/>
      <c r="L15" s="748"/>
      <c r="M15" s="775" t="str">
        <f>VLOOKUP(L12,Reporte!$N$5:$BN$133,28,FALSE)</f>
        <v>Oficina Asesora de Planeación</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99">
        <f>VLOOKUP(L12,Reporte!$N$5:$BN$133,30,FALSE)</f>
        <v>0</v>
      </c>
      <c r="D22" s="199">
        <f>VLOOKUP(L12,Reporte!$N$5:$BN$133,31,FALSE)</f>
        <v>0.97</v>
      </c>
      <c r="E22" s="199">
        <f>VLOOKUP(L12,Reporte!$N$5:$BN$133,32,FALSE)</f>
        <v>0</v>
      </c>
      <c r="F22" s="200">
        <f>VLOOKUP(L12,Reporte!$N$5:$BN$133,33,FALSE)</f>
        <v>0</v>
      </c>
      <c r="G22" s="199">
        <f>VLOOKUP(L12,Reporte!$N$5:$BN$133,34,FALSE)</f>
        <v>0.97</v>
      </c>
      <c r="H22" s="200">
        <f>VLOOKUP(L12,Reporte!$N$5:$BN$133,35,FALSE)</f>
        <v>0</v>
      </c>
      <c r="I22" s="199">
        <f>VLOOKUP(L12,Reporte!$N$5:$BN$133,36,FALSE)</f>
        <v>0</v>
      </c>
      <c r="J22" s="200">
        <f>VLOOKUP(L12,Reporte!$N$5:$BN$133,37,FALSE)</f>
        <v>0.98</v>
      </c>
      <c r="K22" s="200">
        <f>VLOOKUP(L12,Reporte!$N$5:$BN$133,38,FALSE)</f>
        <v>0</v>
      </c>
      <c r="L22" s="200">
        <f>VLOOKUP(L12,Reporte!$N$5:$BN$133,39,FALSE)</f>
        <v>0</v>
      </c>
      <c r="M22" s="200">
        <f>VLOOKUP(L12,Reporte!$N$5:$BN$133,40,FALSE)</f>
        <v>0.94399999999999995</v>
      </c>
      <c r="N22" s="201">
        <f>VLOOKUP(L12,Reporte!$N$5:$BN$133,41,FALSE)</f>
        <v>0</v>
      </c>
      <c r="O22" s="201">
        <f>MAX(C22:N22)</f>
        <v>0.98</v>
      </c>
      <c r="P22" s="128"/>
    </row>
    <row r="23" spans="1:17" ht="16.5" thickBot="1">
      <c r="A23" s="690" t="s">
        <v>76</v>
      </c>
      <c r="B23" s="691"/>
      <c r="C23" s="202">
        <f>VLOOKUP(L12,Reporte!$N$5:$BN$133,42,FALSE)</f>
        <v>0</v>
      </c>
      <c r="D23" s="202">
        <f>VLOOKUP(L12,Reporte!$N$5:$BN$133,43,FALSE)</f>
        <v>1</v>
      </c>
      <c r="E23" s="202">
        <f>VLOOKUP(L12,Reporte!$N$5:$BN$133,44,FALSE)</f>
        <v>0</v>
      </c>
      <c r="F23" s="202">
        <f>VLOOKUP(L12,Reporte!$N$5:$BN$133,45,FALSE)</f>
        <v>0</v>
      </c>
      <c r="G23" s="202">
        <f>VLOOKUP(L12,Reporte!$N$5:$BN$133,46,FALSE)</f>
        <v>1</v>
      </c>
      <c r="H23" s="202">
        <f>VLOOKUP(L12,Reporte!$N$5:$BN$133,47,FALSE)</f>
        <v>0</v>
      </c>
      <c r="I23" s="202">
        <f>VLOOKUP(L12,Reporte!$N$5:$BN$133,48,FALSE)</f>
        <v>0</v>
      </c>
      <c r="J23" s="202">
        <f>VLOOKUP(L12,Reporte!$N$5:$BN$133,49,FALSE)</f>
        <v>1</v>
      </c>
      <c r="K23" s="202">
        <f>VLOOKUP(L12,Reporte!$N$5:$BN$133,50,FALSE)</f>
        <v>0</v>
      </c>
      <c r="L23" s="202">
        <f>VLOOKUP(L12,Reporte!$N$5:$BN$133,51,FALSE)</f>
        <v>0</v>
      </c>
      <c r="M23" s="202">
        <f>VLOOKUP(L12,Reporte!$N$5:$BN$133,52,FALSE)</f>
        <v>1</v>
      </c>
      <c r="N23" s="203">
        <f>VLOOKUP(L12,Reporte!$N$5:$BN$133,53,FALSE)</f>
        <v>0</v>
      </c>
      <c r="O23" s="201">
        <f>MAX(C23:N23)</f>
        <v>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0.98</v>
      </c>
      <c r="D26" s="146">
        <f>+C26*0.98</f>
        <v>0.96039999999999992</v>
      </c>
      <c r="E26" s="147"/>
      <c r="F26" s="147"/>
      <c r="G26" s="685"/>
      <c r="H26" s="685"/>
      <c r="I26" s="699"/>
      <c r="J26" s="699"/>
      <c r="K26" s="699"/>
      <c r="L26" s="685"/>
      <c r="M26" s="685"/>
      <c r="N26" s="685"/>
      <c r="O26" s="701"/>
      <c r="P26" s="148"/>
      <c r="Q26" s="149"/>
    </row>
    <row r="27" spans="1:17" s="127" customFormat="1" ht="15">
      <c r="A27" s="145" t="s">
        <v>95</v>
      </c>
      <c r="B27" s="146">
        <f>IF(ISERROR($D$22/$D$23),0,$D$22/$D$23)</f>
        <v>0.97</v>
      </c>
      <c r="C27" s="146">
        <f>+C26</f>
        <v>0.98</v>
      </c>
      <c r="D27" s="146">
        <f>+D26</f>
        <v>0.96039999999999992</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0.98</v>
      </c>
      <c r="D28" s="146">
        <f t="shared" si="0"/>
        <v>0.96039999999999992</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0.98</v>
      </c>
      <c r="D29" s="146">
        <f t="shared" si="0"/>
        <v>0.96039999999999992</v>
      </c>
      <c r="E29" s="147"/>
      <c r="F29" s="147"/>
      <c r="G29" s="685"/>
      <c r="H29" s="685"/>
      <c r="I29" s="685"/>
      <c r="J29" s="685"/>
      <c r="K29" s="147"/>
      <c r="L29" s="685"/>
      <c r="M29" s="685"/>
      <c r="N29" s="685"/>
      <c r="O29" s="701"/>
      <c r="P29" s="148"/>
      <c r="Q29" s="149"/>
    </row>
    <row r="30" spans="1:17" s="127" customFormat="1" ht="15">
      <c r="A30" s="145" t="s">
        <v>98</v>
      </c>
      <c r="B30" s="146">
        <f>IF(ISERROR($G$22/$G$23),0,$G$22/$G$23)</f>
        <v>0.97</v>
      </c>
      <c r="C30" s="146">
        <f t="shared" si="0"/>
        <v>0.98</v>
      </c>
      <c r="D30" s="146">
        <f t="shared" si="0"/>
        <v>0.96039999999999992</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0.98</v>
      </c>
      <c r="D31" s="146">
        <f t="shared" si="0"/>
        <v>0.96039999999999992</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0.98</v>
      </c>
      <c r="D32" s="146">
        <f t="shared" si="0"/>
        <v>0.96039999999999992</v>
      </c>
      <c r="E32" s="147"/>
      <c r="F32" s="147"/>
      <c r="G32" s="685"/>
      <c r="H32" s="685"/>
      <c r="I32" s="685"/>
      <c r="J32" s="685"/>
      <c r="K32" s="147"/>
      <c r="L32" s="685"/>
      <c r="M32" s="685"/>
      <c r="N32" s="685"/>
      <c r="O32" s="701"/>
      <c r="P32" s="148"/>
      <c r="Q32" s="149"/>
    </row>
    <row r="33" spans="1:17" s="127" customFormat="1" ht="15">
      <c r="A33" s="145" t="s">
        <v>101</v>
      </c>
      <c r="B33" s="146">
        <f>IF(ISERROR($J$22/$J$23),0,$J$22/$J$23)</f>
        <v>0.98</v>
      </c>
      <c r="C33" s="146">
        <f t="shared" si="0"/>
        <v>0.98</v>
      </c>
      <c r="D33" s="146">
        <f t="shared" si="0"/>
        <v>0.96039999999999992</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0.98</v>
      </c>
      <c r="D34" s="146">
        <f t="shared" si="0"/>
        <v>0.96039999999999992</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0.98</v>
      </c>
      <c r="D35" s="146">
        <f t="shared" si="0"/>
        <v>0.96039999999999992</v>
      </c>
      <c r="E35" s="147"/>
      <c r="F35" s="147"/>
      <c r="G35" s="685"/>
      <c r="H35" s="685"/>
      <c r="I35" s="685"/>
      <c r="J35" s="685"/>
      <c r="K35" s="147"/>
      <c r="L35" s="685"/>
      <c r="M35" s="685"/>
      <c r="N35" s="685"/>
      <c r="O35" s="701"/>
      <c r="P35" s="148"/>
      <c r="Q35" s="149"/>
    </row>
    <row r="36" spans="1:17" s="127" customFormat="1" ht="15">
      <c r="A36" s="145" t="s">
        <v>104</v>
      </c>
      <c r="B36" s="146">
        <f>IF(ISERROR($M$22/$M$23),0,$M$22/$M$23)</f>
        <v>0.94399999999999995</v>
      </c>
      <c r="C36" s="146">
        <f t="shared" si="0"/>
        <v>0.98</v>
      </c>
      <c r="D36" s="146">
        <f t="shared" si="0"/>
        <v>0.96039999999999992</v>
      </c>
      <c r="E36" s="147"/>
      <c r="F36" s="147"/>
      <c r="G36" s="685"/>
      <c r="H36" s="685"/>
      <c r="I36" s="685"/>
      <c r="J36" s="685"/>
      <c r="K36" s="147"/>
      <c r="L36" s="685"/>
      <c r="M36" s="685"/>
      <c r="N36" s="685"/>
      <c r="O36" s="701"/>
      <c r="P36" s="148"/>
      <c r="Q36" s="149"/>
    </row>
    <row r="37" spans="1:17" s="127" customFormat="1" ht="15.75" thickBot="1">
      <c r="A37" s="150" t="s">
        <v>105</v>
      </c>
      <c r="B37" s="151">
        <f>IF(ISERROR($N$22/$N$23),0,$N$22/$N$23)</f>
        <v>0</v>
      </c>
      <c r="C37" s="146">
        <f t="shared" si="0"/>
        <v>0.98</v>
      </c>
      <c r="D37" s="146">
        <f t="shared" si="0"/>
        <v>0.96039999999999992</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0.98</v>
      </c>
      <c r="C38" s="153">
        <f>+C37</f>
        <v>0.98</v>
      </c>
      <c r="D38" s="153">
        <f>+D37</f>
        <v>0.96039999999999992</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 xml:space="preserve">Durante el cuarto trimestre del año 2024, se elaboró el informe de seguimiento de los planes institucionales PAG, evidenciando que el 97% de las metas establecidas por las dependencias fueron cumplidas. Estos resultados reflejan un avance significativo hacia el logro de los objetivos propuestos por la entidad.
</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Durante el primer trimestre se elaboró el informe de seguimiento de los planes institucionales (PND, PES, PEI y PAG), evidenciando que el 97% de las metas establecidas por las dependencias fueron cumplidas. Estos resultados reflejan un avance significativo hacia el logro de los objetivos propuestos por la entidad."</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​En el periodo reportado correspondiente al segundo trimestre de 2025,  se ejecutó el (98%), dando cumplimiento del (100%) frente a la meta programada, se reportaron 134 indicadores del PAG y 34 del PEI, este resultado se debe a las acciones realizadas durante el periodo teniendo en cuenta las necesidades y observaciones  de cada dependecia, se recomienda seguir fortaleciendo los canales de comunicación y el acompañamiento personalizado.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 xml:space="preserve">​De los 89 indicadores suceptibes de reporte en el tercer trimestre de 2025, 84 de ellos cumplieron la meta a la superaron para el periodo, lo que indica un cumplimiento del 94.4%. Es importante indicar que durante este periodo se presento la transición de personal, con el ingreso de los funcionarios de concurso, lo que por curva de aprendizaje impacto directamente en los resultados, sin embargo se vienen adelantando capacitaciones para concientizar al personal de la importancia del reporte oportuno de las actividades realizadas para el logro de los objetivos propuestos en el PAG 2025.
</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De los 128 indicadores con reporte en el aplicativo teniendo un balance de 111 indicadores con un cumplimiento mayor al 98% y 17 indicadores por debajo de este valor,. 
Se presentaron el reporte de datos tuvo inconvenientes en el registro de datos por lo menos en 30 indicadores, y se presentaba deficiencia en el detalle y análisis requerido para el reporte de indicadores, situación que debe ser mejorada para la siguiente vigencia.</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9FC5F-B51E-4EF6-986C-A76804602690}">
  <sheetPr codeName="Hoja110"/>
  <dimension ref="A1:Q67"/>
  <sheetViews>
    <sheetView view="pageBreakPreview" zoomScaleNormal="73" zoomScaleSheetLayoutView="10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hidden="1" thickBot="1">
      <c r="A5" s="784" t="s">
        <v>0</v>
      </c>
      <c r="B5" s="785"/>
      <c r="C5" s="786" t="str">
        <f>VLOOKUP(L12,Reporte!$A$5:$M$133,9,FALSE)</f>
        <v>GESTIÓN DE MEJORA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avance en la ejecución del Programa de Transaparencia y Etica Publica</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44.25" customHeight="1">
      <c r="A8" s="792" t="s">
        <v>1594</v>
      </c>
      <c r="B8" s="774"/>
      <c r="C8" s="711" t="str">
        <f>VLOOKUP(L12,Reporte!$A$5:$N$133,13,FALSE)</f>
        <v>Realizar seguimiento a la implementación del Programa de Transaparencia y Etica Pública (Racionalización de Trámites, Integridad, Transparencia, Redes externas e Internas, Riesgos, Participación ciudadana) de acuerdo con los lineamientod definidos por la Secretaria de Transaparencia y Depto. Admitivo de Función Pública - DAFP</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actividades ejecutadas en el periodo </v>
      </c>
      <c r="D10" s="711"/>
      <c r="E10" s="711"/>
      <c r="F10" s="799" t="str">
        <f>VLOOKUP(L12,Reporte!$N$5:$BN$133,6,FALSE)</f>
        <v>Mide el avance en la ejecución del Programa de Transaparencia y Etica Publica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actividades programadas en el cronograma del Programa de Transaparencia y Etica Publica</v>
      </c>
      <c r="D12" s="711"/>
      <c r="E12" s="711"/>
      <c r="F12" s="799"/>
      <c r="G12" s="799"/>
      <c r="H12" s="799"/>
      <c r="I12" s="799"/>
      <c r="J12" s="712" t="str">
        <f>VLOOKUP(L12,Reporte!$N$5:$BN$133,7,FALSE)</f>
        <v>Eficiencia</v>
      </c>
      <c r="K12" s="712"/>
      <c r="L12" s="713" t="s">
        <v>1205</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0.95</v>
      </c>
      <c r="D15" s="735"/>
      <c r="E15" s="729"/>
      <c r="F15" s="740" t="str">
        <f>VLOOKUP(L12,Reporte!$N$5:$BN$133,9,FALSE)</f>
        <v>Semestral</v>
      </c>
      <c r="G15" s="741"/>
      <c r="H15" s="707" t="s">
        <v>37</v>
      </c>
      <c r="I15" s="707"/>
      <c r="J15" s="746" t="s">
        <v>1595</v>
      </c>
      <c r="K15" s="747"/>
      <c r="L15" s="748"/>
      <c r="M15" s="775" t="str">
        <f>VLOOKUP(L12,Reporte!$N$5:$BN$133,28,FALSE)</f>
        <v>Oficina Asesora de Planeación</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0</v>
      </c>
      <c r="I22" s="132">
        <f>VLOOKUP(L12,Reporte!$N$5:$BN$133,36,FALSE)</f>
        <v>0</v>
      </c>
      <c r="J22" s="139">
        <f>VLOOKUP(L12,Reporte!$N$5:$BN$133,37,FALSE)</f>
        <v>0</v>
      </c>
      <c r="K22" s="139">
        <f>VLOOKUP(L12,Reporte!$N$5:$BN$133,38,FALSE)</f>
        <v>0</v>
      </c>
      <c r="L22" s="139">
        <f>VLOOKUP(L12,Reporte!$N$5:$BN$133,39,FALSE)</f>
        <v>39</v>
      </c>
      <c r="M22" s="139">
        <f>VLOOKUP(L12,Reporte!$N$5:$BN$133,40,FALSE)</f>
        <v>0</v>
      </c>
      <c r="N22" s="133">
        <f>VLOOKUP(L12,Reporte!$N$5:$BN$133,41,FALSE)</f>
        <v>71</v>
      </c>
      <c r="O22" s="133">
        <f>+MAX(C22:N22)</f>
        <v>71</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0</v>
      </c>
      <c r="I23" s="140">
        <f>VLOOKUP(L12,Reporte!$N$5:$BN$133,48,FALSE)</f>
        <v>0</v>
      </c>
      <c r="J23" s="140">
        <f>VLOOKUP(L12,Reporte!$N$5:$BN$133,49,FALSE)</f>
        <v>0</v>
      </c>
      <c r="K23" s="140">
        <f>VLOOKUP(L12,Reporte!$N$5:$BN$133,50,FALSE)</f>
        <v>0</v>
      </c>
      <c r="L23" s="140">
        <f>VLOOKUP(L12,Reporte!$N$5:$BN$133,51,FALSE)</f>
        <v>73</v>
      </c>
      <c r="M23" s="140">
        <f>VLOOKUP(L12,Reporte!$N$5:$BN$133,52,FALSE)</f>
        <v>0</v>
      </c>
      <c r="N23" s="141">
        <f>VLOOKUP(L12,Reporte!$N$5:$BN$133,53,FALSE)</f>
        <v>73</v>
      </c>
      <c r="O23" s="133">
        <f>+MAX(C23:N23)</f>
        <v>73</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0.95</v>
      </c>
      <c r="D26" s="146">
        <f>+C26*0.98</f>
        <v>0.93099999999999994</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0.95</v>
      </c>
      <c r="D27" s="146">
        <f>+D26</f>
        <v>0.93099999999999994</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0.95</v>
      </c>
      <c r="D28" s="146">
        <f t="shared" si="0"/>
        <v>0.93099999999999994</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0.95</v>
      </c>
      <c r="D29" s="146">
        <f t="shared" si="0"/>
        <v>0.93099999999999994</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0.95</v>
      </c>
      <c r="D30" s="146">
        <f t="shared" si="0"/>
        <v>0.93099999999999994</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0.95</v>
      </c>
      <c r="D31" s="146">
        <f t="shared" si="0"/>
        <v>0.93099999999999994</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0.95</v>
      </c>
      <c r="D32" s="146">
        <f t="shared" si="0"/>
        <v>0.93099999999999994</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0.95</v>
      </c>
      <c r="D33" s="146">
        <f t="shared" si="0"/>
        <v>0.93099999999999994</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0.95</v>
      </c>
      <c r="D34" s="146">
        <f t="shared" si="0"/>
        <v>0.93099999999999994</v>
      </c>
      <c r="E34" s="147"/>
      <c r="F34" s="147"/>
      <c r="G34" s="685"/>
      <c r="H34" s="685"/>
      <c r="I34" s="685"/>
      <c r="J34" s="685"/>
      <c r="K34" s="147"/>
      <c r="L34" s="685"/>
      <c r="M34" s="685"/>
      <c r="N34" s="685"/>
      <c r="O34" s="701"/>
      <c r="P34" s="148"/>
      <c r="Q34" s="149"/>
    </row>
    <row r="35" spans="1:17" s="127" customFormat="1" ht="15">
      <c r="A35" s="145" t="s">
        <v>103</v>
      </c>
      <c r="B35" s="146">
        <f>IF(ISERROR($L$22/$L$23),0,$L$22/$L$23)</f>
        <v>0.53424657534246578</v>
      </c>
      <c r="C35" s="146">
        <f t="shared" si="0"/>
        <v>0.95</v>
      </c>
      <c r="D35" s="146">
        <f t="shared" si="0"/>
        <v>0.93099999999999994</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0.95</v>
      </c>
      <c r="D36" s="146">
        <f t="shared" si="0"/>
        <v>0.93099999999999994</v>
      </c>
      <c r="E36" s="147"/>
      <c r="F36" s="147"/>
      <c r="G36" s="685"/>
      <c r="H36" s="685"/>
      <c r="I36" s="685"/>
      <c r="J36" s="685"/>
      <c r="K36" s="147"/>
      <c r="L36" s="685"/>
      <c r="M36" s="685"/>
      <c r="N36" s="685"/>
      <c r="O36" s="701"/>
      <c r="P36" s="148"/>
      <c r="Q36" s="149"/>
    </row>
    <row r="37" spans="1:17" s="127" customFormat="1" ht="15.75" thickBot="1">
      <c r="A37" s="150" t="s">
        <v>105</v>
      </c>
      <c r="B37" s="151">
        <f>IF(ISERROR($N$22/$N$23),0,$N$22/$N$23)</f>
        <v>0.9726027397260274</v>
      </c>
      <c r="C37" s="146">
        <f t="shared" si="0"/>
        <v>0.95</v>
      </c>
      <c r="D37" s="146">
        <f t="shared" si="0"/>
        <v>0.93099999999999994</v>
      </c>
      <c r="E37" s="147"/>
      <c r="F37" s="147"/>
      <c r="G37" s="147"/>
      <c r="H37" s="147"/>
      <c r="I37" s="147"/>
      <c r="J37" s="147"/>
      <c r="K37" s="147"/>
      <c r="L37" s="685"/>
      <c r="M37" s="685"/>
      <c r="N37" s="685"/>
      <c r="O37" s="701"/>
      <c r="P37" s="148"/>
      <c r="Q37" s="149"/>
    </row>
    <row r="38" spans="1:17" s="127" customFormat="1" ht="15.75" thickBot="1">
      <c r="A38" s="152" t="s">
        <v>106</v>
      </c>
      <c r="B38" s="432">
        <f>IF(ISERROR($O$22/$O$23),0,$O$22/$O$23)</f>
        <v>0.9726027397260274</v>
      </c>
      <c r="C38" s="153">
        <f>+C37</f>
        <v>0.95</v>
      </c>
      <c r="D38" s="153">
        <f>+D37</f>
        <v>0.93099999999999994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72.75" customHeight="1" thickBot="1">
      <c r="A59" s="670" t="str">
        <f>VLOOKUP(L12,Reporte!$N$5:$BZ$133,63,FALSE)</f>
        <v xml:space="preserve">La Oficina Asesora de Planeación, mediante el memorando N.º 20251200000102373, solicitó el reporte de monitoreo de las actividades contempladas en la versión actual de los cronogramas del Programa de Transparencia y Ética Pública, con el objetivo de identificar oportunidades de mejora en su formulación o la necesidad de incluir nuevas acciones.
Este ejercicio de monitoreo abarca exclusivamente las actividades desarrolladas durante la vigencia actual, hasta el 30 de septiembre de 2025, en concordancia con lo establecido en la Circular CIR25-00000026 de 2025.Resultados del monitoreo
De las 73 actividades planteadas en el plan, distribuidas en los diferentes componentes:39 se cumplieron (algunas con cumplimiento trimestral continuo).4 presentan cumplimiento parcial.10 no se cumplieron.20 no estaban programadas para ejecutarse en el periodo evaluado, ya que tienen fechas previstas para el último trimestre de 2025.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cerraron 71 de las 77 brechas identificadas en la vigencia 2025 es decir 97,3 82%, con sobrecumplimiento de121% con respecto de la meta porcentual establecida para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F1E10-9F9B-44DD-AFE8-91911316C41E}">
  <sheetPr codeName="Hoja111"/>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4" width="9.5" style="129" customWidth="1"/>
    <col min="15" max="15" width="10.125" style="129" bestFit="1"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hidden="1" thickBot="1">
      <c r="A5" s="784" t="s">
        <v>0</v>
      </c>
      <c r="B5" s="785"/>
      <c r="C5" s="786" t="str">
        <f>VLOOKUP(L12,Reporte!$A$5:$M$133,9,FALSE)</f>
        <v>GESTIÓN DE MEJORA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cumplimiento de los recursos de inversión. </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Mejorar la ejecución presupuestal de los gastos de inversión (obligaciones sobre lo comprometido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33.75" customHeight="1">
      <c r="A10" s="794"/>
      <c r="B10" s="795"/>
      <c r="C10" s="711" t="str">
        <f>VLOOKUP(L12,Reporte!$N$5:$BN$133,4,FALSE)</f>
        <v xml:space="preserve">Recursos de inversión obligados </v>
      </c>
      <c r="D10" s="711"/>
      <c r="E10" s="711"/>
      <c r="F10" s="799" t="str">
        <f>VLOOKUP(L12,Reporte!$N$5:$BN$133,6,FALSE)</f>
        <v>Este indicador mide el seguimiento de ejecución de los proyectos de inversión.</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33.75" customHeight="1" thickBot="1">
      <c r="A12" s="796"/>
      <c r="B12" s="768"/>
      <c r="C12" s="710" t="str">
        <f>VLOOKUP(L12,Reporte!$N$5:$BN$133,5,FALSE)</f>
        <v xml:space="preserve"> Recursos de inversión comprometidos* 100% </v>
      </c>
      <c r="D12" s="711"/>
      <c r="E12" s="711"/>
      <c r="F12" s="799"/>
      <c r="G12" s="799"/>
      <c r="H12" s="799"/>
      <c r="I12" s="799"/>
      <c r="J12" s="712" t="str">
        <f>VLOOKUP(L12,Reporte!$N$5:$BN$133,7,FALSE)</f>
        <v>Eficiencia</v>
      </c>
      <c r="K12" s="712"/>
      <c r="L12" s="713" t="s">
        <v>525</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0.85</v>
      </c>
      <c r="D15" s="735"/>
      <c r="E15" s="729"/>
      <c r="F15" s="740" t="str">
        <f>VLOOKUP(L12,Reporte!$N$5:$BN$133,9,FALSE)</f>
        <v>Trimestral</v>
      </c>
      <c r="G15" s="741"/>
      <c r="H15" s="707" t="s">
        <v>37</v>
      </c>
      <c r="I15" s="707"/>
      <c r="J15" s="746" t="s">
        <v>1595</v>
      </c>
      <c r="K15" s="747"/>
      <c r="L15" s="748"/>
      <c r="M15" s="775" t="str">
        <f>VLOOKUP(L12,Reporte!$N$5:$BN$133,28,FALSE)</f>
        <v>Oficina Asesora de Planeación</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s="172" customFormat="1" ht="13.5">
      <c r="A22" s="846" t="s">
        <v>63</v>
      </c>
      <c r="B22" s="847"/>
      <c r="C22" s="173">
        <f>VLOOKUP(L12,Reporte!$N$5:$BN$133,30,FALSE)</f>
        <v>0</v>
      </c>
      <c r="D22" s="173">
        <f>VLOOKUP(L12,Reporte!$N$5:$BN$133,31,FALSE)</f>
        <v>0</v>
      </c>
      <c r="E22" s="173">
        <f>VLOOKUP(L12,Reporte!$N$5:$BN$133,32,FALSE)</f>
        <v>0</v>
      </c>
      <c r="F22" s="174">
        <f>VLOOKUP(L12,Reporte!$N$5:$BN$133,33,FALSE)</f>
        <v>9919710465</v>
      </c>
      <c r="G22" s="173">
        <f>VLOOKUP(L12,Reporte!$N$5:$BN$133,34,FALSE)</f>
        <v>0</v>
      </c>
      <c r="H22" s="174">
        <f>VLOOKUP(L12,Reporte!$N$5:$BN$133,35,FALSE)</f>
        <v>0</v>
      </c>
      <c r="I22" s="173">
        <f>VLOOKUP(L12,Reporte!$N$5:$BN$133,36,FALSE)</f>
        <v>0</v>
      </c>
      <c r="J22" s="174">
        <f>VLOOKUP(L12,Reporte!$N$5:$BN$133,37,FALSE)</f>
        <v>31860537928</v>
      </c>
      <c r="K22" s="174">
        <f>VLOOKUP(L12,Reporte!$N$5:$BN$133,38,FALSE)</f>
        <v>0</v>
      </c>
      <c r="L22" s="174">
        <f>VLOOKUP(L12,Reporte!$N$5:$BN$133,39,FALSE)</f>
        <v>0</v>
      </c>
      <c r="M22" s="174">
        <f>VLOOKUP(L12,Reporte!$N$5:$BN$133,40,FALSE)</f>
        <v>0</v>
      </c>
      <c r="N22" s="175">
        <f>VLOOKUP(L12,Reporte!$N$5:$BN$133,41,FALSE)</f>
        <v>78459265382</v>
      </c>
      <c r="O22" s="175">
        <f>MAX(J22:N22)</f>
        <v>78459265382</v>
      </c>
      <c r="P22" s="170"/>
      <c r="Q22" s="171"/>
    </row>
    <row r="23" spans="1:17" s="172" customFormat="1" ht="14.25" thickBot="1">
      <c r="A23" s="848" t="s">
        <v>76</v>
      </c>
      <c r="B23" s="849"/>
      <c r="C23" s="179">
        <f>VLOOKUP(L12,Reporte!$N$5:$BN$133,42,FALSE)</f>
        <v>0</v>
      </c>
      <c r="D23" s="179">
        <f>VLOOKUP(L12,Reporte!$N$5:$BN$133,43,FALSE)</f>
        <v>0</v>
      </c>
      <c r="E23" s="179">
        <f>VLOOKUP(L12,Reporte!$N$5:$BN$133,44,FALSE)</f>
        <v>0</v>
      </c>
      <c r="F23" s="179">
        <f>VLOOKUP(L12,Reporte!$N$5:$BN$133,45,FALSE)</f>
        <v>87198844691</v>
      </c>
      <c r="G23" s="179">
        <f>VLOOKUP(L12,Reporte!$N$5:$BN$133,46,FALSE)</f>
        <v>0</v>
      </c>
      <c r="H23" s="179">
        <f>VLOOKUP(L12,Reporte!$N$5:$BN$133,47,FALSE)</f>
        <v>0</v>
      </c>
      <c r="I23" s="179">
        <f>VLOOKUP(L12,Reporte!$N$5:$BN$133,48,FALSE)</f>
        <v>0</v>
      </c>
      <c r="J23" s="179">
        <f>VLOOKUP(L12,Reporte!$N$5:$BN$133,49,FALSE)</f>
        <v>87198844691</v>
      </c>
      <c r="K23" s="179">
        <f>VLOOKUP(L12,Reporte!$N$5:$BN$133,50,FALSE)</f>
        <v>0</v>
      </c>
      <c r="L23" s="179">
        <f>VLOOKUP(L12,Reporte!$N$5:$BN$133,51,FALSE)</f>
        <v>0</v>
      </c>
      <c r="M23" s="179">
        <f>VLOOKUP(L12,Reporte!$N$5:$BN$133,52,FALSE)</f>
        <v>0</v>
      </c>
      <c r="N23" s="180">
        <f>VLOOKUP(L12,Reporte!$N$5:$BN$133,53,FALSE)</f>
        <v>84527452102</v>
      </c>
      <c r="O23" s="175">
        <f>N23</f>
        <v>84527452102</v>
      </c>
      <c r="P23" s="170"/>
      <c r="Q23" s="171"/>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0.85</v>
      </c>
      <c r="D26" s="146">
        <f>+C26*0.98</f>
        <v>0.83299999999999996</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0.85</v>
      </c>
      <c r="D27" s="146">
        <f>+D26</f>
        <v>0.83299999999999996</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0.85</v>
      </c>
      <c r="D28" s="146">
        <f t="shared" si="0"/>
        <v>0.83299999999999996</v>
      </c>
      <c r="E28" s="147"/>
      <c r="F28" s="147"/>
      <c r="G28" s="685"/>
      <c r="H28" s="685"/>
      <c r="I28" s="685"/>
      <c r="J28" s="685"/>
      <c r="K28" s="147"/>
      <c r="L28" s="685"/>
      <c r="M28" s="685"/>
      <c r="N28" s="685"/>
      <c r="O28" s="701"/>
      <c r="P28" s="148"/>
      <c r="Q28" s="149"/>
    </row>
    <row r="29" spans="1:17" s="127" customFormat="1" ht="15">
      <c r="A29" s="145" t="s">
        <v>97</v>
      </c>
      <c r="B29" s="146">
        <f>IF(ISERROR($F$22/$F$23),0,$F$22/$F$23)</f>
        <v>0.11375965473111178</v>
      </c>
      <c r="C29" s="146">
        <f t="shared" si="0"/>
        <v>0.85</v>
      </c>
      <c r="D29" s="146">
        <f t="shared" si="0"/>
        <v>0.83299999999999996</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0.85</v>
      </c>
      <c r="D30" s="146">
        <f t="shared" si="0"/>
        <v>0.83299999999999996</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0.85</v>
      </c>
      <c r="D31" s="146">
        <f t="shared" si="0"/>
        <v>0.83299999999999996</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0.85</v>
      </c>
      <c r="D32" s="146">
        <f t="shared" si="0"/>
        <v>0.83299999999999996</v>
      </c>
      <c r="E32" s="147"/>
      <c r="F32" s="147"/>
      <c r="G32" s="685"/>
      <c r="H32" s="685"/>
      <c r="I32" s="685"/>
      <c r="J32" s="685"/>
      <c r="K32" s="147"/>
      <c r="L32" s="685"/>
      <c r="M32" s="685"/>
      <c r="N32" s="685"/>
      <c r="O32" s="701"/>
      <c r="P32" s="148"/>
      <c r="Q32" s="149"/>
    </row>
    <row r="33" spans="1:17" s="127" customFormat="1" ht="15">
      <c r="A33" s="145" t="s">
        <v>101</v>
      </c>
      <c r="B33" s="146">
        <f>IF(ISERROR($J$22/$J$23),0,$J$22/$J$23)</f>
        <v>0.36537798225311124</v>
      </c>
      <c r="C33" s="146">
        <f t="shared" si="0"/>
        <v>0.85</v>
      </c>
      <c r="D33" s="146">
        <f t="shared" si="0"/>
        <v>0.83299999999999996</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0.85</v>
      </c>
      <c r="D34" s="146">
        <f t="shared" si="0"/>
        <v>0.83299999999999996</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0.85</v>
      </c>
      <c r="D35" s="146">
        <f t="shared" si="0"/>
        <v>0.83299999999999996</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0.85</v>
      </c>
      <c r="D36" s="146">
        <f t="shared" si="0"/>
        <v>0.83299999999999996</v>
      </c>
      <c r="E36" s="147"/>
      <c r="F36" s="147"/>
      <c r="G36" s="685"/>
      <c r="H36" s="685"/>
      <c r="I36" s="685"/>
      <c r="J36" s="685"/>
      <c r="K36" s="147"/>
      <c r="L36" s="685"/>
      <c r="M36" s="685"/>
      <c r="N36" s="685"/>
      <c r="O36" s="701"/>
      <c r="P36" s="148"/>
      <c r="Q36" s="149"/>
    </row>
    <row r="37" spans="1:17" s="127" customFormat="1" ht="15.75" thickBot="1">
      <c r="A37" s="150" t="s">
        <v>105</v>
      </c>
      <c r="B37" s="151">
        <f>IF(ISERROR($N$22/$N$23),0,$N$22/$N$23)</f>
        <v>0.92821046217414116</v>
      </c>
      <c r="C37" s="146">
        <f t="shared" si="0"/>
        <v>0.85</v>
      </c>
      <c r="D37" s="146">
        <f t="shared" si="0"/>
        <v>0.83299999999999996</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0.92821046217414116</v>
      </c>
      <c r="C38" s="153">
        <f>+C37</f>
        <v>0.85</v>
      </c>
      <c r="D38" s="153">
        <f>+D37</f>
        <v>0.83299999999999996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199.5" customHeight="1" thickBot="1">
      <c r="A47" s="670" t="str">
        <f>VLOOKUP(L12,Reporte!$N$5:$BZ$133,57,FALSE)</f>
        <v xml:space="preserve">​A 30 de abril la ejecución (obligaciones) de los recursos de inversión de la entidad fue del 11,38%:
Obligaciones:       $9.919.710.465
Total inversión:  $87.198.844.691
Evidencia: Reporte SIIF nación a 30 de abril de 2025;
A 30 de abril, del total de los recursos de inversión asignados para la presente vigencia, se han comprometido $34.211.236.392 equivalente al 39,23%, de los cuales se han generado obligaciones por un total de $9.919.710.465 lo que equivale al 11,38% del total de los recursos asignados. De las 18 dependencias ejecutoras de los proyectos de inversión,  8  lograron o superaron la meta planteada del 10% de ejecución sobre las obligaciones: Delegada para la Protección al Usuario, Delegada para Operadores Logísticos, Delegada para la Función Jurisdiccional  y de Conciliación, Delegada para Prestadores de Servicios de Salud, Delegada para Entidades Territoriales, Delegada para Entidades de Aseguramiento en Salud,  Dirección Jurídica, y la Dirección Administrativa-Grupo de Gestión Documental.
Desde la Oficina Asesora de Planeación y la Secretaria General, se han planteado acciones conjuntas que permitan realizar un seguimiento estricto a la ejecución de los gastos de la entidad, que permita generar alertas y la toma de decisiones oportunas para mejorar el nivel de ejecución de las apropiaciones de la presente vigencia fiscal.  Dentro de las acciones encontramos:Seguimiento periodo a la ejecución del Plan Anual de Adquisiciones y generación de alertas por parte de la Dirección de ContrataciónSeguimiento periódico a la ejecución presupuestal de la entidad a través de Comité Institucional de Gestión y DesempeñoSeguimiento a la ejecución presupuestal a través del Comité Directivo.
De igual manera se coloca a disposición de los ejecutores de los proyectos de inversión, y de los funcionarios de la entidad, la ejecución presupuestal desagregada a nivel de proyecto, dependencia, y actividad (formato powerBI.  A la fecha del presente reporte, se encuentra actualizada la información a 31 de marzo, la cual puede ser consultada a trabes de:
Página web, en la siguiente ruta: Nuestra entidad, Planeación, Proyectos de inversión, Seguimiento
Intranet, en la siguiente ruta: Tramites y Servicios – Reportes (Ejecución de recursos de inversión)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140.25" customHeight="1" thickBot="1">
      <c r="A55" s="670" t="str">
        <f>VLOOKUP(L12,Reporte!$N$5:$BZ$133,61,FALSE)</f>
        <v xml:space="preserve">​A 31 de agosto la ejecución (obligaciones) de los recursos de inversión de la entidad fue del36,54%:
Total inversión año 2025:  $87.198.844.691
Total comprometido: $64.493.839.666
Obligaciones: $31.860.537.928
Evidencia: Reporte SIIF nación a 31 de agosto de 2025;
A 31 de agosto, del total de los recursos de inversión asignados para la presente vigencia, se han comprometido $64.493.839.666 equivalente al 73,96%, de los cuales se han generado obligaciones por un total de $31.860.537.928 lo que equivale al 49.4% de los recursos comprometidos y el 36,54% del total de los recursos asignados para la vigencia. De las 18 dependencias ejecutoras de los proyectos de inversión,  solo una (1) dependencia logro o supero la meta planteada del 50% de ejecución sobre las obligaciones, caso concreto del a Superintendencia Delegada para la Protección al Usuario quien registró un nivel de obligaciones del 55%;  sin embargo, el nivel de obligaciones se situó por encima en  4 puntos porcentuales comparado con el mismo periodo de la vigencia 2024.  Frente al porcentaje de compromisos, al mismo corte, se situó por encima en 15 puntos porcentuales.  De tal manera que el cumplimiento de las obligaciones,  acorde con las formas de pago definidas en los contratos suscritos, se llevaran a cabo, en su mayoría en el segundo semestre de la presente vigencia.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83.25" customHeight="1" thickBot="1">
      <c r="A63" s="673" t="str">
        <f>VLOOKUP(L12,Reporte!$N$5:$BZ$133,65,FALSE)</f>
        <v>Al 31 de diciembre de 2025, del total de recursos de inversión asignados para la presente vigencia, y una vez aplicada la reducción presupuestal (Decreto No. 1484 de 2025) que fijó la nueva apropiación en $84.527.452.102, se han comprometido $84.130.515.250, equivalentes al 99,53% de la apropiación definitiva. De este valor, se generaron obligaciones por $78.459.265.382, cifra que corresponde al 93,25% de los recursos comprometidos y al 92,83% del total de recursos asignados para la vigencia. En términos generales el nivel de compromisos fue 19 puntos porcentuales respecto al 2024, y las obligaciones superaron en 20 punto porcentuales con relación al año anterior.
La mayoría de las 18 dependencias ejecutoras registraron niveles de compromiso iguales o superiores al 98%, destacándose varias con ejecución del 100%, como: Superintendencia Delegada de Investigaciones Administrativas, Despacho del Superintendente Nacional de Salud, Dirección Jurídica, Dirección Administrativa – Grupo de Recursos Físicos
Asimismo, en materia de obligaciones,  la mayor parte de las dependencias presenta ejecuciones superiores al 85% de los compromisos, destacándose: Superintendencia Delegada de Investigaciones Administrativas (97,7%), Dirección Jurídica (97,5%), Dirección de Innovación y Desarrollo – Subdirección de Tecnologías de la Información (94,8%), Superintendencia Delegada para la Protección al Usuario (94,5%)</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obligaron recursos por valor de $78.459.265.382 (31-12-2025) de la apropiación final total de 2025 por valor de $84.527.452.102; se comprometieron recursos por valor de $81.130.515.250 es decir del 99,53% de la apropiación prevista para la vigencia y unas obligaciones por 93% con respecto a los compromisos vigentes a la fecha de corte, con sobrecumplimiento de la meta porcentual de 85%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51.7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161E2-A886-4D80-8F4A-11F4D0A42449}">
  <sheetPr codeName="Hoja112"/>
  <dimension ref="A1:Q67"/>
  <sheetViews>
    <sheetView view="pageBreakPreview" zoomScale="80" zoomScaleNormal="73" zoomScaleSheetLayoutView="80" zoomScalePageLayoutView="55" workbookViewId="0">
      <selection activeCell="R13" sqref="R13"/>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hidden="1" thickBot="1">
      <c r="A5" s="784" t="s">
        <v>0</v>
      </c>
      <c r="B5" s="785"/>
      <c r="C5" s="786" t="str">
        <f>VLOOKUP(L12,Reporte!$A$5:$M$133,9,FALSE)</f>
        <v>GESTIÓN DE MEJORA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cierre de brechas MIPG</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Dirigir el cierre de brechas prioritarias de las politicas de gestión y desempeño del Modelo integrado de planeación y gestión</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brechas cerradas</v>
      </c>
      <c r="D10" s="711"/>
      <c r="E10" s="711"/>
      <c r="F10" s="799" t="str">
        <f>VLOOKUP(L12,Reporte!$N$5:$BN$133,6,FALSE)</f>
        <v>Mide el porcentaje de cierre de brechas MIPG</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Total brechas identificadas para la vigencia*100</v>
      </c>
      <c r="D12" s="711"/>
      <c r="E12" s="711"/>
      <c r="F12" s="799"/>
      <c r="G12" s="799"/>
      <c r="H12" s="799"/>
      <c r="I12" s="799"/>
      <c r="J12" s="712" t="str">
        <f>VLOOKUP(L12,Reporte!$N$5:$BN$133,7,FALSE)</f>
        <v>Eficiencia</v>
      </c>
      <c r="K12" s="712"/>
      <c r="L12" s="713" t="s">
        <v>1218</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0.8</v>
      </c>
      <c r="D15" s="735"/>
      <c r="E15" s="729"/>
      <c r="F15" s="740" t="str">
        <f>VLOOKUP(L12,Reporte!$N$5:$BN$133,9,FALSE)</f>
        <v>Semestral</v>
      </c>
      <c r="G15" s="741"/>
      <c r="H15" s="707" t="s">
        <v>37</v>
      </c>
      <c r="I15" s="707"/>
      <c r="J15" s="746" t="s">
        <v>1595</v>
      </c>
      <c r="K15" s="747"/>
      <c r="L15" s="748"/>
      <c r="M15" s="775" t="str">
        <f>VLOOKUP(L12,Reporte!$N$5:$BN$133,28,FALSE)</f>
        <v>Oficina Asesora de Planeación</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0</v>
      </c>
      <c r="I22" s="132">
        <f>VLOOKUP(L12,Reporte!$N$5:$BN$133,36,FALSE)</f>
        <v>0</v>
      </c>
      <c r="J22" s="139">
        <f>VLOOKUP(L12,Reporte!$N$5:$BN$133,37,FALSE)</f>
        <v>0</v>
      </c>
      <c r="K22" s="139">
        <f>VLOOKUP(L12,Reporte!$N$5:$BN$133,38,FALSE)</f>
        <v>13</v>
      </c>
      <c r="L22" s="139">
        <f>VLOOKUP(L12,Reporte!$N$5:$BN$133,39,FALSE)</f>
        <v>0</v>
      </c>
      <c r="M22" s="139">
        <f>VLOOKUP(L12,Reporte!$N$5:$BN$133,40,FALSE)</f>
        <v>0</v>
      </c>
      <c r="N22" s="133">
        <f>VLOOKUP(L12,Reporte!$N$5:$BN$133,41,FALSE)</f>
        <v>68</v>
      </c>
      <c r="O22" s="133">
        <f>MAX(C22:N22)</f>
        <v>68</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0</v>
      </c>
      <c r="I23" s="140">
        <f>VLOOKUP(L12,Reporte!$N$5:$BN$133,48,FALSE)</f>
        <v>0</v>
      </c>
      <c r="J23" s="140">
        <f>VLOOKUP(L12,Reporte!$N$5:$BN$133,49,FALSE)</f>
        <v>0</v>
      </c>
      <c r="K23" s="140">
        <f>VLOOKUP(L12,Reporte!$N$5:$BN$133,50,FALSE)</f>
        <v>77</v>
      </c>
      <c r="L23" s="140">
        <f>VLOOKUP(L12,Reporte!$N$5:$BN$133,51,FALSE)</f>
        <v>0</v>
      </c>
      <c r="M23" s="140">
        <f>VLOOKUP(L12,Reporte!$N$5:$BN$133,52,FALSE)</f>
        <v>0</v>
      </c>
      <c r="N23" s="141">
        <f>VLOOKUP(L12,Reporte!$N$5:$BN$133,53,FALSE)</f>
        <v>77</v>
      </c>
      <c r="O23" s="133">
        <f>MAX(C23:N23)</f>
        <v>77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0.8</v>
      </c>
      <c r="D26" s="146">
        <f>+C26*0.98</f>
        <v>0.78400000000000003</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0.8</v>
      </c>
      <c r="D27" s="146">
        <f>+D26</f>
        <v>0.78400000000000003</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0.8</v>
      </c>
      <c r="D28" s="146">
        <f t="shared" si="0"/>
        <v>0.78400000000000003</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0.8</v>
      </c>
      <c r="D29" s="146">
        <f t="shared" si="0"/>
        <v>0.78400000000000003</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0.8</v>
      </c>
      <c r="D30" s="146">
        <f t="shared" si="0"/>
        <v>0.78400000000000003</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0.8</v>
      </c>
      <c r="D31" s="146">
        <f t="shared" si="0"/>
        <v>0.78400000000000003</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0.8</v>
      </c>
      <c r="D32" s="146">
        <f t="shared" si="0"/>
        <v>0.78400000000000003</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0.8</v>
      </c>
      <c r="D33" s="146">
        <f t="shared" si="0"/>
        <v>0.78400000000000003</v>
      </c>
      <c r="E33" s="147"/>
      <c r="F33" s="147"/>
      <c r="G33" s="685"/>
      <c r="H33" s="685"/>
      <c r="I33" s="685"/>
      <c r="J33" s="685"/>
      <c r="K33" s="147"/>
      <c r="L33" s="685"/>
      <c r="M33" s="685"/>
      <c r="N33" s="685"/>
      <c r="O33" s="701"/>
      <c r="P33" s="148"/>
      <c r="Q33" s="149"/>
    </row>
    <row r="34" spans="1:17" s="127" customFormat="1" ht="15">
      <c r="A34" s="145" t="s">
        <v>102</v>
      </c>
      <c r="B34" s="146">
        <f>IF(ISERROR($K$22/$K$23),0,$K$22/$K$23)</f>
        <v>0.16883116883116883</v>
      </c>
      <c r="C34" s="146">
        <f t="shared" si="0"/>
        <v>0.8</v>
      </c>
      <c r="D34" s="146">
        <f t="shared" si="0"/>
        <v>0.78400000000000003</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0.8</v>
      </c>
      <c r="D35" s="146">
        <f t="shared" si="0"/>
        <v>0.78400000000000003</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0.8</v>
      </c>
      <c r="D36" s="146">
        <f t="shared" si="0"/>
        <v>0.78400000000000003</v>
      </c>
      <c r="E36" s="147"/>
      <c r="F36" s="147"/>
      <c r="G36" s="685"/>
      <c r="H36" s="685"/>
      <c r="I36" s="685"/>
      <c r="J36" s="685"/>
      <c r="K36" s="147"/>
      <c r="L36" s="685"/>
      <c r="M36" s="685"/>
      <c r="N36" s="685"/>
      <c r="O36" s="701"/>
      <c r="P36" s="148"/>
      <c r="Q36" s="149"/>
    </row>
    <row r="37" spans="1:17" s="127" customFormat="1" ht="15.75" thickBot="1">
      <c r="A37" s="150" t="s">
        <v>105</v>
      </c>
      <c r="B37" s="151">
        <f>IF(ISERROR($N$22/$N$23),0,$N$22/$N$23)</f>
        <v>0.88311688311688308</v>
      </c>
      <c r="C37" s="146">
        <f t="shared" si="0"/>
        <v>0.8</v>
      </c>
      <c r="D37" s="146">
        <f t="shared" si="0"/>
        <v>0.78400000000000003</v>
      </c>
      <c r="E37" s="147"/>
      <c r="F37" s="147"/>
      <c r="G37" s="147"/>
      <c r="H37" s="147"/>
      <c r="I37" s="147"/>
      <c r="J37" s="147"/>
      <c r="K37" s="147"/>
      <c r="L37" s="685"/>
      <c r="M37" s="685"/>
      <c r="N37" s="685"/>
      <c r="O37" s="701"/>
      <c r="P37" s="148"/>
      <c r="Q37" s="149"/>
    </row>
    <row r="38" spans="1:17" s="127" customFormat="1" ht="15.75" thickBot="1">
      <c r="A38" s="152" t="s">
        <v>106</v>
      </c>
      <c r="B38" s="153">
        <f>IF(ISERROR($O$22/$O$23),0,$O$22/$O$23)</f>
        <v>0.88311688311688308</v>
      </c>
      <c r="C38" s="153">
        <f>+C37</f>
        <v>0.8</v>
      </c>
      <c r="D38" s="153">
        <f>+D37</f>
        <v>0.78400000000000003</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54.75" customHeight="1" thickBot="1">
      <c r="A57" s="682" t="str">
        <f>VLOOKUP(L12,Reporte!$N$5:$BZ$133,62,FALSE)</f>
        <v>El plan de cierre de brechas contempla un total de 92 acciones, si bien se tenía previsto un 30% de avance para septiembre, se realizó un reajuste en el plan de trabajo que se remite a las áreas desde agosto el cual obtuvo respuesta hasta el mes de septiembre, con el subsecuente ajuste de fechas, por lo que no se pudo actualizar dentro de los términos el valor porcentual en el mes de agosto; El porcentaje real de compromisos para el cierre de brechas para el periodo de septiembre fue de 4.2% (4 actividades) que se cumplieron dentro del término, además se cerraron 9 brechas cuya fecha de cumplimiento es posterior al periodo de seguimiento, para un total de 13 cierres con un avance del 14,13% del total del plan. Cumpliendo con lo programado.</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3.25" customHeight="1" thickBot="1">
      <c r="A63" s="673" t="str">
        <f>VLOOKUP(L12,Reporte!$N$5:$BZ$133,65,FALSE)</f>
        <v xml:space="preserve">E l plan de cierre de brechas para la vigencia 2025 contempla un total de 77 acciones, de las cuales 68 se gestionaron y tuvieron cierre en su totalidad con lo cual se cerró el 88.3% de las brechas logrando un sobrecumplimiento del 110% con respecto a la meta establecida para 2025; mostrando con ello un resultado positivo con respecto al monitoreo y seguimiento realizado por la OAP y el compromiso de las áreas para la mejora continua, pesé a lo anterior quedaron pendientes 9 brechas por gestión, las cuales se distribuyen así: Gestión del conocimiento: 1; Gestión de información estadística: 4; Integridad: 1; Racionalización de trámites: 1; y Seguridad digital: 2, estás serán incluidas en el Plan de trabajo para la vigencia 2026.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​El plan de cierre de brechas finalmente validado con las áreas contempló un total de 77 acciones, de las cuales 68 se gestionaron y cerraron en su totalidad que representa un 88,3% del total de las brechas. Con un sobrecumplimiento del 110% con respecto de la meta porcentual del 80% previsto para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75138-80CB-4ACF-B0A6-8CEFFF97BFD5}">
  <sheetPr codeName="Hoja11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hidden="1" thickBot="1">
      <c r="A5" s="784" t="s">
        <v>0</v>
      </c>
      <c r="B5" s="785"/>
      <c r="C5" s="786" t="str">
        <f>VLOOKUP(L12,Reporte!$A$5:$M$133,9,FALSE)</f>
        <v>DIRECCIONAMIENTO ESTRATÉGICO</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documentos actualizados o elaborados en el SIG</v>
      </c>
      <c r="D6" s="711"/>
      <c r="E6" s="711"/>
      <c r="F6" s="711"/>
      <c r="G6" s="711"/>
      <c r="H6" s="711"/>
      <c r="I6" s="711"/>
      <c r="J6" s="711"/>
      <c r="K6" s="711"/>
      <c r="L6" s="711"/>
      <c r="M6" s="711"/>
      <c r="N6" s="711"/>
      <c r="O6" s="791"/>
      <c r="P6" s="128"/>
    </row>
    <row r="7" spans="1:17" ht="58.5" customHeight="1">
      <c r="A7" s="789" t="s">
        <v>10</v>
      </c>
      <c r="B7" s="790"/>
      <c r="C7" s="711" t="str">
        <f>VLOOKUP(L12,Reporte!A5:M133,10,FALSE)</f>
        <v>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v>
      </c>
      <c r="D7" s="711"/>
      <c r="E7" s="711"/>
      <c r="F7" s="711"/>
      <c r="G7" s="711"/>
      <c r="H7" s="711"/>
      <c r="I7" s="711"/>
      <c r="J7" s="711"/>
      <c r="K7" s="711"/>
      <c r="L7" s="711"/>
      <c r="M7" s="711"/>
      <c r="N7" s="711"/>
      <c r="O7" s="791"/>
      <c r="P7" s="128"/>
    </row>
    <row r="8" spans="1:17" ht="31.5" customHeight="1">
      <c r="A8" s="792" t="s">
        <v>1594</v>
      </c>
      <c r="B8" s="774"/>
      <c r="C8" s="711" t="str">
        <f>VLOOKUP(L12,Reporte!$A$5:$N$133,13,FALSE)</f>
        <v>Gestionar el cumplimiento del plan de actualización documental del Sistema integrado de gestión, como estrategia de gestión del conocimiento institucional.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35.25" customHeight="1">
      <c r="A10" s="794"/>
      <c r="B10" s="795"/>
      <c r="C10" s="711" t="str">
        <f>VLOOKUP(L12,Reporte!$N$5:$BN$133,4,FALSE)</f>
        <v xml:space="preserve">Número de documentos elaborados o actualizados </v>
      </c>
      <c r="D10" s="711"/>
      <c r="E10" s="711"/>
      <c r="F10" s="799" t="str">
        <f>VLOOKUP(L12,Reporte!$N$5:$BN$133,6,FALSE)</f>
        <v>Este indicador mide el número de actividades en el plan de acción de MIPG.</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35.25" customHeight="1" thickBot="1">
      <c r="A12" s="796"/>
      <c r="B12" s="768"/>
      <c r="C12" s="710" t="str">
        <f>VLOOKUP(L12,Reporte!$N$5:$BN$133,5,FALSE)</f>
        <v>Total de documentos priorizados por la vigencia</v>
      </c>
      <c r="D12" s="711"/>
      <c r="E12" s="711"/>
      <c r="F12" s="799"/>
      <c r="G12" s="799"/>
      <c r="H12" s="799"/>
      <c r="I12" s="799"/>
      <c r="J12" s="712" t="str">
        <f>VLOOKUP(L12,Reporte!$N$5:$BN$133,7,FALSE)</f>
        <v>Eficiencia</v>
      </c>
      <c r="K12" s="712"/>
      <c r="L12" s="713" t="s">
        <v>335</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0.9</v>
      </c>
      <c r="D15" s="735"/>
      <c r="E15" s="729"/>
      <c r="F15" s="740" t="str">
        <f>VLOOKUP(L12,Reporte!$N$5:$BN$133,9,FALSE)</f>
        <v>Cuatrimestral</v>
      </c>
      <c r="G15" s="741"/>
      <c r="H15" s="707" t="s">
        <v>37</v>
      </c>
      <c r="I15" s="707"/>
      <c r="J15" s="746" t="s">
        <v>1595</v>
      </c>
      <c r="K15" s="747"/>
      <c r="L15" s="748"/>
      <c r="M15" s="775" t="str">
        <f>VLOOKUP(L12,Reporte!$N$5:$BN$133,28,FALSE)</f>
        <v>Oficina Asesora de Planeación</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77</v>
      </c>
      <c r="H22" s="139">
        <f>VLOOKUP(L12,Reporte!$N$5:$BN$133,35,FALSE)</f>
        <v>0</v>
      </c>
      <c r="I22" s="132">
        <f>VLOOKUP(L12,Reporte!$N$5:$BN$133,36,FALSE)</f>
        <v>0</v>
      </c>
      <c r="J22" s="139">
        <f>VLOOKUP(L12,Reporte!$N$5:$BN$133,37,FALSE)</f>
        <v>0</v>
      </c>
      <c r="K22" s="139">
        <f>VLOOKUP(L12,Reporte!$N$5:$BN$133,38,FALSE)</f>
        <v>67</v>
      </c>
      <c r="L22" s="139">
        <f>VLOOKUP(L12,Reporte!$N$5:$BN$133,39,FALSE)</f>
        <v>0</v>
      </c>
      <c r="M22" s="139">
        <f>VLOOKUP(L12,Reporte!$N$5:$BN$133,40,FALSE)</f>
        <v>0</v>
      </c>
      <c r="N22" s="133">
        <f>VLOOKUP(L12,Reporte!$N$5:$BN$133,41,FALSE)</f>
        <v>105</v>
      </c>
      <c r="O22" s="133">
        <f>SUM(C22:N22)</f>
        <v>249</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77</v>
      </c>
      <c r="H23" s="140">
        <f>VLOOKUP(L12,Reporte!$N$5:$BN$133,47,FALSE)</f>
        <v>0</v>
      </c>
      <c r="I23" s="140">
        <f>VLOOKUP(L12,Reporte!$N$5:$BN$133,48,FALSE)</f>
        <v>0</v>
      </c>
      <c r="J23" s="140">
        <f>VLOOKUP(L12,Reporte!$N$5:$BN$133,49,FALSE)</f>
        <v>0</v>
      </c>
      <c r="K23" s="140">
        <f>VLOOKUP(L12,Reporte!$N$5:$BN$133,50,FALSE)</f>
        <v>67</v>
      </c>
      <c r="L23" s="140">
        <f>VLOOKUP(L12,Reporte!$N$5:$BN$133,51,FALSE)</f>
        <v>0</v>
      </c>
      <c r="M23" s="140">
        <f>VLOOKUP(L12,Reporte!$N$5:$BN$133,52,FALSE)</f>
        <v>0</v>
      </c>
      <c r="N23" s="141">
        <f>VLOOKUP(L12,Reporte!$N$5:$BN$133,53,FALSE)</f>
        <v>105</v>
      </c>
      <c r="O23" s="133">
        <f>SUM(C23:N23)</f>
        <v>249</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v>
      </c>
      <c r="D26" s="146">
        <f>+C26*0.98</f>
        <v>0.88200000000000001</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v>
      </c>
      <c r="D27" s="146">
        <f>+D26</f>
        <v>0.88200000000000001</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0.9</v>
      </c>
      <c r="D28" s="146">
        <f t="shared" si="0"/>
        <v>0.88200000000000001</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0.9</v>
      </c>
      <c r="D29" s="146">
        <f t="shared" si="0"/>
        <v>0.88200000000000001</v>
      </c>
      <c r="E29" s="147"/>
      <c r="F29" s="147"/>
      <c r="G29" s="685"/>
      <c r="H29" s="685"/>
      <c r="I29" s="685"/>
      <c r="J29" s="685"/>
      <c r="K29" s="147"/>
      <c r="L29" s="685"/>
      <c r="M29" s="685"/>
      <c r="N29" s="685"/>
      <c r="O29" s="701"/>
      <c r="P29" s="148"/>
      <c r="Q29" s="149"/>
    </row>
    <row r="30" spans="1:17" s="127" customFormat="1" ht="15">
      <c r="A30" s="145" t="s">
        <v>98</v>
      </c>
      <c r="B30" s="146">
        <f>IF(ISERROR($G$22/$G$23),0,$G$22/$G$23)</f>
        <v>1</v>
      </c>
      <c r="C30" s="146">
        <f t="shared" si="0"/>
        <v>0.9</v>
      </c>
      <c r="D30" s="146">
        <f t="shared" si="0"/>
        <v>0.88200000000000001</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0.9</v>
      </c>
      <c r="D31" s="146">
        <f t="shared" si="0"/>
        <v>0.88200000000000001</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v>
      </c>
      <c r="D32" s="146">
        <f t="shared" si="0"/>
        <v>0.88200000000000001</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0.9</v>
      </c>
      <c r="D33" s="146">
        <f t="shared" si="0"/>
        <v>0.88200000000000001</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0.9</v>
      </c>
      <c r="D34" s="146">
        <f t="shared" si="0"/>
        <v>0.88200000000000001</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v>
      </c>
      <c r="D35" s="146">
        <f t="shared" si="0"/>
        <v>0.88200000000000001</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v>
      </c>
      <c r="D36" s="146">
        <f t="shared" si="0"/>
        <v>0.88200000000000001</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0.9</v>
      </c>
      <c r="D37" s="146">
        <f t="shared" si="0"/>
        <v>0.88200000000000001</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0.9</v>
      </c>
      <c r="D38" s="153">
        <f>+D37</f>
        <v>0.88200000000000001</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63.75" customHeight="1" thickBot="1">
      <c r="A49" s="670" t="str">
        <f>VLOOKUP(L12,Reporte!$N$5:$BZ$133,58,FALSE)</f>
        <v>Al 30 de abril de 2025, se registraron un total de 77 solicitudes documentales en el Sistema Integrado de Gestión, correspondientes a los 15 procesos institucionales. De estas solicitudes, el 32.5% (25) correspondieron a la creación de nuevos documentos, el 54.5% (42) a la actualización de documentos existentes y el 9.1% (7) a la eliminación de documentos. Estos datos evidencian que la mayoría de las gestiones se centraron en la actualización documental, seguida por la creación de nuevos documentos y, en menor proporción, la eliminación de documentos.
La información fue obtenida del SharePoint de Formalización Documental, donde los líderes de cada proceso registran sus solicitudes. El acceso a este registro está disponible en el siguiente enlace:https://supersalud.sharepoint.com/sites/SIG/Lists/Formalizacion%20documental/AllItems.aspx</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100.5" customHeight="1" thickBot="1">
      <c r="A57" s="682" t="str">
        <f>VLOOKUP(L12,Reporte!$N$5:$BZ$133,62,FALSE)</f>
        <v xml:space="preserve">Durante el periodo comprendido entre junio y septiembre de 2025 se atendieron 67 solicitudes de oficialización de documentos en los procesos institucionales de la Superintendencia Nacional de Salud. De éstas, 44 correspondieron a actualización de documentos, 17 solicitudes fueron de creación y 6 solicitudes de anulación.
Estas solicitudes fueron tramitadas en los siguientes procesos: Gestión estratégica de personas: 19 documentos, Gobierno y gestión de datos e información: 12 documentos, Relacionamiento con la ciudadanía y grupos de valor: 9 documentos, Gestión de bienes y servicios: 7 documentos, Gestión de mejora: 6 documentos, Seguimiento y evaluación al vigilado: 4 documentos, Direccionamiento estratégico: 4 documentos, Actuaciones disciplinarias: 2 documentos, Gestión de trámites: 2 documentos, y Gestión Financiera: 2 documentos.
Finalmente, y de acuerdo con el tipo documental, durante el periodo se tramitaron oficializaciones asociadas a los tipos documentales: 47 Formatos, 7 Manuales, 5 Procesos, 2 Caracterizaciones de proceso, 2 Metodologías, 2 Políticas institucionales, 1 Procedimiento, y 1 Guía.
A partir de lo anterior, se da cumplimiento al 100% de lo establecido para el periodo.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14.75" customHeight="1" thickBot="1">
      <c r="A63" s="673" t="str">
        <f>VLOOKUP(L12,Reporte!$N$5:$BZ$133,65,FALSE)</f>
        <v>Durante el periodo comprendido entre octubre y diciembre de 2025 se atendieron 105 solicitudes de oficialización de documentos en los procesos institucionales de la Superintendencia Nacional de Salud dando cumplimiento al 100% de lo establecido para el periodo respecto a los documentos priorizados a oficializar en la vigencia.
De éstas, 72 solicitudes correspondieron a creación de documentos, 29 correspondieron a actualización y 4 solicitudes de anulación en el marco de los siguientes procesos: Actuaciones disciplinarias: 1 documento, Auditorías: 11 documentos, Control: 8 documentos, Direccionamiento estratégico: 10 documentos, Evaluación independiente: 1 documentos, Gestión de bienes y servicios: 8 documentos, Gestión estratégica de personas: 13 documentos, Gestión financiera: 6 documentos, Gestión jurídica: 9 documentos, Gestión jurisdiccional y de conciliación: 4 documentos, Gobierno y gestión de datos e información: 24 documentos, Relacionamiento con la ciudadanía y grupos de valor: 5 documentos, Seguimiento y evaluación al vigilado: 5 documentos,
Finalmente, y de acuerdo con el tipo documental, durante el periodo se tramitaron oficializaciones asociadas a los tipos documentales: 68 Formatos, 15 Manuales, 15 Procedimientos, 3 Guías, 2 Procesos, y 2 Políticas institucionales.</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atendieron 249 solicitudes de  elaboración o actualización documental por parte del SIG, con sobrecumplimiento la meta porcentual de 90% prevista para el 2025.Sin embargo, teniendo en cuenta que no se cuenta con un número total de documentos priorizados por vigencia se sugiere el ajuste de la fórmula para que quede así “Número de documentos elaborados, modificados y/o eliminados en el periodo de seguimiento /Total de documentos con solicitud de elaboración, modificación y/o eliminación en el periodo de seguimiento*100”.</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45737-A708-4BD6-95F0-4F2F92EF4423}">
  <sheetPr codeName="Hoja11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hidden="1" thickBot="1">
      <c r="A5" s="784" t="s">
        <v>0</v>
      </c>
      <c r="B5" s="785"/>
      <c r="C5" s="786" t="str">
        <f>VLOOKUP(L12,Reporte!$A$5:$M$133,9,FALSE)</f>
        <v>GESTIÓN DE MEJORA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Indice de Transparencia - ITA. </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 xml:space="preserve">Liderar el cumplimiento de los requisitos del Indice Transparecia y Acceso a la informaciòn pùblica - ITA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Resultado ITA medido por la Procuraduria General de la Nación </v>
      </c>
      <c r="D10" s="711"/>
      <c r="E10" s="711"/>
      <c r="F10" s="799" t="str">
        <f>VLOOKUP(L12,Reporte!$N$5:$BN$133,6,FALSE)</f>
        <v>Este indicador mide el el resutado del Indice ITA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Eficiencia</v>
      </c>
      <c r="K12" s="712"/>
      <c r="L12" s="713" t="s">
        <v>1229</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836">
        <f>VLOOKUP(L12,Reporte!$N$5:$BN$133,11,FALSE)</f>
        <v>100</v>
      </c>
      <c r="D15" s="837"/>
      <c r="E15" s="838"/>
      <c r="F15" s="740" t="str">
        <f>VLOOKUP(L12,Reporte!$N$5:$BN$133,9,FALSE)</f>
        <v>Semestral</v>
      </c>
      <c r="G15" s="741"/>
      <c r="H15" s="707" t="s">
        <v>37</v>
      </c>
      <c r="I15" s="707"/>
      <c r="J15" s="746" t="s">
        <v>1595</v>
      </c>
      <c r="K15" s="747"/>
      <c r="L15" s="748"/>
      <c r="M15" s="775" t="str">
        <f>VLOOKUP(L12,Reporte!$N$5:$BN$133,28,FALSE)</f>
        <v>Oficina Asesora de Planeación</v>
      </c>
      <c r="N15" s="776"/>
      <c r="O15" s="777"/>
      <c r="P15" s="128"/>
    </row>
    <row r="16" spans="1:17" ht="15.75">
      <c r="A16" s="730"/>
      <c r="B16" s="731"/>
      <c r="C16" s="839"/>
      <c r="D16" s="840"/>
      <c r="E16" s="841"/>
      <c r="F16" s="742"/>
      <c r="G16" s="743"/>
      <c r="H16" s="707" t="s">
        <v>40</v>
      </c>
      <c r="I16" s="707"/>
      <c r="J16" s="746" t="s">
        <v>1596</v>
      </c>
      <c r="K16" s="747"/>
      <c r="L16" s="748"/>
      <c r="M16" s="778"/>
      <c r="N16" s="779"/>
      <c r="O16" s="780"/>
      <c r="P16" s="128"/>
    </row>
    <row r="17" spans="1:17" ht="16.5" thickBot="1">
      <c r="A17" s="732"/>
      <c r="B17" s="733"/>
      <c r="C17" s="842"/>
      <c r="D17" s="843"/>
      <c r="E17" s="844"/>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0</v>
      </c>
      <c r="I22" s="132">
        <f>VLOOKUP(L12,Reporte!$N$5:$BN$133,36,FALSE)</f>
        <v>0</v>
      </c>
      <c r="J22" s="139">
        <f>VLOOKUP(L12,Reporte!$N$5:$BN$133,37,FALSE)</f>
        <v>100</v>
      </c>
      <c r="K22" s="139">
        <f>VLOOKUP(L12,Reporte!$N$5:$BN$133,38,FALSE)</f>
        <v>0</v>
      </c>
      <c r="L22" s="139">
        <f>VLOOKUP(L12,Reporte!$N$5:$BN$133,39,FALSE)</f>
        <v>0</v>
      </c>
      <c r="M22" s="139">
        <f>VLOOKUP(L12,Reporte!$N$5:$BN$133,40,FALSE)</f>
        <v>0</v>
      </c>
      <c r="N22" s="133">
        <f>VLOOKUP(L12,Reporte!$N$5:$BN$133,41,FALSE)</f>
        <v>0</v>
      </c>
      <c r="O22" s="133">
        <f>SUM(C22:N22)</f>
        <v>100</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0</v>
      </c>
      <c r="I23" s="140">
        <f>VLOOKUP(L12,Reporte!$N$5:$BN$133,48,FALSE)</f>
        <v>0</v>
      </c>
      <c r="J23" s="140">
        <f>VLOOKUP(L12,Reporte!$N$5:$BN$133,49,FALSE)</f>
        <v>100</v>
      </c>
      <c r="K23" s="140">
        <f>VLOOKUP(L12,Reporte!$N$5:$BN$133,50,FALSE)</f>
        <v>0</v>
      </c>
      <c r="L23" s="140">
        <f>VLOOKUP(L12,Reporte!$N$5:$BN$133,51,FALSE)</f>
        <v>0</v>
      </c>
      <c r="M23" s="140">
        <f>VLOOKUP(L12,Reporte!$N$5:$BN$133,52,FALSE)</f>
        <v>0</v>
      </c>
      <c r="N23" s="141">
        <f>VLOOKUP(L12,Reporte!$N$5:$BN$133,53,FALSE)</f>
        <v>0</v>
      </c>
      <c r="O23" s="133">
        <f>SUM(C23:N23)</f>
        <v>100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100</v>
      </c>
      <c r="D26" s="161">
        <f>+C26*0.98</f>
        <v>98</v>
      </c>
      <c r="E26" s="147"/>
      <c r="F26" s="147"/>
      <c r="G26" s="685"/>
      <c r="H26" s="685"/>
      <c r="I26" s="699"/>
      <c r="J26" s="699"/>
      <c r="K26" s="699"/>
      <c r="L26" s="685"/>
      <c r="M26" s="685"/>
      <c r="N26" s="685"/>
      <c r="O26" s="701"/>
      <c r="P26" s="148"/>
      <c r="Q26" s="149"/>
    </row>
    <row r="27" spans="1:17" s="127" customFormat="1" ht="15">
      <c r="A27" s="145" t="s">
        <v>95</v>
      </c>
      <c r="B27" s="161">
        <f>+D22</f>
        <v>0</v>
      </c>
      <c r="C27" s="161">
        <f>+C26</f>
        <v>100</v>
      </c>
      <c r="D27" s="161">
        <f>+D26</f>
        <v>98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100</v>
      </c>
      <c r="D28" s="161">
        <f t="shared" si="0"/>
        <v>98</v>
      </c>
      <c r="E28" s="147"/>
      <c r="F28" s="147"/>
      <c r="G28" s="685"/>
      <c r="H28" s="685"/>
      <c r="I28" s="685"/>
      <c r="J28" s="685"/>
      <c r="K28" s="147"/>
      <c r="L28" s="685"/>
      <c r="M28" s="685"/>
      <c r="N28" s="685"/>
      <c r="O28" s="701"/>
      <c r="P28" s="148"/>
      <c r="Q28" s="149"/>
    </row>
    <row r="29" spans="1:17" s="127" customFormat="1" ht="15">
      <c r="A29" s="145" t="s">
        <v>97</v>
      </c>
      <c r="B29" s="161">
        <f>+F22</f>
        <v>0</v>
      </c>
      <c r="C29" s="161">
        <f t="shared" si="0"/>
        <v>100</v>
      </c>
      <c r="D29" s="161">
        <f t="shared" si="0"/>
        <v>98</v>
      </c>
      <c r="E29" s="147"/>
      <c r="F29" s="147"/>
      <c r="G29" s="685"/>
      <c r="H29" s="685"/>
      <c r="I29" s="685"/>
      <c r="J29" s="685"/>
      <c r="K29" s="147"/>
      <c r="L29" s="685"/>
      <c r="M29" s="685"/>
      <c r="N29" s="685"/>
      <c r="O29" s="701"/>
      <c r="P29" s="148"/>
      <c r="Q29" s="149"/>
    </row>
    <row r="30" spans="1:17" s="127" customFormat="1" ht="15">
      <c r="A30" s="145" t="s">
        <v>98</v>
      </c>
      <c r="B30" s="161">
        <f>+G22</f>
        <v>0</v>
      </c>
      <c r="C30" s="161">
        <f t="shared" si="0"/>
        <v>100</v>
      </c>
      <c r="D30" s="161">
        <f t="shared" si="0"/>
        <v>98</v>
      </c>
      <c r="E30" s="147"/>
      <c r="F30" s="147"/>
      <c r="G30" s="685"/>
      <c r="H30" s="685"/>
      <c r="I30" s="685"/>
      <c r="J30" s="685"/>
      <c r="K30" s="147"/>
      <c r="L30" s="685"/>
      <c r="M30" s="685"/>
      <c r="N30" s="685"/>
      <c r="O30" s="701"/>
      <c r="P30" s="148"/>
      <c r="Q30" s="149"/>
    </row>
    <row r="31" spans="1:17" s="127" customFormat="1" ht="15">
      <c r="A31" s="145" t="s">
        <v>99</v>
      </c>
      <c r="B31" s="161">
        <f>+H22</f>
        <v>0</v>
      </c>
      <c r="C31" s="161">
        <f t="shared" si="0"/>
        <v>100</v>
      </c>
      <c r="D31" s="161">
        <f t="shared" si="0"/>
        <v>98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100</v>
      </c>
      <c r="D32" s="161">
        <f t="shared" si="0"/>
        <v>98</v>
      </c>
      <c r="E32" s="147"/>
      <c r="F32" s="147"/>
      <c r="G32" s="685"/>
      <c r="H32" s="685"/>
      <c r="I32" s="685"/>
      <c r="J32" s="685"/>
      <c r="K32" s="147"/>
      <c r="L32" s="685"/>
      <c r="M32" s="685"/>
      <c r="N32" s="685"/>
      <c r="O32" s="701"/>
      <c r="P32" s="148"/>
      <c r="Q32" s="149"/>
    </row>
    <row r="33" spans="1:17" s="127" customFormat="1" ht="15">
      <c r="A33" s="145" t="s">
        <v>101</v>
      </c>
      <c r="B33" s="161">
        <f>+J22</f>
        <v>100</v>
      </c>
      <c r="C33" s="161">
        <f t="shared" si="0"/>
        <v>100</v>
      </c>
      <c r="D33" s="161">
        <f t="shared" si="0"/>
        <v>98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100</v>
      </c>
      <c r="D34" s="161">
        <f t="shared" si="0"/>
        <v>98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100</v>
      </c>
      <c r="D35" s="161">
        <f t="shared" si="0"/>
        <v>98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100</v>
      </c>
      <c r="D36" s="161">
        <f t="shared" si="0"/>
        <v>98</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100</v>
      </c>
      <c r="D37" s="161">
        <f t="shared" si="0"/>
        <v>98</v>
      </c>
      <c r="E37" s="147"/>
      <c r="F37" s="147"/>
      <c r="G37" s="147"/>
      <c r="H37" s="147"/>
      <c r="I37" s="147"/>
      <c r="J37" s="147"/>
      <c r="K37" s="147"/>
      <c r="L37" s="685"/>
      <c r="M37" s="685"/>
      <c r="N37" s="685"/>
      <c r="O37" s="701"/>
      <c r="P37" s="148"/>
      <c r="Q37" s="149"/>
    </row>
    <row r="38" spans="1:17" s="127" customFormat="1" ht="15.75" thickBot="1">
      <c r="A38" s="152" t="s">
        <v>106</v>
      </c>
      <c r="B38" s="164">
        <f>+O22</f>
        <v>100</v>
      </c>
      <c r="C38" s="164">
        <f>+C37</f>
        <v>100</v>
      </c>
      <c r="D38" s="164">
        <f>+D37</f>
        <v>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104.25" customHeight="1" thickBot="1">
      <c r="A55" s="670" t="str">
        <f>VLOOKUP(L12,Reporte!$N$5:$BZ$133,61,FALSE)</f>
        <v xml:space="preserve">En el marco de la actividad "Liderar el cumplimiento de los requisitos del Índice de Transparencia y Acceso a la Información Pública – ITA", se logró el cumplimiento total de la meta, obteniendo un resultado de 100 puntos sobre 100 tanto en el reporte de autodiagnóstico como en la auditoría realizada por la Procuraduría General de la Nación. Este resultado evidencia el cumplimiento integral de los criterios evaluados por el índice.
De acuerdo con lo anterior, el indicador se ubica en el rango de "Bueno", con una tendencia ascendente respecto a la línea base de 97 puntos obtenida en la medición de la vigencia anterior. Esto evidencia una mejora sostenida en las acciones implementadas para garantizar el cumplimiento del ITA.
Acciones desarrolladas durante la vigencia:Cierre de brechas identificadas en el Anexo 2, con la participación de la Dirección de Innovación y Desarrollo, la Subdirección de Tecnologías de la Información, la Delegada para la Protección al Usuario y la Oficina de Comunicaciones.Coordinación del proceso de autodiagnóstico.Seguimiento a los requisitos del ITA.Articulación con las áreas responsables de la publicación de información.Revisión y fortalecimiento de los canales institucionales.Atención directa para resolver observaciones y asegurar el cumplimiento.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e">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e">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e">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logro un puntaje de 100, con  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2D597-9ACA-4BE9-BA07-CB9783312C88}">
  <sheetPr codeName="Hoja11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EVALUACIÓN INDEPENDIENTE</v>
      </c>
      <c r="D5" s="787"/>
      <c r="E5" s="787"/>
      <c r="F5" s="787"/>
      <c r="G5" s="787"/>
      <c r="H5" s="787"/>
      <c r="I5" s="787"/>
      <c r="J5" s="787"/>
      <c r="K5" s="787"/>
      <c r="L5" s="787"/>
      <c r="M5" s="787"/>
      <c r="N5" s="787"/>
      <c r="O5" s="788"/>
      <c r="P5" s="130"/>
      <c r="Q5" s="131"/>
    </row>
    <row r="6" spans="1:17" ht="28.5" customHeight="1">
      <c r="A6" s="789" t="s">
        <v>8</v>
      </c>
      <c r="B6" s="790"/>
      <c r="C6" s="711" t="str">
        <f>VLOOKUP(L12,Reporte!$N$5:$BN$133,2,FALSE)</f>
        <v>Auditorías realizadas de acuerdo con el Plan Anual de Auditorias</v>
      </c>
      <c r="D6" s="711"/>
      <c r="E6" s="711"/>
      <c r="F6" s="711"/>
      <c r="G6" s="711"/>
      <c r="H6" s="711"/>
      <c r="I6" s="711"/>
      <c r="J6" s="711"/>
      <c r="K6" s="711"/>
      <c r="L6" s="711"/>
      <c r="M6" s="711"/>
      <c r="N6" s="711"/>
      <c r="O6" s="791"/>
      <c r="P6" s="128"/>
    </row>
    <row r="7" spans="1:17" ht="58.5" customHeight="1">
      <c r="A7" s="789" t="s">
        <v>10</v>
      </c>
      <c r="B7" s="790"/>
      <c r="C7" s="711" t="str">
        <f>VLOOKUP(L12,Reporte!A5:M133,10,FALSE)</f>
        <v>Evaluar de forma independiente la gestión institucional de conformidad con los roles definidos para la tercera línea de defensa; a través de la realización de auditorias internas, seguimientos de Ley y requerimientos especiales solicitados por el representante legal y el Comité institucional de Coordinación del Control Interno, enmarcados en los principios de autocontrol, autogestión y autorregulación, para contribuir con el fortalecimiento y la mejora continua institucional</v>
      </c>
      <c r="D7" s="711"/>
      <c r="E7" s="711"/>
      <c r="F7" s="711"/>
      <c r="G7" s="711"/>
      <c r="H7" s="711"/>
      <c r="I7" s="711"/>
      <c r="J7" s="711"/>
      <c r="K7" s="711"/>
      <c r="L7" s="711"/>
      <c r="M7" s="711"/>
      <c r="N7" s="711"/>
      <c r="O7" s="791"/>
      <c r="P7" s="128"/>
    </row>
    <row r="8" spans="1:17" ht="15.75">
      <c r="A8" s="792" t="s">
        <v>1594</v>
      </c>
      <c r="B8" s="774"/>
      <c r="C8" s="711" t="str">
        <f>VLOOKUP(L12,Reporte!$A$5:$N$133,13,FALSE)</f>
        <v xml:space="preserve">Ejecutar Plan Anual de Auditorías Internas de Gestión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0" customHeight="1">
      <c r="A10" s="794"/>
      <c r="B10" s="795"/>
      <c r="C10" s="711" t="str">
        <f>VLOOKUP(L12,Reporte!$N$5:$BN$133,4,FALSE)</f>
        <v>Número de auditorias realizadas en el periodo de acuerdo con el plan anual de auditorias</v>
      </c>
      <c r="D10" s="711"/>
      <c r="E10" s="711"/>
      <c r="F10" s="799" t="str">
        <f>VLOOKUP(L12,Reporte!$N$5:$BN$133,6,FALSE)</f>
        <v>Este indicador mide el número de Informes de seguimiento a Planes institucionales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529</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6</v>
      </c>
      <c r="D15" s="826"/>
      <c r="E15" s="827"/>
      <c r="F15" s="740" t="str">
        <f>VLOOKUP(L12,Reporte!$N$5:$BN$133,9,FALSE)</f>
        <v>Semestral</v>
      </c>
      <c r="G15" s="741"/>
      <c r="H15" s="707" t="s">
        <v>37</v>
      </c>
      <c r="I15" s="707"/>
      <c r="J15" s="746" t="s">
        <v>1595</v>
      </c>
      <c r="K15" s="747"/>
      <c r="L15" s="748"/>
      <c r="M15" s="775" t="str">
        <f>VLOOKUP(L12,Reporte!$N$5:$BN$133,28,FALSE)</f>
        <v>Oficina de Control Interno</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2</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4</v>
      </c>
      <c r="O22" s="133">
        <f>SUM(C22:N22)</f>
        <v>6</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4</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2</v>
      </c>
      <c r="O23" s="133">
        <f>SUM(C23:N23)</f>
        <v>6</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6</v>
      </c>
      <c r="D26" s="161">
        <f>+C26*0.98</f>
        <v>5.88</v>
      </c>
      <c r="E26" s="147"/>
      <c r="F26" s="147"/>
      <c r="G26" s="685"/>
      <c r="H26" s="685"/>
      <c r="I26" s="699"/>
      <c r="J26" s="699"/>
      <c r="K26" s="699"/>
      <c r="L26" s="685"/>
      <c r="M26" s="685"/>
      <c r="N26" s="685"/>
      <c r="O26" s="701"/>
      <c r="P26" s="148"/>
      <c r="Q26" s="149"/>
    </row>
    <row r="27" spans="1:17" s="127" customFormat="1" ht="15">
      <c r="A27" s="145" t="s">
        <v>95</v>
      </c>
      <c r="B27" s="161">
        <f>+D22</f>
        <v>0</v>
      </c>
      <c r="C27" s="161">
        <f>+C26</f>
        <v>6</v>
      </c>
      <c r="D27" s="161">
        <f>+D26</f>
        <v>5.88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6</v>
      </c>
      <c r="D28" s="161">
        <f t="shared" si="0"/>
        <v>5.88</v>
      </c>
      <c r="E28" s="147"/>
      <c r="F28" s="147"/>
      <c r="G28" s="685"/>
      <c r="H28" s="685"/>
      <c r="I28" s="685"/>
      <c r="J28" s="685"/>
      <c r="K28" s="147"/>
      <c r="L28" s="685"/>
      <c r="M28" s="685"/>
      <c r="N28" s="685"/>
      <c r="O28" s="701"/>
      <c r="P28" s="148"/>
      <c r="Q28" s="149"/>
    </row>
    <row r="29" spans="1:17" s="127" customFormat="1" ht="15">
      <c r="A29" s="145" t="s">
        <v>97</v>
      </c>
      <c r="B29" s="161">
        <f>+F22</f>
        <v>0</v>
      </c>
      <c r="C29" s="161">
        <f t="shared" si="0"/>
        <v>6</v>
      </c>
      <c r="D29" s="161">
        <f t="shared" si="0"/>
        <v>5.88</v>
      </c>
      <c r="E29" s="147"/>
      <c r="F29" s="147"/>
      <c r="G29" s="685"/>
      <c r="H29" s="685"/>
      <c r="I29" s="685"/>
      <c r="J29" s="685"/>
      <c r="K29" s="147"/>
      <c r="L29" s="685"/>
      <c r="M29" s="685"/>
      <c r="N29" s="685"/>
      <c r="O29" s="701"/>
      <c r="P29" s="148"/>
      <c r="Q29" s="149"/>
    </row>
    <row r="30" spans="1:17" s="127" customFormat="1" ht="15">
      <c r="A30" s="145" t="s">
        <v>98</v>
      </c>
      <c r="B30" s="161">
        <f>+G22</f>
        <v>0</v>
      </c>
      <c r="C30" s="161">
        <f t="shared" si="0"/>
        <v>6</v>
      </c>
      <c r="D30" s="161">
        <f t="shared" si="0"/>
        <v>5.88</v>
      </c>
      <c r="E30" s="147"/>
      <c r="F30" s="147"/>
      <c r="G30" s="685"/>
      <c r="H30" s="685"/>
      <c r="I30" s="685"/>
      <c r="J30" s="685"/>
      <c r="K30" s="147"/>
      <c r="L30" s="685"/>
      <c r="M30" s="685"/>
      <c r="N30" s="685"/>
      <c r="O30" s="701"/>
      <c r="P30" s="148"/>
      <c r="Q30" s="149"/>
    </row>
    <row r="31" spans="1:17" s="127" customFormat="1" ht="15">
      <c r="A31" s="145" t="s">
        <v>99</v>
      </c>
      <c r="B31" s="161">
        <f>+H22</f>
        <v>2</v>
      </c>
      <c r="C31" s="161">
        <f t="shared" si="0"/>
        <v>6</v>
      </c>
      <c r="D31" s="161">
        <f t="shared" si="0"/>
        <v>5.88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6</v>
      </c>
      <c r="D32" s="161">
        <f t="shared" si="0"/>
        <v>5.88</v>
      </c>
      <c r="E32" s="147"/>
      <c r="F32" s="147"/>
      <c r="G32" s="685"/>
      <c r="H32" s="685"/>
      <c r="I32" s="685"/>
      <c r="J32" s="685"/>
      <c r="K32" s="147"/>
      <c r="L32" s="685"/>
      <c r="M32" s="685"/>
      <c r="N32" s="685"/>
      <c r="O32" s="701"/>
      <c r="P32" s="148"/>
      <c r="Q32" s="149"/>
    </row>
    <row r="33" spans="1:17" s="127" customFormat="1" ht="15">
      <c r="A33" s="145" t="s">
        <v>101</v>
      </c>
      <c r="B33" s="161">
        <f>+J22</f>
        <v>0</v>
      </c>
      <c r="C33" s="161">
        <f t="shared" si="0"/>
        <v>6</v>
      </c>
      <c r="D33" s="161">
        <f t="shared" si="0"/>
        <v>5.88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6</v>
      </c>
      <c r="D34" s="161">
        <f t="shared" si="0"/>
        <v>5.88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6</v>
      </c>
      <c r="D35" s="161">
        <f t="shared" si="0"/>
        <v>5.88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6</v>
      </c>
      <c r="D36" s="161">
        <f t="shared" si="0"/>
        <v>5.88</v>
      </c>
      <c r="E36" s="147"/>
      <c r="F36" s="147"/>
      <c r="G36" s="685"/>
      <c r="H36" s="685"/>
      <c r="I36" s="685"/>
      <c r="J36" s="685"/>
      <c r="K36" s="147"/>
      <c r="L36" s="685"/>
      <c r="M36" s="685"/>
      <c r="N36" s="685"/>
      <c r="O36" s="701"/>
      <c r="P36" s="148"/>
      <c r="Q36" s="149"/>
    </row>
    <row r="37" spans="1:17" s="127" customFormat="1" ht="15.75" thickBot="1">
      <c r="A37" s="150" t="s">
        <v>105</v>
      </c>
      <c r="B37" s="162">
        <f>+N22</f>
        <v>4</v>
      </c>
      <c r="C37" s="161">
        <f t="shared" si="0"/>
        <v>6</v>
      </c>
      <c r="D37" s="161">
        <f t="shared" si="0"/>
        <v>5.88</v>
      </c>
      <c r="E37" s="147"/>
      <c r="F37" s="147"/>
      <c r="G37" s="147"/>
      <c r="H37" s="147"/>
      <c r="I37" s="147"/>
      <c r="J37" s="147"/>
      <c r="K37" s="147"/>
      <c r="L37" s="685"/>
      <c r="M37" s="685"/>
      <c r="N37" s="685"/>
      <c r="O37" s="701"/>
      <c r="P37" s="148"/>
      <c r="Q37" s="149"/>
    </row>
    <row r="38" spans="1:17" s="127" customFormat="1" ht="15.75" thickBot="1">
      <c r="A38" s="152" t="s">
        <v>106</v>
      </c>
      <c r="B38" s="164">
        <f>+O22</f>
        <v>6</v>
      </c>
      <c r="C38" s="164">
        <f>+C37</f>
        <v>6</v>
      </c>
      <c r="D38" s="164">
        <f>+D37</f>
        <v>5.88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88.5" customHeight="1" thickBot="1">
      <c r="A51" s="673" t="str">
        <f>VLOOKUP(L12,Reporte!$N$5:$BZ$133,59,FALSE)</f>
        <v xml:space="preserve">De conformidad a la programación establecida en el PAAS para la vigencia 2025 y en atención a la actividad "Ejecutar Programa Anual Seguimiento a la Gestión Institucional", alusiva al indicador "Auditorías realizadas de acuerdo con el Plan Anual de Auditorías", la Oficina de Control Interno definió reportar en el mes de julio el cumplimiento correspondiente al primer semestre de la presente anualidad; de ello, se puede precisar, que fueron presentadas ante el CICCI dos (2) de las cuatro (4) auditorías programadas.
De las 2 (dos) restantes, la referente al proceso "Gestión Financiera" fue presentada el 01 de julio de 2025 ante el CICCI y la segunda alusiva al proceso "Gestión de Bienes y Servicios" se encuentra en ejecución, concluyéndose que las auditorías en mención serán reportadas en el segundo semestre de la presente anualidad.
Por lo anteriormente señalado, el porcentaje de cumplimiento para el período ahora reportado obedece al 50% de ejecución de acuerdo con lo definido en el Plan Anual de Auditorías.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90.75" customHeight="1" thickBot="1">
      <c r="A63" s="673" t="str">
        <f>VLOOKUP(L12,Reporte!$N$5:$BZ$133,65,FALSE)</f>
        <v xml:space="preserve">De conformidad a la programación establecida en el PAAS para la vigencia 2025 y en atención a la actividad "Ejecutar Programa Anual Seguimiento a la Gestión Institucional", alusiva al indicador "Auditorías realizadas de acuerdo con el Plan Anual de Auditorías", la Oficina de Control Interno definió reportar en el mes de diciembre el cumplimiento correspondiente al segundo semestre de la vigencia 2025; de ello, se puede precisar, que fueron presentadas ante el CICCI cuatro (4) de las dos (2) auditorías programadas; las dos adicionales se encontraban rezagadas del primer semestre referentes a los procesos de "Gestión Financiera" y "Gestión de Bienes y Servicios".
Por lo anteriormente señalado, el porcentaje de cumplimiento para el período ahora reportado obedece al 200% de ejecución de acuerdo con lo definido en el Plan Anual de Auditorías.
Al cierre de diciembre se realizaron seis (6) auditorias las cuales se encontraban programadas para realizar en la vigencia, lo que representa un cumplimiento del 100% en la ejecución del PAAS.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a la fecha 6 auditorías, con cumplimiento la meta de 6 establecida para 2025. Se deben tomar acciones para el 2026 que garanticen el cumplimiento del cronograma propuesto.</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9BA90-B791-4686-A042-A63C69CB0CC3}">
  <sheetPr codeName="Hoja116"/>
  <dimension ref="A1:Q67"/>
  <sheetViews>
    <sheetView view="pageBreakPreview" zoomScale="80" zoomScaleNormal="73" zoomScaleSheetLayoutView="80" zoomScalePageLayoutView="55" workbookViewId="0">
      <selection activeCell="R21" sqref="R21"/>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EVALUACIÓN INDEPENDIENTE</v>
      </c>
      <c r="D5" s="787"/>
      <c r="E5" s="787"/>
      <c r="F5" s="787"/>
      <c r="G5" s="787"/>
      <c r="H5" s="787"/>
      <c r="I5" s="787"/>
      <c r="J5" s="787"/>
      <c r="K5" s="787"/>
      <c r="L5" s="787"/>
      <c r="M5" s="787"/>
      <c r="N5" s="787"/>
      <c r="O5" s="788"/>
      <c r="P5" s="130"/>
      <c r="Q5" s="131"/>
    </row>
    <row r="6" spans="1:17" ht="28.5" customHeight="1">
      <c r="A6" s="789" t="s">
        <v>8</v>
      </c>
      <c r="B6" s="790"/>
      <c r="C6" s="711" t="str">
        <f>VLOOKUP(L12,Reporte!$N$5:$BN$133,2,FALSE)</f>
        <v>Seguimientos y evaluaciones efectuadas al control institucional</v>
      </c>
      <c r="D6" s="711"/>
      <c r="E6" s="711"/>
      <c r="F6" s="711"/>
      <c r="G6" s="711"/>
      <c r="H6" s="711"/>
      <c r="I6" s="711"/>
      <c r="J6" s="711"/>
      <c r="K6" s="711"/>
      <c r="L6" s="711"/>
      <c r="M6" s="711"/>
      <c r="N6" s="711"/>
      <c r="O6" s="791"/>
      <c r="P6" s="128"/>
    </row>
    <row r="7" spans="1:17" ht="58.5" customHeight="1">
      <c r="A7" s="789" t="s">
        <v>10</v>
      </c>
      <c r="B7" s="790"/>
      <c r="C7" s="711" t="str">
        <f>VLOOKUP(L12,Reporte!A5:M133,10,FALSE)</f>
        <v>Evaluar de forma independiente la gestión institucional de conformidad con los roles definidos para la tercera línea de defensa; a través de la realización de auditorias internas, seguimientos de Ley y requerimientos especiales solicitados por el representante legal y el Comité institucional de Coordinación del Control Interno, enmarcados en los principios de autocontrol, autogestión y autorregulación, para contribuir con el fortalecimiento y la mejora continua institucional</v>
      </c>
      <c r="D7" s="711"/>
      <c r="E7" s="711"/>
      <c r="F7" s="711"/>
      <c r="G7" s="711"/>
      <c r="H7" s="711"/>
      <c r="I7" s="711"/>
      <c r="J7" s="711"/>
      <c r="K7" s="711"/>
      <c r="L7" s="711"/>
      <c r="M7" s="711"/>
      <c r="N7" s="711"/>
      <c r="O7" s="791"/>
      <c r="P7" s="128"/>
    </row>
    <row r="8" spans="1:17" ht="15.75">
      <c r="A8" s="792" t="s">
        <v>1594</v>
      </c>
      <c r="B8" s="774"/>
      <c r="C8" s="711" t="str">
        <f>VLOOKUP(L12,Reporte!$A$5:$N$133,13,FALSE)</f>
        <v>Ejecutar Plan Anual de Seguimientos de Ley a la Gestión Institucional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4.25" customHeight="1">
      <c r="A10" s="794"/>
      <c r="B10" s="795"/>
      <c r="C10" s="711" t="str">
        <f>VLOOKUP(L12,Reporte!$N$5:$BN$133,4,FALSE)</f>
        <v>Número de seguimientos y evaluaciones realizadas oportunamente dentro de las fechas programadas en el periodo.</v>
      </c>
      <c r="D10" s="711"/>
      <c r="E10" s="711"/>
      <c r="F10" s="799" t="str">
        <f>VLOOKUP(L12,Reporte!$N$5:$BN$133,6,FALSE)</f>
        <v xml:space="preserve">Este indicador mide el seguimiento y evaluaciones efectudas </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360</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10">
        <f>VLOOKUP(L12,Reporte!$N$5:$BN$133,11,FALSE)</f>
        <v>54</v>
      </c>
      <c r="D15" s="811"/>
      <c r="E15" s="812"/>
      <c r="F15" s="740" t="str">
        <f>VLOOKUP(L12,Reporte!$N$5:$BN$133,9,FALSE)</f>
        <v>Trimestral</v>
      </c>
      <c r="G15" s="741"/>
      <c r="H15" s="707" t="s">
        <v>37</v>
      </c>
      <c r="I15" s="707"/>
      <c r="J15" s="746" t="s">
        <v>1595</v>
      </c>
      <c r="K15" s="747"/>
      <c r="L15" s="748"/>
      <c r="M15" s="775" t="str">
        <f>VLOOKUP(L12,Reporte!$N$5:$BN$133,28,FALSE)</f>
        <v>Oficina de Control Interno</v>
      </c>
      <c r="N15" s="776"/>
      <c r="O15" s="777"/>
      <c r="P15" s="128"/>
    </row>
    <row r="16" spans="1:17" ht="15.75">
      <c r="A16" s="730"/>
      <c r="B16" s="731"/>
      <c r="C16" s="813"/>
      <c r="D16" s="814"/>
      <c r="E16" s="815"/>
      <c r="F16" s="742"/>
      <c r="G16" s="743"/>
      <c r="H16" s="707" t="s">
        <v>40</v>
      </c>
      <c r="I16" s="707"/>
      <c r="J16" s="746" t="s">
        <v>1596</v>
      </c>
      <c r="K16" s="747"/>
      <c r="L16" s="748"/>
      <c r="M16" s="778"/>
      <c r="N16" s="779"/>
      <c r="O16" s="780"/>
      <c r="P16" s="128"/>
    </row>
    <row r="17" spans="1:17" ht="16.5" thickBot="1">
      <c r="A17" s="732"/>
      <c r="B17" s="733"/>
      <c r="C17" s="816"/>
      <c r="D17" s="817"/>
      <c r="E17" s="818"/>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15</v>
      </c>
      <c r="F22" s="139">
        <f>VLOOKUP(L12,Reporte!$N$5:$BN$133,33,FALSE)</f>
        <v>0</v>
      </c>
      <c r="G22" s="132">
        <f>VLOOKUP(L12,Reporte!$N$5:$BN$133,34,FALSE)</f>
        <v>0</v>
      </c>
      <c r="H22" s="139">
        <f>VLOOKUP(L12,Reporte!$N$5:$BN$133,35,FALSE)</f>
        <v>9</v>
      </c>
      <c r="I22" s="132">
        <f>VLOOKUP(L12,Reporte!$N$5:$BN$133,36,FALSE)</f>
        <v>0</v>
      </c>
      <c r="J22" s="139">
        <f>VLOOKUP(L12,Reporte!$N$5:$BN$133,37,FALSE)</f>
        <v>0</v>
      </c>
      <c r="K22" s="139">
        <f>VLOOKUP(L12,Reporte!$N$5:$BN$133,38,FALSE)</f>
        <v>11</v>
      </c>
      <c r="L22" s="139">
        <f>VLOOKUP(L12,Reporte!$N$5:$BN$133,39,FALSE)</f>
        <v>0</v>
      </c>
      <c r="M22" s="139">
        <f>VLOOKUP(L12,Reporte!$N$5:$BN$133,40,FALSE)</f>
        <v>0</v>
      </c>
      <c r="N22" s="133">
        <f>VLOOKUP(L12,Reporte!$N$5:$BN$133,41,FALSE)</f>
        <v>19</v>
      </c>
      <c r="O22" s="133">
        <f>SUM(C22:N22)</f>
        <v>54</v>
      </c>
      <c r="P22" s="128"/>
    </row>
    <row r="23" spans="1:17" ht="16.5" thickBot="1">
      <c r="A23" s="690" t="s">
        <v>76</v>
      </c>
      <c r="B23" s="691"/>
      <c r="C23" s="140">
        <f>VLOOKUP(L12,Reporte!$N$5:$BN$133,42,FALSE)</f>
        <v>0</v>
      </c>
      <c r="D23" s="140">
        <f>VLOOKUP(L12,Reporte!$N$5:$BN$133,43,FALSE)</f>
        <v>0</v>
      </c>
      <c r="E23" s="140">
        <f>VLOOKUP(L12,Reporte!$N$5:$BN$133,44,FALSE)</f>
        <v>15</v>
      </c>
      <c r="F23" s="140">
        <f>VLOOKUP(L12,Reporte!$N$5:$BN$133,45,FALSE)</f>
        <v>0</v>
      </c>
      <c r="G23" s="140">
        <f>VLOOKUP(L12,Reporte!$N$5:$BN$133,46,FALSE)</f>
        <v>0</v>
      </c>
      <c r="H23" s="140">
        <f>VLOOKUP(L12,Reporte!$N$5:$BN$133,47,FALSE)</f>
        <v>13</v>
      </c>
      <c r="I23" s="140">
        <f>VLOOKUP(L12,Reporte!$N$5:$BN$133,48,FALSE)</f>
        <v>0</v>
      </c>
      <c r="J23" s="140">
        <f>VLOOKUP(L12,Reporte!$N$5:$BN$133,49,FALSE)</f>
        <v>0</v>
      </c>
      <c r="K23" s="140">
        <f>VLOOKUP(L12,Reporte!$N$5:$BN$133,50,FALSE)</f>
        <v>13</v>
      </c>
      <c r="L23" s="140">
        <f>VLOOKUP(L12,Reporte!$N$5:$BN$133,51,FALSE)</f>
        <v>0</v>
      </c>
      <c r="M23" s="140">
        <f>VLOOKUP(L12,Reporte!$N$5:$BN$133,52,FALSE)</f>
        <v>0</v>
      </c>
      <c r="N23" s="141">
        <f>VLOOKUP(L12,Reporte!$N$5:$BN$133,53,FALSE)</f>
        <v>13</v>
      </c>
      <c r="O23" s="133">
        <f>SUM(C23:N23)</f>
        <v>54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54</v>
      </c>
      <c r="D26" s="161">
        <f>+C26*0.98</f>
        <v>52.92</v>
      </c>
      <c r="E26" s="147"/>
      <c r="F26" s="147"/>
      <c r="G26" s="685"/>
      <c r="H26" s="685"/>
      <c r="I26" s="699"/>
      <c r="J26" s="699"/>
      <c r="K26" s="699"/>
      <c r="L26" s="685"/>
      <c r="M26" s="685"/>
      <c r="N26" s="685"/>
      <c r="O26" s="701"/>
      <c r="P26" s="148"/>
      <c r="Q26" s="149"/>
    </row>
    <row r="27" spans="1:17" s="127" customFormat="1" ht="15">
      <c r="A27" s="145" t="s">
        <v>95</v>
      </c>
      <c r="B27" s="161">
        <f>+D22</f>
        <v>0</v>
      </c>
      <c r="C27" s="161">
        <f>+C26</f>
        <v>54</v>
      </c>
      <c r="D27" s="161">
        <f>+D26</f>
        <v>52.92</v>
      </c>
      <c r="E27" s="147"/>
      <c r="F27" s="147"/>
      <c r="G27" s="685"/>
      <c r="H27" s="685"/>
      <c r="I27" s="685"/>
      <c r="J27" s="685"/>
      <c r="K27" s="147"/>
      <c r="L27" s="685"/>
      <c r="M27" s="685"/>
      <c r="N27" s="685"/>
      <c r="O27" s="701"/>
      <c r="P27" s="148"/>
      <c r="Q27" s="149"/>
    </row>
    <row r="28" spans="1:17" s="127" customFormat="1" ht="15">
      <c r="A28" s="145" t="s">
        <v>96</v>
      </c>
      <c r="B28" s="161">
        <f>+E22</f>
        <v>15</v>
      </c>
      <c r="C28" s="161">
        <f t="shared" ref="C28:D37" si="0">+C27</f>
        <v>54</v>
      </c>
      <c r="D28" s="161">
        <f t="shared" si="0"/>
        <v>52.92</v>
      </c>
      <c r="E28" s="147"/>
      <c r="F28" s="147"/>
      <c r="G28" s="685"/>
      <c r="H28" s="685"/>
      <c r="I28" s="685"/>
      <c r="J28" s="685"/>
      <c r="K28" s="147"/>
      <c r="L28" s="685"/>
      <c r="M28" s="685"/>
      <c r="N28" s="685"/>
      <c r="O28" s="701"/>
      <c r="P28" s="148"/>
      <c r="Q28" s="149"/>
    </row>
    <row r="29" spans="1:17" s="127" customFormat="1" ht="15">
      <c r="A29" s="145" t="s">
        <v>97</v>
      </c>
      <c r="B29" s="161">
        <f>+F22</f>
        <v>0</v>
      </c>
      <c r="C29" s="161">
        <f t="shared" si="0"/>
        <v>54</v>
      </c>
      <c r="D29" s="161">
        <f t="shared" si="0"/>
        <v>52.92</v>
      </c>
      <c r="E29" s="147"/>
      <c r="F29" s="147"/>
      <c r="G29" s="685"/>
      <c r="H29" s="685"/>
      <c r="I29" s="685"/>
      <c r="J29" s="685"/>
      <c r="K29" s="147"/>
      <c r="L29" s="685"/>
      <c r="M29" s="685"/>
      <c r="N29" s="685"/>
      <c r="O29" s="701"/>
      <c r="P29" s="148"/>
      <c r="Q29" s="149"/>
    </row>
    <row r="30" spans="1:17" s="127" customFormat="1" ht="15">
      <c r="A30" s="145" t="s">
        <v>98</v>
      </c>
      <c r="B30" s="161">
        <f>+G22</f>
        <v>0</v>
      </c>
      <c r="C30" s="161">
        <f t="shared" si="0"/>
        <v>54</v>
      </c>
      <c r="D30" s="161">
        <f t="shared" si="0"/>
        <v>52.92</v>
      </c>
      <c r="E30" s="147"/>
      <c r="F30" s="147"/>
      <c r="G30" s="685"/>
      <c r="H30" s="685"/>
      <c r="I30" s="685"/>
      <c r="J30" s="685"/>
      <c r="K30" s="147"/>
      <c r="L30" s="685"/>
      <c r="M30" s="685"/>
      <c r="N30" s="685"/>
      <c r="O30" s="701"/>
      <c r="P30" s="148"/>
      <c r="Q30" s="149"/>
    </row>
    <row r="31" spans="1:17" s="127" customFormat="1" ht="15">
      <c r="A31" s="145" t="s">
        <v>99</v>
      </c>
      <c r="B31" s="161">
        <f>+H22</f>
        <v>9</v>
      </c>
      <c r="C31" s="161">
        <f t="shared" si="0"/>
        <v>54</v>
      </c>
      <c r="D31" s="161">
        <f t="shared" si="0"/>
        <v>52.92</v>
      </c>
      <c r="E31" s="147"/>
      <c r="F31" s="147"/>
      <c r="G31" s="685"/>
      <c r="H31" s="685"/>
      <c r="I31" s="685"/>
      <c r="J31" s="685"/>
      <c r="K31" s="147"/>
      <c r="L31" s="685"/>
      <c r="M31" s="685"/>
      <c r="N31" s="685"/>
      <c r="O31" s="701"/>
      <c r="P31" s="148"/>
      <c r="Q31" s="149"/>
    </row>
    <row r="32" spans="1:17" s="127" customFormat="1" ht="15">
      <c r="A32" s="145" t="s">
        <v>100</v>
      </c>
      <c r="B32" s="161">
        <f>+I22</f>
        <v>0</v>
      </c>
      <c r="C32" s="161">
        <f t="shared" si="0"/>
        <v>54</v>
      </c>
      <c r="D32" s="161">
        <f t="shared" si="0"/>
        <v>52.92</v>
      </c>
      <c r="E32" s="147"/>
      <c r="F32" s="147"/>
      <c r="G32" s="685"/>
      <c r="H32" s="685"/>
      <c r="I32" s="685"/>
      <c r="J32" s="685"/>
      <c r="K32" s="147"/>
      <c r="L32" s="685"/>
      <c r="M32" s="685"/>
      <c r="N32" s="685"/>
      <c r="O32" s="701"/>
      <c r="P32" s="148"/>
      <c r="Q32" s="149"/>
    </row>
    <row r="33" spans="1:17" s="127" customFormat="1" ht="15">
      <c r="A33" s="145" t="s">
        <v>101</v>
      </c>
      <c r="B33" s="161">
        <f>+J22</f>
        <v>0</v>
      </c>
      <c r="C33" s="161">
        <f t="shared" si="0"/>
        <v>54</v>
      </c>
      <c r="D33" s="161">
        <f t="shared" si="0"/>
        <v>52.92</v>
      </c>
      <c r="E33" s="147"/>
      <c r="F33" s="147"/>
      <c r="G33" s="685"/>
      <c r="H33" s="685"/>
      <c r="I33" s="685"/>
      <c r="J33" s="685"/>
      <c r="K33" s="147"/>
      <c r="L33" s="685"/>
      <c r="M33" s="685"/>
      <c r="N33" s="685"/>
      <c r="O33" s="701"/>
      <c r="P33" s="148"/>
      <c r="Q33" s="149"/>
    </row>
    <row r="34" spans="1:17" s="127" customFormat="1" ht="15">
      <c r="A34" s="145" t="s">
        <v>102</v>
      </c>
      <c r="B34" s="161">
        <f>+K22</f>
        <v>11</v>
      </c>
      <c r="C34" s="161">
        <f t="shared" si="0"/>
        <v>54</v>
      </c>
      <c r="D34" s="161">
        <f t="shared" si="0"/>
        <v>52.92</v>
      </c>
      <c r="E34" s="147"/>
      <c r="F34" s="147"/>
      <c r="G34" s="685"/>
      <c r="H34" s="685"/>
      <c r="I34" s="685"/>
      <c r="J34" s="685"/>
      <c r="K34" s="147"/>
      <c r="L34" s="685"/>
      <c r="M34" s="685"/>
      <c r="N34" s="685"/>
      <c r="O34" s="701"/>
      <c r="P34" s="148"/>
      <c r="Q34" s="149"/>
    </row>
    <row r="35" spans="1:17" s="127" customFormat="1" ht="15">
      <c r="A35" s="145" t="s">
        <v>103</v>
      </c>
      <c r="B35" s="161">
        <f>+L22</f>
        <v>0</v>
      </c>
      <c r="C35" s="161">
        <f t="shared" si="0"/>
        <v>54</v>
      </c>
      <c r="D35" s="161">
        <f t="shared" si="0"/>
        <v>52.92</v>
      </c>
      <c r="E35" s="147"/>
      <c r="F35" s="147"/>
      <c r="G35" s="685"/>
      <c r="H35" s="685"/>
      <c r="I35" s="685"/>
      <c r="J35" s="685"/>
      <c r="K35" s="147"/>
      <c r="L35" s="685"/>
      <c r="M35" s="685"/>
      <c r="N35" s="685"/>
      <c r="O35" s="701"/>
      <c r="P35" s="148"/>
      <c r="Q35" s="149"/>
    </row>
    <row r="36" spans="1:17" s="127" customFormat="1" ht="15">
      <c r="A36" s="145" t="s">
        <v>104</v>
      </c>
      <c r="B36" s="161">
        <f>+M22</f>
        <v>0</v>
      </c>
      <c r="C36" s="161">
        <f t="shared" si="0"/>
        <v>54</v>
      </c>
      <c r="D36" s="161">
        <f t="shared" si="0"/>
        <v>52.92</v>
      </c>
      <c r="E36" s="147"/>
      <c r="F36" s="147"/>
      <c r="G36" s="685"/>
      <c r="H36" s="685"/>
      <c r="I36" s="685"/>
      <c r="J36" s="685"/>
      <c r="K36" s="147"/>
      <c r="L36" s="685"/>
      <c r="M36" s="685"/>
      <c r="N36" s="685"/>
      <c r="O36" s="701"/>
      <c r="P36" s="148"/>
      <c r="Q36" s="149"/>
    </row>
    <row r="37" spans="1:17" s="127" customFormat="1" ht="15.75" thickBot="1">
      <c r="A37" s="150" t="s">
        <v>105</v>
      </c>
      <c r="B37" s="162">
        <f>+N22</f>
        <v>19</v>
      </c>
      <c r="C37" s="161">
        <f t="shared" si="0"/>
        <v>54</v>
      </c>
      <c r="D37" s="161">
        <f t="shared" si="0"/>
        <v>52.92</v>
      </c>
      <c r="E37" s="147"/>
      <c r="F37" s="147"/>
      <c r="G37" s="147"/>
      <c r="H37" s="147"/>
      <c r="I37" s="147"/>
      <c r="J37" s="147"/>
      <c r="K37" s="147"/>
      <c r="L37" s="685"/>
      <c r="M37" s="685"/>
      <c r="N37" s="685"/>
      <c r="O37" s="701"/>
      <c r="P37" s="148"/>
      <c r="Q37" s="149"/>
    </row>
    <row r="38" spans="1:17" s="127" customFormat="1" ht="15.75" thickBot="1">
      <c r="A38" s="152" t="s">
        <v>106</v>
      </c>
      <c r="B38" s="164">
        <f>+O22</f>
        <v>54</v>
      </c>
      <c r="C38" s="164">
        <f>+C37</f>
        <v>54</v>
      </c>
      <c r="D38" s="164">
        <f>+D37</f>
        <v>52.92</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65.25" customHeight="1" thickBot="1">
      <c r="A45" s="682" t="str">
        <f>VLOOKUP(L12,Reporte!$N$5:$BZ$133,56,FALSE)</f>
        <v xml:space="preserve">De conformidad a la programación establecida en el PAAS para la vigencia 2025 y en atención a la actividad "Ejecutar Programa Anual Seguimiento a la Gestión Institucional", alusiva al indicador "Seguimientos y evaluaciones efectuadas al control institucional", la Oficina de Control Interno definió reportar en el mes de abril el cumplimiento correspondiente al primer trimestre de la presente anualidad; de ello, se puede precisar, que fueron ejecutadas las quince (15) actividades programadas.
Por lo anteriormente señalado, el porcentaje de cumplimiento para el período ahora reportado obedece al 100% de ejecución de acuerdo con lo definido en el Plan Anual de Seguimientos de Ley a la Gestión Institucional.
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91.5" customHeight="1" thickBot="1">
      <c r="A51" s="670" t="str">
        <f>VLOOKUP(L12,Reporte!$N$5:$BZ$133,59,FALSE)</f>
        <v xml:space="preserve">De conformidad a la programación establecida en el PAAS para la vigencia 2025 y en atención a la actividad "Ejecutar Programa Anual Seguimiento a la Gestión Institucional", alusiva al indicador "Seguimientos y evaluaciones efectuadas al control institucional", la Oficina de Control Interno definió reportar en el mes de julio el cumplimiento correspondiente al segundo trimestre de la presente anualidad; de ello, se puede precisar, que fueron ejecutadas nueve (9) de las trece (13) actividades programadas, concluyéndose que las cuatro (4) restantes serán reportadas en el segundo semestre de la presente anualidad.
Por lo anteriormente señalado, el porcentaje de cumplimiento para el período ahora reportado obedece al 69% de ejecución de acuerdo con lo definido en el Plan Anual de Seguimientos de Ley a la Gestión Institucional.
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De conformidad con la programación establecida en el Plan Anual de Seguimiento a la Gestión Institucional (PAAS) para la vigencia 2025, y en atención a la actividad "Ejecutar Programa Anual de Seguimiento a la Gestión Institucional", correspondiente al indicador "Seguimientos y evaluaciones efectuadas al control institucional", la Oficina de Control Interno reporta el cumplimiento del tercer trimestre de la presente anualidad.
Durante este periodo se ejecutaron un total de once (11) actividades, de las cuales cuatro (4) correspondían a acciones rezagadas del segundo trimestre, producto de situaciones administrativas relacionadas con el concurso de mérito. Por lo anteriormente señalado, el porcentaje de cumplimiento para el período reportado corresponde al 85% de ejecución. En la primera semana de octubre se radicaron dos (2) actividades, correspondientes al tercer trimestre, las cuales se verán reflejados en el siguiente trimestre evaluado.
Con este avance, al cierre de septiembre se han realizado treinta y siete (37) actividades de las cuarenta y una (41) programadas, lo que representa un cumplimiento del 90% en la ejecución del PAAS.
Adicionalmente, en el transcurso del trimestre se llevaron a cabo actividades complementarias no previstas en el plan, derivadas de requerimientos formulados por entes de control, atención de derechos de petición, actividades de gestores, entre otros.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38.75" customHeight="1" thickBot="1">
      <c r="A63" s="673" t="str">
        <f>VLOOKUP(L12,Reporte!$N$5:$BZ$133,65,FALSE)</f>
        <v xml:space="preserve">De conformidad con la programación establecida en el Plan Anual de Seguimiento a la Gestión Institucional (PAAS) para la vigencia 2025, y en atención a la actividad “Ejecutar Programa Anual de Seguimiento a la Gestión Institucional”, correspondiente al indicador “Seguimientos y evaluaciones efectuadas al control institucional”, la Oficina de Control Interno reporta el cumplimiento del cuarto trimestre de la presente anualidad. 
Durante el cuarto trimestre de 2025 se ejecutaron un total de diecinueve (19) actividades de las trece (13) programadas; la diferencia corresponde a seis (6) actividades a acciones rezagadas del tercer trimestre, producto de situaciones administrativas relacionadas con el concurso de mérito. Por lo anteriormente señalado, el porcentaje de cumplimiento para el período reportado corresponde al 146% de ejecución.
Al cierre de la vigencia 2025 se realizaron cincuenta y cuatro (54) actividades las cuales se encontraban programadas para realizar en la vigencia, lo que representa un cumplimiento del 100% en la ejecución del PAAS.
Adicionalmente, en el transcurso del trimestre se llevaron a cabo actividades complementarias no previstas en el plan, derivadas de requerimientos formulados por entes de control, atención de derechos de petición, actividades de gestores, entre otros.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54 seguimientos y evaluaciones, con cumplimiento de 100% de la meta de 54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003B6-3887-4A01-9169-78E1A3A1FAED}">
  <sheetPr codeName="Hoja11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ESTRATÉGICA DE PERSONAS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avance en la ejecución del Plan Estratégico de Desarrollo del Talento Humano </v>
      </c>
      <c r="D6" s="711"/>
      <c r="E6" s="711"/>
      <c r="F6" s="711"/>
      <c r="G6" s="711"/>
      <c r="H6" s="711"/>
      <c r="I6" s="711"/>
      <c r="J6" s="711"/>
      <c r="K6" s="711"/>
      <c r="L6" s="711"/>
      <c r="M6" s="711"/>
      <c r="N6" s="711"/>
      <c r="O6" s="791"/>
      <c r="P6" s="128"/>
    </row>
    <row r="7" spans="1:17" ht="58.5" customHeight="1">
      <c r="A7" s="789" t="s">
        <v>10</v>
      </c>
      <c r="B7" s="790"/>
      <c r="C7" s="711" t="str">
        <f>VLOOKUP(L12,Reporte!A5:M133,10,FALSE)</f>
        <v>Gestionar el ciclo de vida laboral de las personas, mediante acciones de planeación, vinculación, desarrollo, retención y retiro, con el propósito de contar con servidores competentes y comprometidos con el ejercicio de sus funciones, en beneficio del cumplimiento de los objetivos institucionales y misión de la entidad.</v>
      </c>
      <c r="D7" s="711"/>
      <c r="E7" s="711"/>
      <c r="F7" s="711"/>
      <c r="G7" s="711"/>
      <c r="H7" s="711"/>
      <c r="I7" s="711"/>
      <c r="J7" s="711"/>
      <c r="K7" s="711"/>
      <c r="L7" s="711"/>
      <c r="M7" s="711"/>
      <c r="N7" s="711"/>
      <c r="O7" s="791"/>
      <c r="P7" s="128"/>
    </row>
    <row r="8" spans="1:17" ht="44.25" customHeight="1">
      <c r="A8" s="792" t="s">
        <v>1594</v>
      </c>
      <c r="B8" s="774"/>
      <c r="C8" s="711" t="str">
        <f>VLOOKUP(L12,Reporte!$A$5:$N$133,13,FALSE)</f>
        <v>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actividades ejecutadas en el periodo </v>
      </c>
      <c r="D10" s="711"/>
      <c r="E10" s="711"/>
      <c r="F10" s="799" t="str">
        <f>VLOOKUP(L12,Reporte!$N$5:$BN$133,6,FALSE)</f>
        <v>Este indicador mide el porcentaje de avance en la ejecución del plan estratégico de desarrollo de talento humano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8" customHeight="1" thickBot="1">
      <c r="A12" s="796"/>
      <c r="B12" s="768"/>
      <c r="C12" s="710" t="str">
        <f>VLOOKUP(L12,Reporte!$N$5:$BN$133,5,FALSE)</f>
        <v xml:space="preserve"> Número de actividades programadas en el cronograma del Plan Estratégico de Desarrollo del Talento Humano en el periodo*100</v>
      </c>
      <c r="D12" s="711"/>
      <c r="E12" s="711"/>
      <c r="F12" s="799"/>
      <c r="G12" s="799"/>
      <c r="H12" s="799"/>
      <c r="I12" s="799"/>
      <c r="J12" s="712" t="str">
        <f>VLOOKUP(L12,Reporte!$N$5:$BN$133,7,FALSE)</f>
        <v>Eficiencia</v>
      </c>
      <c r="K12" s="712"/>
      <c r="L12" s="713" t="s">
        <v>480</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11</v>
      </c>
      <c r="F22" s="139">
        <f>VLOOKUP(L12,Reporte!$N$5:$BN$133,33,FALSE)</f>
        <v>0</v>
      </c>
      <c r="G22" s="132">
        <f>VLOOKUP(L12,Reporte!$N$5:$BN$133,34,FALSE)</f>
        <v>0</v>
      </c>
      <c r="H22" s="139">
        <f>VLOOKUP(L12,Reporte!$N$5:$BN$133,35,FALSE)</f>
        <v>19</v>
      </c>
      <c r="I22" s="132">
        <f>VLOOKUP(L12,Reporte!$N$5:$BN$133,36,FALSE)</f>
        <v>0</v>
      </c>
      <c r="J22" s="139">
        <f>VLOOKUP(L12,Reporte!$N$5:$BN$133,37,FALSE)</f>
        <v>0</v>
      </c>
      <c r="K22" s="139">
        <f>VLOOKUP(L12,Reporte!$N$5:$BN$133,38,FALSE)</f>
        <v>11</v>
      </c>
      <c r="L22" s="139">
        <f>VLOOKUP(L12,Reporte!$N$5:$BN$133,39,FALSE)</f>
        <v>0</v>
      </c>
      <c r="M22" s="139">
        <f>VLOOKUP(L12,Reporte!$N$5:$BN$133,40,FALSE)</f>
        <v>0</v>
      </c>
      <c r="N22" s="133">
        <f>VLOOKUP(L12,Reporte!$N$5:$BN$133,41,FALSE)</f>
        <v>22</v>
      </c>
      <c r="O22" s="133">
        <f>SUM(C22:N22)</f>
        <v>63</v>
      </c>
      <c r="P22" s="128"/>
    </row>
    <row r="23" spans="1:17" ht="16.5" thickBot="1">
      <c r="A23" s="690" t="s">
        <v>76</v>
      </c>
      <c r="B23" s="691"/>
      <c r="C23" s="140">
        <f>VLOOKUP(L12,Reporte!$N$5:$BN$133,42,FALSE)</f>
        <v>0</v>
      </c>
      <c r="D23" s="140">
        <f>VLOOKUP(L12,Reporte!$N$5:$BN$133,43,FALSE)</f>
        <v>0</v>
      </c>
      <c r="E23" s="140">
        <f>VLOOKUP(L12,Reporte!$N$5:$BN$133,44,FALSE)</f>
        <v>11</v>
      </c>
      <c r="F23" s="140">
        <f>VLOOKUP(L12,Reporte!$N$5:$BN$133,45,FALSE)</f>
        <v>0</v>
      </c>
      <c r="G23" s="140">
        <f>VLOOKUP(L12,Reporte!$N$5:$BN$133,46,FALSE)</f>
        <v>0</v>
      </c>
      <c r="H23" s="140">
        <f>VLOOKUP(L12,Reporte!$N$5:$BN$133,47,FALSE)</f>
        <v>19</v>
      </c>
      <c r="I23" s="140">
        <f>VLOOKUP(L12,Reporte!$N$5:$BN$133,48,FALSE)</f>
        <v>0</v>
      </c>
      <c r="J23" s="140">
        <f>VLOOKUP(L12,Reporte!$N$5:$BN$133,49,FALSE)</f>
        <v>0</v>
      </c>
      <c r="K23" s="140">
        <f>VLOOKUP(L12,Reporte!$N$5:$BN$133,50,FALSE)</f>
        <v>11</v>
      </c>
      <c r="L23" s="140">
        <f>VLOOKUP(L12,Reporte!$N$5:$BN$133,51,FALSE)</f>
        <v>0</v>
      </c>
      <c r="M23" s="140">
        <f>VLOOKUP(L12,Reporte!$N$5:$BN$133,52,FALSE)</f>
        <v>0</v>
      </c>
      <c r="N23" s="141">
        <f>VLOOKUP(L12,Reporte!$N$5:$BN$133,53,FALSE)</f>
        <v>22</v>
      </c>
      <c r="O23" s="133">
        <f>SUM(C23:N23)</f>
        <v>63</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​Para el primer trimestre de la vigencia se consiguió un porcentaje de cumplimiento de 100% de las actividades programadas para el período, para un porcentaje acumulado del 100% del total de las actividades programadas para la vigencia en la actividad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56.25" customHeight="1" thickBot="1">
      <c r="A51" s="673" t="str">
        <f>VLOOKUP(L12,Reporte!$N$5:$BZ$133,59,FALSE)</f>
        <v xml:space="preserve">​Para el segundo trimestre de la vigencia se consiguió un porcentaje de cumplimiento de 100% de las actividades programadas para el período, para un porcentaje acumulado del 100% del total de las actividades programadas para la vigencia en la actividad 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​La Dirección de Talento Humano informa que, durante el tercer trimestre del año, se tenían programadas once actividades en el Plan Estrataegico de Talento Humano, las cuales fueron ejecutadas. Esto representa un avance del 100% respecto a la meta establecida para el periodo.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​La Dirección de Talento Humano informa que, durante el cuarto trimestre del año, se tenían programadas 22 actividades en el Plan Estrataegico de Talento Humano, las cuales fueron ejecutadas. Esto representa un avance del 100% respecto a la meta establecida para el periodo.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ejecuto el total de 63 actividades del PEDTH, con cumplimiento la meta porcentual del 100%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0F6D-6E22-4213-AEFA-7492D8020146}">
  <sheetPr codeName="Hoja11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ESTRATÉGICA DE PERSONAS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avance en la ejecución del Plan institucional de capacitación</v>
      </c>
      <c r="D6" s="711"/>
      <c r="E6" s="711"/>
      <c r="F6" s="711"/>
      <c r="G6" s="711"/>
      <c r="H6" s="711"/>
      <c r="I6" s="711"/>
      <c r="J6" s="711"/>
      <c r="K6" s="711"/>
      <c r="L6" s="711"/>
      <c r="M6" s="711"/>
      <c r="N6" s="711"/>
      <c r="O6" s="791"/>
      <c r="P6" s="128"/>
    </row>
    <row r="7" spans="1:17" ht="58.5" customHeight="1">
      <c r="A7" s="789" t="s">
        <v>10</v>
      </c>
      <c r="B7" s="790"/>
      <c r="C7" s="711" t="str">
        <f>VLOOKUP(L12,Reporte!A5:M133,10,FALSE)</f>
        <v>Gestionar el ciclo de vida laboral de las personas, mediante acciones de planeación, vinculación, desarrollo, retención y retiro, con el propósito de contar con servidores competentes y comprometidos con el ejercicio de sus funciones, en beneficio del cumplimiento de los objetivos institucionales y misión de la entidad.</v>
      </c>
      <c r="D7" s="711"/>
      <c r="E7" s="711"/>
      <c r="F7" s="711"/>
      <c r="G7" s="711"/>
      <c r="H7" s="711"/>
      <c r="I7" s="711"/>
      <c r="J7" s="711"/>
      <c r="K7" s="711"/>
      <c r="L7" s="711"/>
      <c r="M7" s="711"/>
      <c r="N7" s="711"/>
      <c r="O7" s="791"/>
      <c r="P7" s="128"/>
    </row>
    <row r="8" spans="1:17" ht="15.75">
      <c r="A8" s="792" t="s">
        <v>1594</v>
      </c>
      <c r="B8" s="774"/>
      <c r="C8" s="711" t="str">
        <f>VLOOKUP(L12,Reporte!$A$5:$N$133,13,FALSE)</f>
        <v>Ejecutar el Cronograma del plan institucional de capacitación (Componente de Gestión del Desarrollo)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actividades ejecutadas en el período </v>
      </c>
      <c r="D10" s="711"/>
      <c r="E10" s="711"/>
      <c r="F10" s="799" t="str">
        <f>VLOOKUP(L12,Reporte!$N$5:$BN$133,6,FALSE)</f>
        <v>Este indicador mide el porcentaje de avance en la ejecución del plan institucional de capacitación</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7" customHeight="1" thickBot="1">
      <c r="A12" s="796"/>
      <c r="B12" s="768"/>
      <c r="C12" s="710" t="str">
        <f>VLOOKUP(L12,Reporte!$N$5:$BN$133,5,FALSE)</f>
        <v xml:space="preserve"> Número de actividades programadas en el cronograma del Plan institucional de capacitación*100</v>
      </c>
      <c r="D12" s="711"/>
      <c r="E12" s="711"/>
      <c r="F12" s="799"/>
      <c r="G12" s="799"/>
      <c r="H12" s="799"/>
      <c r="I12" s="799"/>
      <c r="J12" s="712" t="str">
        <f>VLOOKUP(L12,Reporte!$N$5:$BN$133,7,FALSE)</f>
        <v>Eficiencia</v>
      </c>
      <c r="K12" s="712"/>
      <c r="L12" s="713" t="s">
        <v>486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v>
      </c>
      <c r="F22" s="139">
        <f>VLOOKUP(L12,Reporte!$N$5:$BN$133,33,FALSE)</f>
        <v>0</v>
      </c>
      <c r="G22" s="132">
        <f>VLOOKUP(L12,Reporte!$N$5:$BN$133,34,FALSE)</f>
        <v>0</v>
      </c>
      <c r="H22" s="139">
        <f>VLOOKUP(L12,Reporte!$N$5:$BN$133,35,FALSE)</f>
        <v>1</v>
      </c>
      <c r="I22" s="132">
        <f>VLOOKUP(L12,Reporte!$N$5:$BN$133,36,FALSE)</f>
        <v>0</v>
      </c>
      <c r="J22" s="139">
        <f>VLOOKUP(L12,Reporte!$N$5:$BN$133,37,FALSE)</f>
        <v>0</v>
      </c>
      <c r="K22" s="139">
        <f>VLOOKUP(L12,Reporte!$N$5:$BN$133,38,FALSE)</f>
        <v>1</v>
      </c>
      <c r="L22" s="139">
        <f>VLOOKUP(L12,Reporte!$N$5:$BN$133,39,FALSE)</f>
        <v>0</v>
      </c>
      <c r="M22" s="139">
        <f>VLOOKUP(L12,Reporte!$N$5:$BN$133,40,FALSE)</f>
        <v>0</v>
      </c>
      <c r="N22" s="133">
        <f>VLOOKUP(L12,Reporte!$N$5:$BN$133,41,FALSE)</f>
        <v>52</v>
      </c>
      <c r="O22" s="133">
        <f>SUM(C22:N22)</f>
        <v>55</v>
      </c>
      <c r="P22" s="128"/>
    </row>
    <row r="23" spans="1:17" ht="16.5" thickBot="1">
      <c r="A23" s="690" t="s">
        <v>76</v>
      </c>
      <c r="B23" s="691"/>
      <c r="C23" s="140">
        <f>VLOOKUP(L12,Reporte!$N$5:$BN$133,42,FALSE)</f>
        <v>0</v>
      </c>
      <c r="D23" s="140">
        <f>VLOOKUP(L12,Reporte!$N$5:$BN$133,43,FALSE)</f>
        <v>0</v>
      </c>
      <c r="E23" s="140">
        <f>VLOOKUP(L12,Reporte!$N$5:$BN$133,44,FALSE)</f>
        <v>1</v>
      </c>
      <c r="F23" s="140">
        <f>VLOOKUP(L12,Reporte!$N$5:$BN$133,45,FALSE)</f>
        <v>0</v>
      </c>
      <c r="G23" s="140">
        <f>VLOOKUP(L12,Reporte!$N$5:$BN$133,46,FALSE)</f>
        <v>0</v>
      </c>
      <c r="H23" s="140">
        <f>VLOOKUP(L12,Reporte!$N$5:$BN$133,47,FALSE)</f>
        <v>1</v>
      </c>
      <c r="I23" s="140">
        <f>VLOOKUP(L12,Reporte!$N$5:$BN$133,48,FALSE)</f>
        <v>0</v>
      </c>
      <c r="J23" s="140">
        <f>VLOOKUP(L12,Reporte!$N$5:$BN$133,49,FALSE)</f>
        <v>0</v>
      </c>
      <c r="K23" s="140">
        <f>VLOOKUP(L12,Reporte!$N$5:$BN$133,50,FALSE)</f>
        <v>1</v>
      </c>
      <c r="L23" s="140">
        <f>VLOOKUP(L12,Reporte!$N$5:$BN$133,51,FALSE)</f>
        <v>0</v>
      </c>
      <c r="M23" s="140">
        <f>VLOOKUP(L12,Reporte!$N$5:$BN$133,52,FALSE)</f>
        <v>0</v>
      </c>
      <c r="N23" s="141">
        <f>VLOOKUP(L12,Reporte!$N$5:$BN$133,53,FALSE)</f>
        <v>52</v>
      </c>
      <c r="O23" s="133">
        <f>SUM(C23:N23)</f>
        <v>55</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​Para el primer trimestre de la vigencia se consiguió un porcentaje de cumplimiento de 100% de las actividades programadas para el período, para un porcentaje acumulado del 100% del total de las actividades programadas para la vigencia en la actividad</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institucional de capacitación (Componente de Gestión del Desarrollo)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La Dirección de Talento Humano informa que, durante el tercer trimestre del año, se tenía programada una actividad en el Plan Institucional de Capacitación, la cual fue ejecutada. Esto representa un avance del 100% respecto a la meta establecida para el periodo.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​La Dirección de Talento Humano informa que, durante el último trimestre del año, se tenían programadas 52 actividades en el Plan Institucional de Capacitación, las cuales fueron ejecutadas eficientemente. Esto representa un avance del 100% respecto a la meta establecida para el periodo.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ejecutado un total de 53 actividades del PIC, con cumplimiento de la meta de 100%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AF7F9-B803-46DF-8F6F-84589B7D145A}">
  <sheetPr codeName="Hoja11"/>
  <dimension ref="A1:I74"/>
  <sheetViews>
    <sheetView zoomScaleNormal="100" workbookViewId="0">
      <pane ySplit="9" topLeftCell="A10" activePane="bottomLeft" state="frozen"/>
      <selection activeCell="D16" sqref="D16"/>
      <selection pane="bottomLeft" activeCell="C16" sqref="C16"/>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58" t="s">
        <v>238</v>
      </c>
      <c r="D7" s="658"/>
      <c r="E7" s="42"/>
      <c r="F7" s="36"/>
      <c r="G7" s="36"/>
    </row>
    <row r="8" spans="1:7" ht="20.25" customHeight="1">
      <c r="A8" s="36"/>
      <c r="B8" s="41"/>
      <c r="C8" s="658"/>
      <c r="D8" s="658"/>
      <c r="E8" s="42"/>
      <c r="F8" s="36"/>
      <c r="G8" s="36"/>
    </row>
    <row r="9" spans="1:7">
      <c r="A9" s="36"/>
      <c r="B9" s="41"/>
      <c r="C9" s="51"/>
      <c r="D9" s="36"/>
      <c r="E9" s="42"/>
      <c r="F9" s="36"/>
      <c r="G9" s="36"/>
    </row>
    <row r="10" spans="1:7" ht="42.75">
      <c r="A10" s="36"/>
      <c r="B10" s="41"/>
      <c r="C10" s="56" t="s">
        <v>371</v>
      </c>
      <c r="D10" s="60" t="s">
        <v>817</v>
      </c>
      <c r="E10" s="42"/>
      <c r="F10" s="36"/>
      <c r="G10" s="36"/>
    </row>
    <row r="11" spans="1:7" ht="42.75">
      <c r="A11" s="36"/>
      <c r="B11" s="41"/>
      <c r="C11" s="56" t="s">
        <v>375</v>
      </c>
      <c r="D11" s="60" t="s">
        <v>526</v>
      </c>
      <c r="E11" s="42"/>
      <c r="F11" s="36"/>
      <c r="G11" s="36"/>
    </row>
    <row r="12" spans="1:7" ht="42.75">
      <c r="A12" s="36"/>
      <c r="B12" s="41"/>
      <c r="C12" s="56" t="s">
        <v>380</v>
      </c>
      <c r="D12" s="60" t="s">
        <v>530</v>
      </c>
      <c r="E12" s="42"/>
      <c r="F12" s="36"/>
      <c r="G12" s="36"/>
    </row>
    <row r="13" spans="1:7" ht="28.5">
      <c r="A13" s="36"/>
      <c r="B13" s="41"/>
      <c r="C13" s="56" t="s">
        <v>239</v>
      </c>
      <c r="D13" s="60" t="s">
        <v>241</v>
      </c>
      <c r="E13" s="42"/>
      <c r="F13" s="36"/>
      <c r="G13" s="36"/>
    </row>
    <row r="14" spans="1:7">
      <c r="A14" s="36"/>
      <c r="B14" s="41"/>
      <c r="C14" s="56" t="s">
        <v>358</v>
      </c>
      <c r="D14" s="60" t="s">
        <v>517</v>
      </c>
      <c r="E14" s="42"/>
      <c r="F14" s="36"/>
      <c r="G14" s="36"/>
    </row>
    <row r="15" spans="1:7" ht="28.5">
      <c r="A15" s="36"/>
      <c r="B15" s="41"/>
      <c r="C15" s="56" t="s">
        <v>1306</v>
      </c>
      <c r="D15" s="60" t="s">
        <v>1308</v>
      </c>
      <c r="E15" s="42"/>
      <c r="F15" s="36"/>
      <c r="G15" s="36"/>
    </row>
    <row r="16" spans="1:7" ht="42.75">
      <c r="A16" s="36"/>
      <c r="B16" s="41"/>
      <c r="C16" s="56" t="s">
        <v>1313</v>
      </c>
      <c r="D16" s="60" t="s">
        <v>1316</v>
      </c>
      <c r="E16" s="42"/>
      <c r="F16" s="36"/>
      <c r="G16" s="36"/>
    </row>
    <row r="17" spans="1:7" ht="28.5">
      <c r="A17" s="36"/>
      <c r="B17" s="41"/>
      <c r="C17" s="56" t="s">
        <v>1320</v>
      </c>
      <c r="D17" s="60" t="s">
        <v>1326</v>
      </c>
      <c r="E17" s="42"/>
      <c r="F17" s="36"/>
      <c r="G17" s="36"/>
    </row>
    <row r="18" spans="1:7" ht="42.75">
      <c r="A18" s="36"/>
      <c r="B18" s="41"/>
      <c r="C18" s="56" t="s">
        <v>252</v>
      </c>
      <c r="D18" s="60" t="s">
        <v>1332</v>
      </c>
      <c r="E18" s="42"/>
      <c r="F18" s="36"/>
      <c r="G18" s="36"/>
    </row>
    <row r="19" spans="1:7" s="36" customFormat="1" ht="42.75">
      <c r="B19" s="41"/>
      <c r="C19" s="56" t="s">
        <v>245</v>
      </c>
      <c r="D19" s="60" t="s">
        <v>1338</v>
      </c>
      <c r="E19" s="42"/>
    </row>
    <row r="20" spans="1:7" ht="42.75">
      <c r="A20" s="36"/>
      <c r="B20" s="41"/>
      <c r="C20" s="56" t="s">
        <v>353</v>
      </c>
      <c r="D20" s="60" t="s">
        <v>727</v>
      </c>
      <c r="E20" s="42"/>
      <c r="F20" s="36"/>
    </row>
    <row r="21" spans="1:7" ht="28.5">
      <c r="A21" s="36"/>
      <c r="B21" s="41"/>
      <c r="C21" s="56" t="s">
        <v>259</v>
      </c>
      <c r="D21" s="60" t="s">
        <v>1356</v>
      </c>
      <c r="E21" s="42"/>
      <c r="F21" s="36"/>
    </row>
    <row r="22" spans="1:7" ht="42.75">
      <c r="A22" s="36"/>
      <c r="B22" s="41"/>
      <c r="C22" s="56" t="s">
        <v>364</v>
      </c>
      <c r="D22" s="60" t="s">
        <v>731</v>
      </c>
      <c r="E22" s="42"/>
      <c r="F22" s="36"/>
    </row>
    <row r="23" spans="1:7" ht="15" thickBot="1">
      <c r="A23" s="36"/>
      <c r="B23" s="43"/>
      <c r="C23" s="54"/>
      <c r="D23" s="44"/>
      <c r="E23" s="45"/>
      <c r="F23" s="36"/>
    </row>
    <row r="24" spans="1:7">
      <c r="A24" s="36"/>
      <c r="B24" s="36"/>
      <c r="C24" s="51"/>
      <c r="D24" s="36"/>
      <c r="E24" s="36"/>
      <c r="F24" s="36"/>
    </row>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sheetData>
  <mergeCells count="1">
    <mergeCell ref="C7:D8"/>
  </mergeCells>
  <hyperlinks>
    <hyperlink ref="C10" location="'DI07'!Área_de_impresión" display="DI07" xr:uid="{336F9E17-23F2-4AA1-9739-B744982921CC}"/>
    <hyperlink ref="C14" location="'DE16'!Área_de_impresión" display="DE16" xr:uid="{3A11ED68-A046-43E2-AA5D-BB04F67227B5}"/>
    <hyperlink ref="C15" location="'DE17'!Área_de_impresión" display="DE17" xr:uid="{A8F1118C-40B0-4440-8C0D-612A011E4EAD}"/>
    <hyperlink ref="C19" location="'DI36'!Área_de_impresión" display="DI36" xr:uid="{7D361B46-F7E6-4587-A4D6-A535A50BBC26}"/>
    <hyperlink ref="C20" location="'DE14'!Área_de_impresión" display="DE14" xr:uid="{ABA9F841-0029-4641-9CB7-8032D033A822}"/>
    <hyperlink ref="C21" location="'DE13'!Área_de_impresión" display="DE13" xr:uid="{C392200D-A3C5-4E43-B80E-B4D157367567}"/>
    <hyperlink ref="C22" location="'DE18'!Área_de_impresión" display="DE18" xr:uid="{3078A832-B83E-42DA-95F5-5801EA56AB01}"/>
    <hyperlink ref="C16" location="'DI34'!Área_de_impresión" display="DI34" xr:uid="{6393C6BA-BBD5-4719-A6CC-5F3BE30A6C84}"/>
    <hyperlink ref="C17" location="'DI38'!Área_de_impresión" display="DI38" xr:uid="{2465758E-F34F-451A-BFE9-49715ED9EA69}"/>
    <hyperlink ref="C18" location="'DI31'!Área_de_impresión" display="DI31" xr:uid="{88155242-F645-41EE-A869-4DE9BF8BEA59}"/>
    <hyperlink ref="C11" location="'DI09'!Área_de_impresión" display="DI09" xr:uid="{742E4BA0-8CA1-4167-BC3D-A323C2AFAD92}"/>
    <hyperlink ref="C12" location="'DI10'!Área_de_impresión" display="DI10" xr:uid="{EDCBE148-CC8E-4BB9-B8EF-A38EA502EBAA}"/>
    <hyperlink ref="C13" location="'DE10'!Área_de_impresión" display="DE10" xr:uid="{CE071A62-D9D0-4501-8E94-CCB95CC64A41}"/>
  </hyperlinks>
  <pageMargins left="0.7" right="0.7" top="0.75" bottom="0.75" header="0.3" footer="0.3"/>
  <pageSetup paperSize="9" scale="76" orientation="portrait" r:id="rId1"/>
  <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FAFF3-1449-414E-87AB-A56DC4BF2CF5}">
  <sheetPr codeName="Hoja119"/>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ESTRATÉGICA DE PERSONAS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avance en la ejecución del Plan de bienestar social y estímulos </v>
      </c>
      <c r="D6" s="711"/>
      <c r="E6" s="711"/>
      <c r="F6" s="711"/>
      <c r="G6" s="711"/>
      <c r="H6" s="711"/>
      <c r="I6" s="711"/>
      <c r="J6" s="711"/>
      <c r="K6" s="711"/>
      <c r="L6" s="711"/>
      <c r="M6" s="711"/>
      <c r="N6" s="711"/>
      <c r="O6" s="791"/>
      <c r="P6" s="128"/>
    </row>
    <row r="7" spans="1:17" ht="58.5" customHeight="1">
      <c r="A7" s="789" t="s">
        <v>10</v>
      </c>
      <c r="B7" s="790"/>
      <c r="C7" s="711" t="str">
        <f>VLOOKUP(L12,Reporte!A5:M133,10,FALSE)</f>
        <v>Gestionar el ciclo de vida laboral de las personas, mediante acciones de planeación, vinculación, desarrollo, retención y retiro, con el propósito de contar con servidores competentes y comprometidos con el ejercicio de sus funciones, en beneficio del cumplimiento de los objetivos institucionales y misión de la entidad.</v>
      </c>
      <c r="D7" s="711"/>
      <c r="E7" s="711"/>
      <c r="F7" s="711"/>
      <c r="G7" s="711"/>
      <c r="H7" s="711"/>
      <c r="I7" s="711"/>
      <c r="J7" s="711"/>
      <c r="K7" s="711"/>
      <c r="L7" s="711"/>
      <c r="M7" s="711"/>
      <c r="N7" s="711"/>
      <c r="O7" s="791"/>
      <c r="P7" s="128"/>
    </row>
    <row r="8" spans="1:17" ht="15.75">
      <c r="A8" s="792" t="s">
        <v>1594</v>
      </c>
      <c r="B8" s="774"/>
      <c r="C8" s="711" t="str">
        <f>VLOOKUP(L12,Reporte!$A$5:$N$133,13,FALSE)</f>
        <v>Ejecutar  el Cronograma del plan de bienestar social y estímulos (Componente Gestión de la Relaciones Humanas)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actividades ejecutadas en el período </v>
      </c>
      <c r="D10" s="711"/>
      <c r="E10" s="711"/>
      <c r="F10" s="799" t="str">
        <f>VLOOKUP(L12,Reporte!$N$5:$BN$133,6,FALSE)</f>
        <v>Este indicador mide el porcentaje de avance en la ejecución del plan de bienestar social y estímulo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6.25" customHeight="1" thickBot="1">
      <c r="A12" s="796"/>
      <c r="B12" s="768"/>
      <c r="C12" s="710" t="str">
        <f>VLOOKUP(L12,Reporte!$N$5:$BN$133,5,FALSE)</f>
        <v xml:space="preserve"> Número de actividades programadas en el cronograma del Plan de bienestar social y estímulos*100</v>
      </c>
      <c r="D12" s="711"/>
      <c r="E12" s="711"/>
      <c r="F12" s="799"/>
      <c r="G12" s="799"/>
      <c r="H12" s="799"/>
      <c r="I12" s="799"/>
      <c r="J12" s="712" t="str">
        <f>VLOOKUP(L12,Reporte!$N$5:$BN$133,7,FALSE)</f>
        <v>Eficiencia</v>
      </c>
      <c r="K12" s="712"/>
      <c r="L12" s="713" t="s">
        <v>492</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14</v>
      </c>
      <c r="F22" s="139">
        <f>VLOOKUP(L12,Reporte!$N$5:$BN$133,33,FALSE)</f>
        <v>0</v>
      </c>
      <c r="G22" s="132">
        <f>VLOOKUP(L12,Reporte!$N$5:$BN$133,34,FALSE)</f>
        <v>0</v>
      </c>
      <c r="H22" s="139">
        <f>VLOOKUP(L12,Reporte!$N$5:$BN$133,35,FALSE)</f>
        <v>27</v>
      </c>
      <c r="I22" s="132">
        <f>VLOOKUP(L12,Reporte!$N$5:$BN$133,36,FALSE)</f>
        <v>0</v>
      </c>
      <c r="J22" s="139">
        <f>VLOOKUP(L12,Reporte!$N$5:$BN$133,37,FALSE)</f>
        <v>0</v>
      </c>
      <c r="K22" s="139">
        <f>VLOOKUP(L12,Reporte!$N$5:$BN$133,38,FALSE)</f>
        <v>11</v>
      </c>
      <c r="L22" s="139">
        <f>VLOOKUP(L12,Reporte!$N$5:$BN$133,39,FALSE)</f>
        <v>0</v>
      </c>
      <c r="M22" s="139">
        <f>VLOOKUP(L12,Reporte!$N$5:$BN$133,40,FALSE)</f>
        <v>0</v>
      </c>
      <c r="N22" s="133">
        <f>VLOOKUP(L12,Reporte!$N$5:$BN$133,41,FALSE)</f>
        <v>35</v>
      </c>
      <c r="O22" s="133">
        <f>SUM(C22:N22)</f>
        <v>87</v>
      </c>
      <c r="P22" s="128"/>
    </row>
    <row r="23" spans="1:17" ht="16.5" thickBot="1">
      <c r="A23" s="690" t="s">
        <v>76</v>
      </c>
      <c r="B23" s="691"/>
      <c r="C23" s="140">
        <f>VLOOKUP(L12,Reporte!$N$5:$BN$133,42,FALSE)</f>
        <v>0</v>
      </c>
      <c r="D23" s="140">
        <f>VLOOKUP(L12,Reporte!$N$5:$BN$133,43,FALSE)</f>
        <v>0</v>
      </c>
      <c r="E23" s="140">
        <f>VLOOKUP(L12,Reporte!$N$5:$BN$133,44,FALSE)</f>
        <v>14</v>
      </c>
      <c r="F23" s="140">
        <f>VLOOKUP(L12,Reporte!$N$5:$BN$133,45,FALSE)</f>
        <v>0</v>
      </c>
      <c r="G23" s="140">
        <f>VLOOKUP(L12,Reporte!$N$5:$BN$133,46,FALSE)</f>
        <v>0</v>
      </c>
      <c r="H23" s="140">
        <f>VLOOKUP(L12,Reporte!$N$5:$BN$133,47,FALSE)</f>
        <v>27</v>
      </c>
      <c r="I23" s="140">
        <f>VLOOKUP(L12,Reporte!$N$5:$BN$133,48,FALSE)</f>
        <v>0</v>
      </c>
      <c r="J23" s="140">
        <f>VLOOKUP(L12,Reporte!$N$5:$BN$133,49,FALSE)</f>
        <v>0</v>
      </c>
      <c r="K23" s="140">
        <f>VLOOKUP(L12,Reporte!$N$5:$BN$133,50,FALSE)</f>
        <v>11</v>
      </c>
      <c r="L23" s="140">
        <f>VLOOKUP(L12,Reporte!$N$5:$BN$133,51,FALSE)</f>
        <v>0</v>
      </c>
      <c r="M23" s="140">
        <f>VLOOKUP(L12,Reporte!$N$5:$BN$133,52,FALSE)</f>
        <v>0</v>
      </c>
      <c r="N23" s="141">
        <f>VLOOKUP(L12,Reporte!$N$5:$BN$133,53,FALSE)</f>
        <v>35</v>
      </c>
      <c r="O23" s="133">
        <f>SUM(C23:N23)</f>
        <v>87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​Para el primer trimestre de la vigencia se consiguió un porcentaje de cumplimiento de 100% de las actividades programadas para el período, para un porcentaje acumulado del 100% del total de las actividades programadas para la vigencia en la actividad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0" t="str">
        <f>VLOOKUP(L12,Reporte!$N$5:$BZ$133,59,FALSE)</f>
        <v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de bienestar social y estímulos (Componente Gestión de la Relaciones Humanas)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​La Dirección de Talento Humano informa que, durante el tercer trimestre del año, se tenían programadas once actividades en el Plan Institucional de Capacitación, las cuales fueron ejecutadas. Esto representa un avance del 100% respecto a la meta establecida para el periodo.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​La Dirección de Talento Humano informa que, durante el cuarto trimestre del año, se tenían programadas 35 actividades en el Plan de Bienestar Social e Incentivos, las cuales fueron ejecutadas efectivamente. Esto representa un avance del 100% respecto a la meta establecida para el periodo.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ejecutado un total de 87 actividades del PBIEN, con cumplimiento la meta de 100%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55852-A2BA-47E2-9F62-849E5562BC01}">
  <sheetPr codeName="Hoja12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ESTRATÉGICA DE PERSONAS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avance en la ejecución del Plan anual de Seguridad y Salud en el Trabajo</v>
      </c>
      <c r="D6" s="711"/>
      <c r="E6" s="711"/>
      <c r="F6" s="711"/>
      <c r="G6" s="711"/>
      <c r="H6" s="711"/>
      <c r="I6" s="711"/>
      <c r="J6" s="711"/>
      <c r="K6" s="711"/>
      <c r="L6" s="711"/>
      <c r="M6" s="711"/>
      <c r="N6" s="711"/>
      <c r="O6" s="791"/>
      <c r="P6" s="128"/>
    </row>
    <row r="7" spans="1:17" ht="58.5" customHeight="1">
      <c r="A7" s="789" t="s">
        <v>10</v>
      </c>
      <c r="B7" s="790"/>
      <c r="C7" s="711" t="str">
        <f>VLOOKUP(L12,Reporte!A5:M133,10,FALSE)</f>
        <v>Gestionar el ciclo de vida laboral de las personas, mediante acciones de planeación, vinculación, desarrollo, retención y retiro, con el propósito de contar con servidores competentes y comprometidos con el ejercicio de sus funciones, en beneficio del cumplimiento de los objetivos institucionales y misión de la entidad.</v>
      </c>
      <c r="D7" s="711"/>
      <c r="E7" s="711"/>
      <c r="F7" s="711"/>
      <c r="G7" s="711"/>
      <c r="H7" s="711"/>
      <c r="I7" s="711"/>
      <c r="J7" s="711"/>
      <c r="K7" s="711"/>
      <c r="L7" s="711"/>
      <c r="M7" s="711"/>
      <c r="N7" s="711"/>
      <c r="O7" s="791"/>
      <c r="P7" s="128"/>
    </row>
    <row r="8" spans="1:17" ht="15.75">
      <c r="A8" s="792" t="s">
        <v>1594</v>
      </c>
      <c r="B8" s="774"/>
      <c r="C8" s="711" t="str">
        <f>VLOOKUP(L12,Reporte!$A$5:$N$133,13,FALSE)</f>
        <v>Ejecutar  el Cronograma del plan Anual de Seguridad y salud en el Trabajo (Componente de Gestión de las Relaciones Humanas)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actividades ejecutadas en el periodo </v>
      </c>
      <c r="D10" s="711"/>
      <c r="E10" s="711"/>
      <c r="F10" s="799" t="str">
        <f>VLOOKUP(L12,Reporte!$N$5:$BN$133,6,FALSE)</f>
        <v>Este indicador mide el porcentaje de avance en la ejecución del plan de seguridad y salud en el trabajo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60.75" customHeight="1" thickBot="1">
      <c r="A12" s="796"/>
      <c r="B12" s="768"/>
      <c r="C12" s="710" t="str">
        <f>VLOOKUP(L12,Reporte!$N$5:$BN$133,5,FALSE)</f>
        <v xml:space="preserve"> Número de actividades programadas en el cronograma del Plan anual de Seguridad y Salud en el Trabajo *100</v>
      </c>
      <c r="D12" s="711"/>
      <c r="E12" s="711"/>
      <c r="F12" s="799"/>
      <c r="G12" s="799"/>
      <c r="H12" s="799"/>
      <c r="I12" s="799"/>
      <c r="J12" s="712" t="str">
        <f>VLOOKUP(L12,Reporte!$N$5:$BN$133,7,FALSE)</f>
        <v>Eficiencia</v>
      </c>
      <c r="K12" s="712"/>
      <c r="L12" s="713" t="s">
        <v>498</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10</v>
      </c>
      <c r="F22" s="139">
        <f>VLOOKUP(L12,Reporte!$N$5:$BN$133,33,FALSE)</f>
        <v>0</v>
      </c>
      <c r="G22" s="132">
        <f>VLOOKUP(L12,Reporte!$N$5:$BN$133,34,FALSE)</f>
        <v>0</v>
      </c>
      <c r="H22" s="139">
        <f>VLOOKUP(L12,Reporte!$N$5:$BN$133,35,FALSE)</f>
        <v>18</v>
      </c>
      <c r="I22" s="132">
        <f>VLOOKUP(L12,Reporte!$N$5:$BN$133,36,FALSE)</f>
        <v>0</v>
      </c>
      <c r="J22" s="139">
        <f>VLOOKUP(L12,Reporte!$N$5:$BN$133,37,FALSE)</f>
        <v>0</v>
      </c>
      <c r="K22" s="139">
        <f>VLOOKUP(L12,Reporte!$N$5:$BN$133,38,FALSE)</f>
        <v>10</v>
      </c>
      <c r="L22" s="139">
        <f>VLOOKUP(L12,Reporte!$N$5:$BN$133,39,FALSE)</f>
        <v>0</v>
      </c>
      <c r="M22" s="139">
        <f>VLOOKUP(L12,Reporte!$N$5:$BN$133,40,FALSE)</f>
        <v>0</v>
      </c>
      <c r="N22" s="133">
        <f>VLOOKUP(L12,Reporte!$N$5:$BN$133,41,FALSE)</f>
        <v>18</v>
      </c>
      <c r="O22" s="133">
        <f>SUM(C22:N22)</f>
        <v>56</v>
      </c>
      <c r="P22" s="128"/>
    </row>
    <row r="23" spans="1:17" ht="16.5" thickBot="1">
      <c r="A23" s="690" t="s">
        <v>76</v>
      </c>
      <c r="B23" s="691"/>
      <c r="C23" s="140">
        <f>VLOOKUP(L12,Reporte!$N$5:$BN$133,42,FALSE)</f>
        <v>0</v>
      </c>
      <c r="D23" s="140">
        <f>VLOOKUP(L12,Reporte!$N$5:$BN$133,43,FALSE)</f>
        <v>0</v>
      </c>
      <c r="E23" s="140">
        <f>VLOOKUP(L12,Reporte!$N$5:$BN$133,44,FALSE)</f>
        <v>10</v>
      </c>
      <c r="F23" s="140">
        <f>VLOOKUP(L12,Reporte!$N$5:$BN$133,45,FALSE)</f>
        <v>0</v>
      </c>
      <c r="G23" s="140">
        <f>VLOOKUP(L12,Reporte!$N$5:$BN$133,46,FALSE)</f>
        <v>0</v>
      </c>
      <c r="H23" s="140">
        <f>VLOOKUP(L12,Reporte!$N$5:$BN$133,47,FALSE)</f>
        <v>18</v>
      </c>
      <c r="I23" s="140">
        <f>VLOOKUP(L12,Reporte!$N$5:$BN$133,48,FALSE)</f>
        <v>0</v>
      </c>
      <c r="J23" s="140">
        <f>VLOOKUP(L12,Reporte!$N$5:$BN$133,49,FALSE)</f>
        <v>0</v>
      </c>
      <c r="K23" s="140">
        <f>VLOOKUP(L12,Reporte!$N$5:$BN$133,50,FALSE)</f>
        <v>12</v>
      </c>
      <c r="L23" s="140">
        <f>VLOOKUP(L12,Reporte!$N$5:$BN$133,51,FALSE)</f>
        <v>0</v>
      </c>
      <c r="M23" s="140">
        <f>VLOOKUP(L12,Reporte!$N$5:$BN$133,52,FALSE)</f>
        <v>0</v>
      </c>
      <c r="N23" s="141">
        <f>VLOOKUP(L12,Reporte!$N$5:$BN$133,53,FALSE)</f>
        <v>18</v>
      </c>
      <c r="O23" s="133">
        <f>SUM(C23:N23)</f>
        <v>58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0.83333333333333337</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0.96551724137931039</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​Para el primer trimestre de la vigencia se consiguió un porcentaje de cumplimiento de 100% de las actividades programadas para el período, para un porcentaje acumulado del 100% del total de las actividades programadas para la vigencia en la actividad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Anual de Seguridad y salud en el Trabajo (Componente de Gestión de las Relaciones Humanas)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La Dirección de Talento Humano informa que, durante el tercer trimestre del año, se tenía programada la ejecución de 12 actividades. Sin embargo, se llevaron a cabo únicamente 10, lo que representa un avance del 83,33% frente a la meta establecida.
El incumplimiento del 100% de la programación se debió a la no ejecucion de las siguentes actividades:
Simulacro de evacuación: No fue posible realizar esta actividad debido a la contingencia generada por el proceso de provisión de empleos, derivado de la conformación de listas de elegibles. Esta situación impidió contar con el equipo de brigadistas necesario para su desarrollo.Mediciones higiénicas (iluminación, temperatura y ruido): No se ejecutaron las mediciones en la sede central ni en las regionales, conforme a la Matriz IPVRDC, ya que no se logró contratar el proveedor por parte de la ARL para realizar dichas mediciones en las sedes regionales.
En consecuencia, se informa que el 16,67% restante de las actividades programadas será ejecutado durante el último trimestre del año 2025.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78" customHeight="1" thickBot="1">
      <c r="A63" s="673" t="str">
        <f>VLOOKUP(L12,Reporte!$N$5:$BZ$133,65,FALSE)</f>
        <v xml:space="preserve">​La Dirección de Talento Humano informa que el 01/12/2025 se solicito a la OAP la actualización del cronograma del Plan de Seguridad ysalud en el Trabajo - SST, actualizandolo a 18 actividades. En el aplicativo se observa una meta parcial de 21 actividades, por lo que se evidencia que no fue realizada por parte de la OAP la actualización  solicitada en este aplicativo, pero si fue ajustada en la matriz de PAG y en el cronograma del SST.
La Dirección de Talento Humano informa que, durante el cuarto trimestre del año, se tenían programadas 18 actividades en el Plan de SST, las cuales fueron ejecutadas efectivamente. Esto representa un avance del 100% respecto a la meta establecida para el periodo.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Si ejecutaron 60 actividades del PASST,e 60 actividades prevista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477DD-BDFA-4D18-875B-52AEB69FBB92}">
  <sheetPr codeName="Hoja121"/>
  <dimension ref="A1:Q67"/>
  <sheetViews>
    <sheetView view="pageBreakPreview" zoomScale="80" zoomScaleNormal="73" zoomScaleSheetLayoutView="80" zoomScalePageLayoutView="55" workbookViewId="0">
      <selection activeCell="R11" sqref="R11"/>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ESTRATÉGICA DE PERSONAS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acumulado de avance en la ejecución del cronograma para la implementación de la  política de integridad</v>
      </c>
      <c r="D6" s="711"/>
      <c r="E6" s="711"/>
      <c r="F6" s="711"/>
      <c r="G6" s="711"/>
      <c r="H6" s="711"/>
      <c r="I6" s="711"/>
      <c r="J6" s="711"/>
      <c r="K6" s="711"/>
      <c r="L6" s="711"/>
      <c r="M6" s="711"/>
      <c r="N6" s="711"/>
      <c r="O6" s="791"/>
      <c r="P6" s="128"/>
    </row>
    <row r="7" spans="1:17" ht="50.25" customHeight="1">
      <c r="A7" s="789" t="s">
        <v>10</v>
      </c>
      <c r="B7" s="790"/>
      <c r="C7" s="711" t="str">
        <f>VLOOKUP(L12,Reporte!A5:M133,10,FALSE)</f>
        <v>Gestionar el ciclo de vida laboral de las personas, mediante acciones de planeación, vinculación, desarrollo, retención y retiro, con el propósito de contar con servidores competentes y comprometidos con el ejercicio de sus funciones, en beneficio del cumplimiento de los objetivos institucionales y misión de la entidad.</v>
      </c>
      <c r="D7" s="711"/>
      <c r="E7" s="711"/>
      <c r="F7" s="711"/>
      <c r="G7" s="711"/>
      <c r="H7" s="711"/>
      <c r="I7" s="711"/>
      <c r="J7" s="711"/>
      <c r="K7" s="711"/>
      <c r="L7" s="711"/>
      <c r="M7" s="711"/>
      <c r="N7" s="711"/>
      <c r="O7" s="791"/>
      <c r="P7" s="128"/>
    </row>
    <row r="8" spans="1:17" ht="31.5" customHeight="1">
      <c r="A8" s="792" t="s">
        <v>1594</v>
      </c>
      <c r="B8" s="774"/>
      <c r="C8" s="711" t="str">
        <f>VLOOKUP(L12,Reporte!$A$5:$N$133,13,FALSE)</f>
        <v>Ejecutar el cronograma para la implementación de la Política de integridad del Modelo Integrado de Gestión. ( Componente de Gestión de las Relaciones Humanas)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actividades ejecutadas en el periodo </v>
      </c>
      <c r="D10" s="711"/>
      <c r="E10" s="711"/>
      <c r="F10" s="799" t="str">
        <f>VLOOKUP(L12,Reporte!$N$5:$BN$133,6,FALSE)</f>
        <v>Este indicador mide el número de actividades realizadas en el plan de brechas.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60" customHeight="1" thickBot="1">
      <c r="A12" s="796"/>
      <c r="B12" s="768"/>
      <c r="C12" s="710" t="str">
        <f>VLOOKUP(L12,Reporte!$N$5:$BN$133,5,FALSE)</f>
        <v xml:space="preserve"> Número de actividades programadas en el cronograma para la implementación de la  política de integridad*100</v>
      </c>
      <c r="D12" s="711"/>
      <c r="E12" s="711"/>
      <c r="F12" s="799"/>
      <c r="G12" s="799"/>
      <c r="H12" s="799"/>
      <c r="I12" s="799"/>
      <c r="J12" s="712" t="str">
        <f>VLOOKUP(L12,Reporte!$N$5:$BN$133,7,FALSE)</f>
        <v>Eficiencia</v>
      </c>
      <c r="K12" s="712"/>
      <c r="L12" s="713" t="s">
        <v>503</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v>
      </c>
      <c r="F22" s="139">
        <f>VLOOKUP(L12,Reporte!$N$5:$BN$133,33,FALSE)</f>
        <v>0</v>
      </c>
      <c r="G22" s="132">
        <f>VLOOKUP(L12,Reporte!$N$5:$BN$133,34,FALSE)</f>
        <v>0</v>
      </c>
      <c r="H22" s="139">
        <f>VLOOKUP(L12,Reporte!$N$5:$BN$133,35,FALSE)</f>
        <v>5</v>
      </c>
      <c r="I22" s="132">
        <f>VLOOKUP(L12,Reporte!$N$5:$BN$133,36,FALSE)</f>
        <v>0</v>
      </c>
      <c r="J22" s="139">
        <f>VLOOKUP(L12,Reporte!$N$5:$BN$133,37,FALSE)</f>
        <v>0</v>
      </c>
      <c r="K22" s="139">
        <f>VLOOKUP(L12,Reporte!$N$5:$BN$133,38,FALSE)</f>
        <v>2</v>
      </c>
      <c r="L22" s="139">
        <f>VLOOKUP(L12,Reporte!$N$5:$BN$133,39,FALSE)</f>
        <v>0</v>
      </c>
      <c r="M22" s="139">
        <f>VLOOKUP(L12,Reporte!$N$5:$BN$133,40,FALSE)</f>
        <v>0</v>
      </c>
      <c r="N22" s="133">
        <f>VLOOKUP(L12,Reporte!$N$5:$BN$133,41,FALSE)</f>
        <v>8</v>
      </c>
      <c r="O22" s="133">
        <f>SUM(C22:N22)</f>
        <v>16</v>
      </c>
      <c r="P22" s="128"/>
    </row>
    <row r="23" spans="1:17" ht="16.5" thickBot="1">
      <c r="A23" s="690" t="s">
        <v>76</v>
      </c>
      <c r="B23" s="691"/>
      <c r="C23" s="140">
        <f>VLOOKUP(L12,Reporte!$N$5:$BN$133,42,FALSE)</f>
        <v>0</v>
      </c>
      <c r="D23" s="140">
        <f>VLOOKUP(L12,Reporte!$N$5:$BN$133,43,FALSE)</f>
        <v>0</v>
      </c>
      <c r="E23" s="140">
        <f>VLOOKUP(L12,Reporte!$N$5:$BN$133,44,FALSE)</f>
        <v>1</v>
      </c>
      <c r="F23" s="140">
        <f>VLOOKUP(L12,Reporte!$N$5:$BN$133,45,FALSE)</f>
        <v>0</v>
      </c>
      <c r="G23" s="140">
        <f>VLOOKUP(L12,Reporte!$N$5:$BN$133,46,FALSE)</f>
        <v>0</v>
      </c>
      <c r="H23" s="140">
        <f>VLOOKUP(L12,Reporte!$N$5:$BN$133,47,FALSE)</f>
        <v>5</v>
      </c>
      <c r="I23" s="140">
        <f>VLOOKUP(L12,Reporte!$N$5:$BN$133,48,FALSE)</f>
        <v>0</v>
      </c>
      <c r="J23" s="140">
        <f>VLOOKUP(L12,Reporte!$N$5:$BN$133,49,FALSE)</f>
        <v>0</v>
      </c>
      <c r="K23" s="140">
        <f>VLOOKUP(L12,Reporte!$N$5:$BN$133,50,FALSE)</f>
        <v>2</v>
      </c>
      <c r="L23" s="140">
        <f>VLOOKUP(L12,Reporte!$N$5:$BN$133,51,FALSE)</f>
        <v>0</v>
      </c>
      <c r="M23" s="140">
        <f>VLOOKUP(L12,Reporte!$N$5:$BN$133,52,FALSE)</f>
        <v>0</v>
      </c>
      <c r="N23" s="141">
        <f>VLOOKUP(L12,Reporte!$N$5:$BN$133,53,FALSE)</f>
        <v>8</v>
      </c>
      <c r="O23" s="133">
        <f>SUM(C23:N23)</f>
        <v>16</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Para el primer trimestre de la vigencia se consiguió un porcentaje de cumplimiento de 100% de las actividades programadas para el período, para un porcentaje acumulado del 100% del total de las actividades programadas para la vigencia en la actividad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para la implementación de la Política de integridad del Modelo Integrado de Gestión. ( Componente de Gestión de las Relaciones Humanas)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​La Dirección de Talento Humano informa que, durante el tercer trimestre del año, se tenía programada la ejecución de 2 actividades en el PAG, relacionadas con el tema de integridad. Sin embargo, en el Cronograma del Programa de Transparencia y Ética Publica se observan 3 actividades. Por ende; se ejecutaron 2 actividades totalmente y 1 parcialmente, lo que representa una sobre ejecución del 125% frente a la meta establecida.
La actividad que se ejecutó parcialmente se cumplirá al 100% en el cuatro trimestre, en motivo a que el día 18 de septiembre de 2025, se realizó el envío de una comunicación oficial bajo el radicado número 20259100002132961 al Departamento Administrativo de la Función Pública, con el fin de solicitar el acceso a las declaraciones de bienes y rentas de los servidores públicos vinculados a la Superintendencia Nacional de Salud. Sin embargo, y a la fecha la DTH no ha recibido respuesta por parte del DAFP para realizar el informe compilatorio de la información contenida en las declaraciones de bienes y rentas de los funcionarios de la entidad.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La Dirección de Talento Humano informa que, durante el cuarto trimestre del año, se programó la ejecución de 8 actividades en el PAG, de las cuales 5 corresponden a acciones repetidas de trimestres anteriores, relacionadas con el tema de integridad. En consecuencia, se asignó un puntaje de 1 a cada una de las 6 actividades nuevas y un puntaje de 0,4 a cada una de las 5 actividades repetidas, para un total de 80, lo que representa una ejecución total del 100 % frente a la meta establecida.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ejecutado un total de 16 actividades para la implementación de la política de integridad con cumplimiento la meta porcentual de 100% para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AF341-171B-4423-B2EC-C9185F1B54E9}">
  <sheetPr codeName="Hoja122"/>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hidden="1" thickBot="1">
      <c r="A5" s="784" t="s">
        <v>0</v>
      </c>
      <c r="B5" s="785"/>
      <c r="C5" s="786" t="str">
        <f>VLOOKUP(L12,Reporte!$A$5:$M$133,9,FALSE)</f>
        <v>ACTUACIONES DISCIPLINARIAS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Capacitaciones, Autocapacitaciones y Charlas de Sensibilización y preservación del orden interno en materia disciplinaria</v>
      </c>
      <c r="D6" s="711"/>
      <c r="E6" s="711"/>
      <c r="F6" s="711"/>
      <c r="G6" s="711"/>
      <c r="H6" s="711"/>
      <c r="I6" s="711"/>
      <c r="J6" s="711"/>
      <c r="K6" s="711"/>
      <c r="L6" s="711"/>
      <c r="M6" s="711"/>
      <c r="N6" s="711"/>
      <c r="O6" s="791"/>
      <c r="P6" s="128"/>
    </row>
    <row r="7" spans="1:17" ht="58.5" customHeight="1">
      <c r="A7" s="789" t="s">
        <v>10</v>
      </c>
      <c r="B7" s="790"/>
      <c r="C7" s="711" t="str">
        <f>VLOOKUP(L12,Reporte!A5:M133,10,FALSE)</f>
        <v>Investigar y sancionar disciplinariamente los comportamientos que estén descritos como falta en la ley, a fin de garantizar la efectividad de los fines y principios, previstos en la constitución, la ley, y los tratados internacionales, relacionados con el ejercicio de las función pública, observando la  prevalencia de la justicia, la efectividad del sustantivo, la búsqueda de la verdad material, y el cumplimiento de los derechos y garantías debidos a las personas que intervienen en él.</v>
      </c>
      <c r="D7" s="711"/>
      <c r="E7" s="711"/>
      <c r="F7" s="711"/>
      <c r="G7" s="711"/>
      <c r="H7" s="711"/>
      <c r="I7" s="711"/>
      <c r="J7" s="711"/>
      <c r="K7" s="711"/>
      <c r="L7" s="711"/>
      <c r="M7" s="711"/>
      <c r="N7" s="711"/>
      <c r="O7" s="791"/>
      <c r="P7" s="128"/>
    </row>
    <row r="8" spans="1:17" ht="45" customHeight="1">
      <c r="A8" s="792" t="s">
        <v>1594</v>
      </c>
      <c r="B8" s="774"/>
      <c r="C8" s="711" t="str">
        <f>VLOOKUP(L12,Reporte!$A$5:$N$133,13,FALSE)</f>
        <v>Fortalecer el conocimiento de los servidores públicos de la SNS en materia disciplinaria, respecto de la nueva normatividad y sus modificaciones, parámetros de trabajo unificados, con el fin de afianzar los valores institucionales y buenas prácticas, garantizando una adecuada prestación del servicio y por ende salvaguardando la función pública.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98.25" customHeight="1">
      <c r="A10" s="794"/>
      <c r="B10" s="795"/>
      <c r="C10" s="711" t="str">
        <f>VLOOKUP(L12,Reporte!$N$5:$BN$133,4,FALSE)</f>
        <v>Número de Capacitaciones, Autocapacitaciones y Charlas de Sensibilización y de preservación del orden interno, sobre acciones preventivas disciplinarias y normatividad vigente realizadas en el periodo</v>
      </c>
      <c r="D10" s="711"/>
      <c r="E10" s="711"/>
      <c r="F10" s="799" t="str">
        <f>VLOOKUP(L12,Reporte!$N$5:$BN$133,6,FALSE)</f>
        <v>Este indicador mide el número de mesas de trabajo sobre acciones preventivas disciplinarias.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117" customHeight="1" thickBot="1">
      <c r="A12" s="796"/>
      <c r="B12" s="768"/>
      <c r="C12" s="710" t="str">
        <f>VLOOKUP(L12,Reporte!$N$5:$BN$133,5,FALSE)</f>
        <v xml:space="preserve">  Número de Capacitaciones, Autocapacitaciones y Charlas de Sensibilización y de preservación del orden interno, sobre acciones preventivas disciplinarias y normatividad vigente a realizar  en el periodo*100</v>
      </c>
      <c r="D12" s="711"/>
      <c r="E12" s="711"/>
      <c r="F12" s="799"/>
      <c r="G12" s="799"/>
      <c r="H12" s="799"/>
      <c r="I12" s="799"/>
      <c r="J12" s="712" t="str">
        <f>VLOOKUP(L12,Reporte!$N$5:$BN$133,7,FALSE)</f>
        <v>Eficiencia</v>
      </c>
      <c r="K12" s="712"/>
      <c r="L12" s="713" t="s">
        <v>180</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Cuatrimestral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4</v>
      </c>
      <c r="G22" s="132">
        <f>VLOOKUP(L12,Reporte!$N$5:$BN$133,34,FALSE)</f>
        <v>0</v>
      </c>
      <c r="H22" s="139">
        <f>VLOOKUP(L12,Reporte!$N$5:$BN$133,35,FALSE)</f>
        <v>0</v>
      </c>
      <c r="I22" s="132">
        <f>VLOOKUP(L12,Reporte!$N$5:$BN$133,36,FALSE)</f>
        <v>0</v>
      </c>
      <c r="J22" s="139">
        <f>VLOOKUP(L12,Reporte!$N$5:$BN$133,37,FALSE)</f>
        <v>9</v>
      </c>
      <c r="K22" s="139">
        <f>VLOOKUP(L12,Reporte!$N$5:$BN$133,38,FALSE)</f>
        <v>0</v>
      </c>
      <c r="L22" s="139">
        <f>VLOOKUP(L12,Reporte!$N$5:$BN$133,39,FALSE)</f>
        <v>0</v>
      </c>
      <c r="M22" s="139">
        <f>VLOOKUP(L12,Reporte!$N$5:$BN$133,40,FALSE)</f>
        <v>0</v>
      </c>
      <c r="N22" s="133">
        <f>VLOOKUP(L12,Reporte!$N$5:$BN$133,41,FALSE)</f>
        <v>6</v>
      </c>
      <c r="O22" s="133">
        <f>SUM(C22:N22)</f>
        <v>19</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4</v>
      </c>
      <c r="G23" s="140">
        <f>VLOOKUP(L12,Reporte!$N$5:$BN$133,46,FALSE)</f>
        <v>0</v>
      </c>
      <c r="H23" s="140">
        <f>VLOOKUP(L12,Reporte!$N$5:$BN$133,47,FALSE)</f>
        <v>0</v>
      </c>
      <c r="I23" s="140">
        <f>VLOOKUP(L12,Reporte!$N$5:$BN$133,48,FALSE)</f>
        <v>0</v>
      </c>
      <c r="J23" s="140">
        <f>VLOOKUP(L12,Reporte!$N$5:$BN$133,49,FALSE)</f>
        <v>9</v>
      </c>
      <c r="K23" s="140">
        <f>VLOOKUP(L12,Reporte!$N$5:$BN$133,50,FALSE)</f>
        <v>0</v>
      </c>
      <c r="L23" s="140">
        <f>VLOOKUP(L12,Reporte!$N$5:$BN$133,51,FALSE)</f>
        <v>0</v>
      </c>
      <c r="M23" s="140">
        <f>VLOOKUP(L12,Reporte!$N$5:$BN$133,52,FALSE)</f>
        <v>0</v>
      </c>
      <c r="N23" s="141">
        <f>VLOOKUP(L12,Reporte!$N$5:$BN$133,53,FALSE)</f>
        <v>6</v>
      </c>
      <c r="O23" s="133">
        <f>SUM(C23:N23)</f>
        <v>19</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1</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1</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81" customHeight="1" thickBot="1">
      <c r="A47" s="670" t="str">
        <f>VLOOKUP(L12,Reporte!$N$5:$BZ$133,57,FALSE)</f>
        <v xml:space="preserve">En el primer cuatrimestre (Enero-Abril) de 2025 la Oficina de Control Disciplinario realizo cuatro (4) capacitaciones, charlas en materia disciplinaria, con las siguientes temáticas y participantes: 1) 18/02/2025 (Supervisión y su responsabilidad disciplinaria) 176 participantes  (Virtuales 168 y 8 presencial); 2) 28/02/2025 (Corrupción Publica; Deberes etc CGD  - 45 participantes (presencial); 3) 31/03/2025 (charla sobre derecho de petición y sus consecuencias disciplinarias) -   114 participantes (Virtual); 4) 25/04/2025 (Incompatibilidades y conflicto de intereses código general disciplinario – participantes 75  (Virtual)  -  Total participantes = 430 funcionarios.                         FebreroMarzoAbril
Total participantes: 176  (Virtuales 168 y 8 presencial)   - Primera 18/02/2025 (Supervisión)
Total participantes: 45  (presencial)  - Segunda 28/02/2025 (Corrupción Publica; Deberes etc CGD)
Total participantes: 114  (Virtual) 
Realizada: 31/03/2025 (charla sobre derecho de petición y sus consecuencias disciplinarias)
Total participantes: 75  (Virtual) 
Realizada: 25/04/2025 (Incompatibilidades y conflicto de intereses código general disciplinario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Durante el segundo cuatrimestre (Mayo-Agosto) de 2025 la Oficina de Control Disciplinario realizo tres (3) capacitaciones o charlas en materia disciplinaria, con las siguientes temáticas y participantes: 1) 28 y 29 de mayo de 2025 (Derechos y Deberes Servidores Públicos; División Roles – Funciones OCDI) - Dirección Regional Andina – 20 participantes (Presencial); 2) 29/07/2005 (Charla informativa entrega puesto de trabajo – responsabilidades y consecuencias) – 335 participantes (Virtual).
Así mismo, la OCDI participo en seis (6) jornadas de inducción dirigida a los nuevos funcionarios vinculados, por concurso de méritos a la Superintendencia, cuya temática abarca (Generalidades del Proceso Disciplinario; División de Roles (Instrucción y Juzgamiento); Etapas del proceso; Derechos; Deberes; Prohibiciones; Modalidades de conducta y formas de culpabilidad; etc.) – Realizadas: Presencial: 11,16 y 24 de Julio y 11 de agosto de 2025 (277 participantes); Virtual:  30 de julio y 20 de agosto de 2025 (243 participantes) - Total participantes = 855 funcionarios.                         MayoJulioAgosto
Total, participantes: 20 (Presencial)
1) Realizada: 28 y 29 de mayo de 2025 – Dirección Regional Andina (Derechos y Deberes Servidores Públicos; División Roles – Funciones OCDI)
Total, participantes:533
Jornadas de Inducción Realizadas:
1) 11/07/2025 (Presencial) 66
2) 16/07/2025: (Presencial) 74
3) 24/07/2025: (Presencial) 57
4) 30/07/2025 (Virtual) 41
5) Charla Informativa Entrega Puesto de Trabajo - (Virtual) Realizada el 29/07/2025: 335
Total, participantes: 282
Jornadas de Inducción:
1) 11/08/2025: (Presencial) 80
2) 20/08/2025: (Virtual) 202
Adicionalmente, la oficina ha tenido publicación de una nota en la edición No. 141 del Superboletín - julio de 2025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258.75" customHeight="1" thickBot="1">
      <c r="A63" s="673" t="str">
        <f>VLOOKUP(L12,Reporte!$N$5:$BZ$133,65,FALSE)</f>
        <v xml:space="preserve">En el tercer cuatrimestre (Septiembre-Diciembre) de 2025 la Oficina de Control Disciplinario realizo seis (6) capacitaciones, charlas en materia disciplinaria, con las siguientes temáticas y participantes: 1) 26/09/2025 Charla Régimen de Inhabilidades, Incompatibilidades y Conflicto de Interés: (Virtual) 423 participantes; 2) Faltas Disciplinarias Relacionadas con Participación en Política (Virtual) 90 participantes; 3) Charla Prevención de Faltas Disciplinarias Dirección Regional Nororiental - Bucaramanga Presencial (14) participantes; 4) "Mora proceso administrativo sancionatorio" Delegada para Investigaciones Administrativas - 14/11/2025  (Virtual) 55 Participantes; 5) Charla Maltrato y Acoso Laboral con énfasis en responsabilidad disciplinaria de los funcionarios de la Supersalud - 18/11/2025 (Virtual) 474 (Presencial) y 6) Hablemos de Integridad, Conflictos de Interés y Confidencialidad de la información - Dirigida a la Delegada de Entidades Territoriales 04/12/2025 - Total Participantes: 167         
Así mismo, la OCDI participo en cinco (5) jornadas de inducción dirigida a los nuevos funcionarios vinculados, por concurso de méritos a la Superintendencia, cuya temática abarca (Generalidades del Proceso Disciplinario; División de Roles (Instrucción y Juzgamiento); Etapas del proceso; Derechos; Deberes; Prohibiciones; Modalidades de conducta y formas de culpabilidad; etc.) – Realizadas de manera Virtual: los días 09 y 30 de septiembre, 21 de octubre, 19 de noviembre y 22 de diciembre de 2025 - Total 297 (participantes)
Total participantes – Función Preventiva= 1594 funcionarios.                SeptiembreOctubreNoviembre Diciembre  Total, participantes: (Virtual) 423 26/09/2025 Charla Régimen de Inhabilidades, Incompatibilidades y Conflicto de Interés
Total, participantes: (Virtual) 90 – Presencial: 14  
* Faltas Disciplinarias Relacionadas con Participación en Política (Virtual)
* Charla Prevención de Faltas Disciplinarias
 Dirección Regional Nororiental - Bucaramanga PresencialTotal, participantes: (Virtual) 529 – Presencial 74
* "Mora proceso administrativo sancionatorio" Delegada para Investigaciones Administrativas - 14/11/2025
* Charla Maltrato y Acoso Laboral con énfasis en responsabilidad disciplinaria de los funcionarios de la Supersalud Total, participantes: (Virtual) 167    * Capacitación:
 Hablemos de Integridad, Conflictos de Interés y Confidencialidad de la información - Dirigida a la Delegada de Entidades Territoriales
Adicionalmente, la oficina ha tenido publicaciones de notas en las ediciones No. 261 y 264 del Superboletín - Septiembre de 2025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ejecutado un total de 19 actividades de sensibilización del orden interno disciplinario, con cumplimiento la meta porcentual de 100%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D24C1-A08E-4D10-A8A3-EFB848009D7E}">
  <sheetPr codeName="Hoja123"/>
  <dimension ref="A1:Q67"/>
  <sheetViews>
    <sheetView view="pageBreakPreview" zoomScale="80" zoomScaleNormal="73" zoomScaleSheetLayoutView="80" zoomScalePageLayoutView="55" workbookViewId="0">
      <selection activeCell="R17" sqref="R17"/>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ACTUACIONES DISCIPLINARIAS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asuntos (NRCD) sobre los cuales se adopte decisión en la Oficina de Control Disciplinario Interno en etapa de instrucción</v>
      </c>
      <c r="D6" s="711"/>
      <c r="E6" s="711"/>
      <c r="F6" s="711"/>
      <c r="G6" s="711"/>
      <c r="H6" s="711"/>
      <c r="I6" s="711"/>
      <c r="J6" s="711"/>
      <c r="K6" s="711"/>
      <c r="L6" s="711"/>
      <c r="M6" s="711"/>
      <c r="N6" s="711"/>
      <c r="O6" s="791"/>
      <c r="P6" s="128"/>
    </row>
    <row r="7" spans="1:17" ht="58.5" customHeight="1">
      <c r="A7" s="789" t="s">
        <v>10</v>
      </c>
      <c r="B7" s="790"/>
      <c r="C7" s="711" t="str">
        <f>VLOOKUP(L12,Reporte!A5:M133,10,FALSE)</f>
        <v>Investigar y sancionar disciplinariamente los comportamientos que estén descritos como falta en la ley, a fin de garantizar la efectividad de los fines y principios, previstos en la constitución, la ley, y los tratados internacionales, relacionados con el ejercicio de las función pública, observando la  prevalencia de la justicia, la efectividad del sustantivo, la búsqueda de la verdad material, y el cumplimiento de los derechos y garantías debidos a las personas que intervienen en él.</v>
      </c>
      <c r="D7" s="711"/>
      <c r="E7" s="711"/>
      <c r="F7" s="711"/>
      <c r="G7" s="711"/>
      <c r="H7" s="711"/>
      <c r="I7" s="711"/>
      <c r="J7" s="711"/>
      <c r="K7" s="711"/>
      <c r="L7" s="711"/>
      <c r="M7" s="711"/>
      <c r="N7" s="711"/>
      <c r="O7" s="791"/>
      <c r="P7" s="128"/>
    </row>
    <row r="8" spans="1:17" ht="48" customHeight="1">
      <c r="A8" s="792" t="s">
        <v>1594</v>
      </c>
      <c r="B8" s="774"/>
      <c r="C8" s="711" t="str">
        <f>VLOOKUP(L12,Reporte!$A$5:$N$133,13,FALSE)</f>
        <v xml:space="preserve">Evaluar y/o calificar los asuntos (NRCD) sobre los cuales se adopte decisión de Inhibitorio, Remisión por Competencia, Indagación Previa y/o Investigación Disciplinaria en etapa de instrucción en el orden en que hayan ingresado a la Oficina de Control Disciplinario Interno, salvo prelación legal o urgencia manifiesta.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asuntos NRCD con decisión adoptada en el  período</v>
      </c>
      <c r="D10" s="711"/>
      <c r="E10" s="711"/>
      <c r="F10" s="799" t="str">
        <f>VLOOKUP(L12,Reporte!$N$5:$BN$133,6,FALSE)</f>
        <v>Numero de asuntos (NRCD) CON decisión en etapa de instrucción</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Número total de asuntos NRCD recibidos * 100</v>
      </c>
      <c r="D12" s="711"/>
      <c r="E12" s="711"/>
      <c r="F12" s="799"/>
      <c r="G12" s="799"/>
      <c r="H12" s="799"/>
      <c r="I12" s="799"/>
      <c r="J12" s="712" t="str">
        <f>VLOOKUP(L12,Reporte!$N$5:$BN$133,7,FALSE)</f>
        <v>Eficiencia</v>
      </c>
      <c r="K12" s="712"/>
      <c r="L12" s="713" t="s">
        <v>182</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Bimestral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95</v>
      </c>
      <c r="E22" s="132">
        <f>VLOOKUP(L12,Reporte!$N$5:$BN$133,32,FALSE)</f>
        <v>0</v>
      </c>
      <c r="F22" s="139">
        <f>VLOOKUP(L12,Reporte!$N$5:$BN$133,33,FALSE)</f>
        <v>101</v>
      </c>
      <c r="G22" s="132">
        <f>VLOOKUP(L12,Reporte!$N$5:$BN$133,34,FALSE)</f>
        <v>0</v>
      </c>
      <c r="H22" s="139">
        <f>VLOOKUP(L12,Reporte!$N$5:$BN$133,35,FALSE)</f>
        <v>64</v>
      </c>
      <c r="I22" s="132">
        <f>VLOOKUP(L12,Reporte!$N$5:$BN$133,36,FALSE)</f>
        <v>0</v>
      </c>
      <c r="J22" s="139">
        <f>VLOOKUP(L12,Reporte!$N$5:$BN$133,37,FALSE)</f>
        <v>63</v>
      </c>
      <c r="K22" s="139">
        <f>VLOOKUP(L12,Reporte!$N$5:$BN$133,38,FALSE)</f>
        <v>0</v>
      </c>
      <c r="L22" s="139">
        <f>VLOOKUP(L12,Reporte!$N$5:$BN$133,39,FALSE)</f>
        <v>29</v>
      </c>
      <c r="M22" s="139">
        <f>VLOOKUP(L12,Reporte!$N$5:$BN$133,40,FALSE)</f>
        <v>0</v>
      </c>
      <c r="N22" s="133">
        <f>VLOOKUP(L12,Reporte!$N$5:$BN$133,41,FALSE)</f>
        <v>26</v>
      </c>
      <c r="O22" s="133">
        <f>SUM(C22:N22)</f>
        <v>378</v>
      </c>
      <c r="P22" s="128"/>
    </row>
    <row r="23" spans="1:17" ht="16.5" thickBot="1">
      <c r="A23" s="690" t="s">
        <v>76</v>
      </c>
      <c r="B23" s="691"/>
      <c r="C23" s="140">
        <f>VLOOKUP(L12,Reporte!$N$5:$BN$133,42,FALSE)</f>
        <v>0</v>
      </c>
      <c r="D23" s="140">
        <f>VLOOKUP(L12,Reporte!$N$5:$BN$133,43,FALSE)</f>
        <v>95</v>
      </c>
      <c r="E23" s="140">
        <f>VLOOKUP(L12,Reporte!$N$5:$BN$133,44,FALSE)</f>
        <v>0</v>
      </c>
      <c r="F23" s="140">
        <f>VLOOKUP(L12,Reporte!$N$5:$BN$133,45,FALSE)</f>
        <v>101</v>
      </c>
      <c r="G23" s="140">
        <f>VLOOKUP(L12,Reporte!$N$5:$BN$133,46,FALSE)</f>
        <v>0</v>
      </c>
      <c r="H23" s="140">
        <f>VLOOKUP(L12,Reporte!$N$5:$BN$133,47,FALSE)</f>
        <v>64</v>
      </c>
      <c r="I23" s="140">
        <f>VLOOKUP(L12,Reporte!$N$5:$BN$133,48,FALSE)</f>
        <v>0</v>
      </c>
      <c r="J23" s="140">
        <f>VLOOKUP(L12,Reporte!$N$5:$BN$133,49,FALSE)</f>
        <v>63</v>
      </c>
      <c r="K23" s="140">
        <f>VLOOKUP(L12,Reporte!$N$5:$BN$133,50,FALSE)</f>
        <v>0</v>
      </c>
      <c r="L23" s="140">
        <f>VLOOKUP(L12,Reporte!$N$5:$BN$133,51,FALSE)</f>
        <v>29</v>
      </c>
      <c r="M23" s="140">
        <f>VLOOKUP(L12,Reporte!$N$5:$BN$133,52,FALSE)</f>
        <v>0</v>
      </c>
      <c r="N23" s="141">
        <f>VLOOKUP(L12,Reporte!$N$5:$BN$133,53,FALSE)</f>
        <v>26</v>
      </c>
      <c r="O23" s="133">
        <f>SUM(C23:N23)</f>
        <v>378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1</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1</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1</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1</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 xml:space="preserve">​De las (95) noticias disciplinarias (Quejas, informe de servidor público o de oficio) recibidas en el primer bimestre de 2025 (Enero - Febrero), se adelantaron las siguientes actuaciones: 31 (33%) Aperturas de indagación Previa; 47 (49%) Autos Inhibitorios; 8 (8%) Traslados por competencia y 9 (9%) Aperturas de Investigación Disciplinaria, profiriendo igual número de autos por el Coordinador del Grupo de Instrucción Disciplinaria en el periodo.
</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​De las (101) noticias disciplinarias (Quejas, informe de servidor público o de oficio) recibidas en el segundo bimestre de 2025 (Marzo - Abril), se adelantaron las siguientes actuaciones: 17 (17%) Aperturas de indagación Previa; 70 (71%) Autos Inhibitorios; 7 (7%) Traslados por competencia y 6 (6%) Aperturas de Investigación Disciplinaria, profiriendo igual número de autos por el Coordinador del Grupo de Instrucción Disciplinaria en el periodo.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​De las (64) noticias disciplinarias (Quejas, informe de servidor público o de oficio) recibidas en el tercer bimestre de 2025 (Mayo - Junio), se adelantaron las siguientes actuaciones: 28 (44%) Aperturas de indagación Previa; 27 (42%) Autos Inhibitorios; 4 (6%) Traslados por competencia y 5 (8%) Aperturas de Investigación Disciplinaria, profiriendo igual número de autos por el Coordinador del Grupo de Instrucción Disciplinaria en el periodo.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De las (63) noticias disciplinarias (Quejas, informe de servidor público o de oficio) recibidas en el cuarto bimestre de 2025 (Julio - Agosto), se adelantaron las siguientes actuaciones: 32 (50,7%) Aperturas de Indagación Previa; 16 (25,4%) Autos Inhibitorios; 14 (22,2%) Aperturas de Investigación Disciplinaria y 1 (1,5%) Traslados por competencia, profiriendo igual número de autos por el Coordinador del Grupo de Instrucción Disciplinaria en el periodo:Tipo Noticia/ AutoInforme de Servidor PúblicoQuejaTotal, Noticias IV Bimestre 2025Auto de Indagación Previa211132Auto Inhibitorio 1616Auto Apertura de Investigación14 14Auto Traslado por Competencia1 1IV Bimestre 2025, Total362763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De las (29) noticias disciplinarias (Quejas, informe de servidor público o de oficio) recibidas en el quinto bimestre de 2025 (septiembre – octubre de 2025), se adelantaron las siguientes actuaciones: 10 (34,5%) Aperturas de Indagación Previa; 10 (34,5%) Autos Inhibitorios; 5 (17,2%) Traslados por competencia; 3 (10,3%) Aperturas de Investigación Disciplinaria y 1 (3,4%) Autos de Archivo, profiriendo igual número de autos por el Coordinador del Grupo de Instrucción Disciplinaria en el periodo:
Tipo Noticia/ Auto
De Oficio
 Informe de Servidor PúblicoQuejaTotal, Noticias V Bimestre 2025Auto de Indagación Previa 6410Auto Inhibitorio15410Auto Apertura de Investigación 213Auto Traslado por Competencia 325Auto de Archivo 1 4V Bimestre (septiembre – octubre) 2025, Total1171129</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emitido 378 autos por parte del Coordinador del Grupo de Instrucción Disciplinaria del total de noticias disciplinarias que se recibieron en lo corrido de 2025, y si bien se cumplió con el indicador es importante tener en cuenta que el número de noticias disciplinarias que llega a la dependencia es variable en cada periodo y que el cronograma del PAG indica metas en Porcentaje acumulado; para reflejar el resultado en esos términos se debe conocer el total de noticias disciplinarias que se tendrán en el año. Por tanto, se sugiere que la meta del indicador en el PAG sea del 100% en cada periodo de medición y no % acumulado, esto a partir de la formula del indicador “Número de asuntos (NRCD) con decisión adoptada en el período/Número total de asuntos (NRCD) recibidos en el periodo) * 100”, para lo cual se podrá solicitar ajuste a la OAP.</v>
      </c>
      <c r="B64" s="677"/>
      <c r="C64" s="677"/>
      <c r="D64" s="677"/>
      <c r="E64" s="677"/>
      <c r="F64" s="677"/>
      <c r="G64" s="677"/>
      <c r="H64" s="677"/>
      <c r="I64" s="677"/>
      <c r="J64" s="677"/>
      <c r="K64" s="677"/>
      <c r="L64" s="677"/>
      <c r="M64" s="677"/>
      <c r="N64" s="677"/>
      <c r="O64" s="678"/>
      <c r="P64" s="128"/>
    </row>
    <row r="65" spans="1:16" ht="61.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6557-A905-45C6-9CF3-33781A06E547}">
  <sheetPr codeName="Hoja124"/>
  <dimension ref="A1:Q67"/>
  <sheetViews>
    <sheetView view="pageBreakPreview" topLeftCell="A7" zoomScale="80" zoomScaleNormal="73" zoomScaleSheetLayoutView="80" zoomScalePageLayoutView="55" workbookViewId="0">
      <selection activeCell="L12" sqref="L12:M12"/>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ACTUACIONES DISCIPLINARIAS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decisiones de fondo adoptadas en etapa de instrucción en la Oficina de Control Disciplinario Interno </v>
      </c>
      <c r="D6" s="711"/>
      <c r="E6" s="711"/>
      <c r="F6" s="711"/>
      <c r="G6" s="711"/>
      <c r="H6" s="711"/>
      <c r="I6" s="711"/>
      <c r="J6" s="711"/>
      <c r="K6" s="711"/>
      <c r="L6" s="711"/>
      <c r="M6" s="711"/>
      <c r="N6" s="711"/>
      <c r="O6" s="791"/>
      <c r="P6" s="128"/>
    </row>
    <row r="7" spans="1:17" ht="58.5" customHeight="1">
      <c r="A7" s="789" t="s">
        <v>10</v>
      </c>
      <c r="B7" s="790"/>
      <c r="C7" s="711" t="str">
        <f>VLOOKUP(L12,Reporte!A5:M133,10,FALSE)</f>
        <v>Investigar y sancionar disciplinariamente los comportamientos que estén descritos como falta en la ley, a fin de garantizar la efectividad de los fines y principios, previstos en la constitución, la ley, y los tratados internacionales, relacionados con el ejercicio de las función pública, observando la  prevalencia de la justicia, la efectividad del sustantivo, la búsqueda de la verdad material, y el cumplimiento de los derechos y garantías debidos a las personas que intervienen en él.</v>
      </c>
      <c r="D7" s="711"/>
      <c r="E7" s="711"/>
      <c r="F7" s="711"/>
      <c r="G7" s="711"/>
      <c r="H7" s="711"/>
      <c r="I7" s="711"/>
      <c r="J7" s="711"/>
      <c r="K7" s="711"/>
      <c r="L7" s="711"/>
      <c r="M7" s="711"/>
      <c r="N7" s="711"/>
      <c r="O7" s="791"/>
      <c r="P7" s="128"/>
    </row>
    <row r="8" spans="1:17" ht="33.75" customHeight="1">
      <c r="A8" s="792" t="s">
        <v>1594</v>
      </c>
      <c r="B8" s="774"/>
      <c r="C8" s="711" t="str">
        <f>VLOOKUP(L12,Reporte!$A$5:$N$133,13,FALSE)</f>
        <v xml:space="preserve">Evaluar y/o calificar con decisión de fondo en etapa de instrucción (archivo o pliego de cargos) , de conformidad con la fecha de los hechos disciplinariamente relevantes y el acervo probatorio obrante en el expediente, salvo prelación legal o urgencia manifiesta.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0.5" customHeight="1">
      <c r="A10" s="794"/>
      <c r="B10" s="795"/>
      <c r="C10" s="711" t="str">
        <f>VLOOKUP(L12,Reporte!$N$5:$BN$133,4,FALSE)</f>
        <v>Número de  decisiones de fondo adoptadas en el  período</v>
      </c>
      <c r="D10" s="711"/>
      <c r="E10" s="711"/>
      <c r="F10" s="799" t="str">
        <f>VLOOKUP(L12,Reporte!$N$5:$BN$133,6,FALSE)</f>
        <v>Nuemrro de decisiones de fondo adoptadas en etapa de instrucción</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Número total de procesos evaluados en etapa de instrucción * 100</v>
      </c>
      <c r="D12" s="711"/>
      <c r="E12" s="711"/>
      <c r="F12" s="799"/>
      <c r="G12" s="799"/>
      <c r="H12" s="799"/>
      <c r="I12" s="799"/>
      <c r="J12" s="712" t="str">
        <f>VLOOKUP(L12,Reporte!$N$5:$BN$133,7,FALSE)</f>
        <v>Eficiencia</v>
      </c>
      <c r="K12" s="712"/>
      <c r="L12" s="713" t="s">
        <v>188</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0.5</v>
      </c>
      <c r="D15" s="735"/>
      <c r="E15" s="729"/>
      <c r="F15" s="740" t="str">
        <f>VLOOKUP(L12,Reporte!$N$5:$BN$133,9,FALSE)</f>
        <v>Semestral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132</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200</v>
      </c>
      <c r="O22" s="133">
        <f>SUM(C22:N22)</f>
        <v>332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215</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304</v>
      </c>
      <c r="O23" s="133">
        <f>SUM(C23:N23)</f>
        <v>519</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0.5</v>
      </c>
      <c r="D26" s="146">
        <f>+C26*0.98</f>
        <v>0.49</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0.5</v>
      </c>
      <c r="D27" s="146">
        <f>+D26</f>
        <v>0.49</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0.5</v>
      </c>
      <c r="D28" s="146">
        <f t="shared" si="0"/>
        <v>0.49</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0.5</v>
      </c>
      <c r="D29" s="146">
        <f t="shared" si="0"/>
        <v>0.49</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0.5</v>
      </c>
      <c r="D30" s="146">
        <f t="shared" si="0"/>
        <v>0.49</v>
      </c>
      <c r="E30" s="147"/>
      <c r="F30" s="147"/>
      <c r="G30" s="685"/>
      <c r="H30" s="685"/>
      <c r="I30" s="685"/>
      <c r="J30" s="685"/>
      <c r="K30" s="147"/>
      <c r="L30" s="685"/>
      <c r="M30" s="685"/>
      <c r="N30" s="685"/>
      <c r="O30" s="701"/>
      <c r="P30" s="148"/>
      <c r="Q30" s="149"/>
    </row>
    <row r="31" spans="1:17" s="127" customFormat="1" ht="15">
      <c r="A31" s="145" t="s">
        <v>99</v>
      </c>
      <c r="B31" s="146">
        <f>IF(ISERROR($H$22/$H$23),0,$H$22/$H$23)</f>
        <v>0.61395348837209307</v>
      </c>
      <c r="C31" s="146">
        <f t="shared" si="0"/>
        <v>0.5</v>
      </c>
      <c r="D31" s="146">
        <f t="shared" si="0"/>
        <v>0.49</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0.5</v>
      </c>
      <c r="D32" s="146">
        <f t="shared" si="0"/>
        <v>0.49</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0.5</v>
      </c>
      <c r="D33" s="146">
        <f t="shared" si="0"/>
        <v>0.49</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0.5</v>
      </c>
      <c r="D34" s="146">
        <f t="shared" si="0"/>
        <v>0.49</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0.5</v>
      </c>
      <c r="D35" s="146">
        <f t="shared" si="0"/>
        <v>0.49</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0.5</v>
      </c>
      <c r="D36" s="146">
        <f t="shared" si="0"/>
        <v>0.49</v>
      </c>
      <c r="E36" s="147"/>
      <c r="F36" s="147"/>
      <c r="G36" s="685"/>
      <c r="H36" s="685"/>
      <c r="I36" s="685"/>
      <c r="J36" s="685"/>
      <c r="K36" s="147"/>
      <c r="L36" s="685"/>
      <c r="M36" s="685"/>
      <c r="N36" s="685"/>
      <c r="O36" s="701"/>
      <c r="P36" s="148"/>
      <c r="Q36" s="149"/>
    </row>
    <row r="37" spans="1:17" s="127" customFormat="1" ht="15.75" thickBot="1">
      <c r="A37" s="150" t="s">
        <v>105</v>
      </c>
      <c r="B37" s="151">
        <f>IF(ISERROR($N$22/$N$23),0,$N$22/$N$23)</f>
        <v>0.65789473684210531</v>
      </c>
      <c r="C37" s="146">
        <f t="shared" si="0"/>
        <v>0.5</v>
      </c>
      <c r="D37" s="146">
        <f t="shared" si="0"/>
        <v>0.49</v>
      </c>
      <c r="E37" s="147"/>
      <c r="F37" s="147"/>
      <c r="G37" s="147"/>
      <c r="H37" s="147"/>
      <c r="I37" s="147"/>
      <c r="J37" s="147"/>
      <c r="K37" s="147"/>
      <c r="L37" s="685"/>
      <c r="M37" s="685"/>
      <c r="N37" s="685"/>
      <c r="O37" s="701"/>
      <c r="P37" s="148"/>
      <c r="Q37" s="149"/>
    </row>
    <row r="38" spans="1:17" s="127" customFormat="1" ht="15.75" thickBot="1">
      <c r="A38" s="152" t="s">
        <v>106</v>
      </c>
      <c r="B38" s="153">
        <f>IF(ISERROR($O$22/$O$23),0,$O$22/$O$23)</f>
        <v>0.63969171483622356</v>
      </c>
      <c r="C38" s="153">
        <f>+C37</f>
        <v>0.5</v>
      </c>
      <c r="D38" s="153">
        <f>+D37</f>
        <v>0.49</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78.5" customHeight="1" thickBot="1">
      <c r="A51" s="673" t="str">
        <f>VLOOKUP(L12,Reporte!$N$5:$BZ$133,59,FALSE)</f>
        <v xml:space="preserve">Dada la dinámica de la etapa de instrucción y la variación mensual (Enero:2014; Febrero: 207; Marzo: 226; Abril:206;Mayo:214 y Junio:226) del inventario de expedientes objeto de evaluación o calificación, para adoptar una decisión (archivo o pliego de cargos), se tomará el promedio del semestre (215) como denominador, para el cálculo del indicador, excluyendo aquellos expedientes cuyo termino de duración de la indagación previa o investigación disciplinaria se encuentra en curso (vigente), de los 215 expedientes reseñados, se adoptaron 131 decisiones de archivo con fundamento en las causales del artículo 90 del Código General Disciplinario y se formuló un (1) pliego de cargos.    
En las reuniones de Autoevaluación mensual de la OCDI se verifica el avance frente al indicador y se acumula el mismo, a saber:EneroFebreroMarzoAbrilMayoJunioIndicador:
 (49) Decisiones de Fondo Adoptadas Etapa Instrucción / (214) Número Total Procesos Evaluados - Etapa Instrucción *100 = 22,89%Indicador:
 (32) Decisiones de Fondo Adoptadas Etapa Instrucción / (207) Número Total Procesos Evaluados - Etapa Instrucción *100 = 15,45%Indicador:
 (25) Decisiones de Fondo Adoptadas Etapa Instrucción / (226) Número Total Procesos Evaluados - Etapa Instrucción *100 = 11,06%Indicador:
 (12) Decisiones de Fondo Adoptadas Etapa Instrucción / (206) Número Total Procesos Evaluados - Etapa Instrucción *100 = 5,82%Indicador:
 (1) Decisiones de Fondo Adoptadas Etapa Instrucción / (214) Número Total Procesos Evaluados - Etapa Instrucción *100 = 0,46%Indicador:
 (14) Decisiones de Fondo Adoptadas Etapa Instrucción / (226) Número Total Procesos Evaluados - Etapa Instrucción *100 = 6,19% 22,89% (49)38,34% (81)49,40 % (106)55,22% (117)55,68% (118)61,87% (132)
La meta programada, esta superada en el 36,39%, ya que para el primer semestre se tenia previsto un avance del 25%, pero se logro el 61,39%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89" customHeight="1" thickBot="1">
      <c r="A63" s="673" t="str">
        <f>VLOOKUP(L12,Reporte!$N$5:$BZ$133,65,FALSE)</f>
        <v xml:space="preserve">Dada la dinámica de la etapa de instrucción y la variación mensual (Julio:232; Agosto: 205; Septiembre: 142; Octubre:84; Noviembre: 73 y Diciembre: 85) del inventario de expedientes objeto de evaluación o calificación, para adoptar una decisión (archivo o pliego de cargos), se tomará el promedio del semestre (137) como denominador, para el cálculo del indicador, excluyendo aquellos expedientes cuyo término de duración de la indagación previa o investigación disciplinaria se encuentra en curso (vigente), de los137 expedientes reseñados, se adoptaron 183 decisiones de archivo con fundamento en las causales del artículo 90 del Código General Disciplinario y se formularon nueve (9) pliego de cargos.    
En las reuniones de Autoevaluación mensual de la OCDI se verifica el avance frente al indicador y se acumula el mismo, a saber:JulioAgostoSeptiembreOctubreNoviembreDiciembreIndicador:
 (27) Decisiones de Fondo Adoptadas Etapa Instrucción / (232) Número Total Procesos Evaluados - Etapa Instrucción *100 = 11,63%Indicador:
 (62) Decisiones de Fondo Adoptadas Etapa Instrucción / (205) Número Total Procesos Evaluados - Etapa Instrucción *100 = 30,02%Indicador:
 (59) Decisiones de Fondo Adoptadas Etapa Instrucción / (142) Número Total Procesos Evaluados - Etapa Instrucción *100 = 41,5%Indicador:
 (18) Decisiones de Fondo Adoptadas Etapa Instrucción / (84) Número Total Procesos Evaluados - Etapa Instrucción *100 = 21,4%Indicador:
 (11) Decisiones de Fondo Adoptadas Etapa Instrucción / (73) Número Total Procesos Evaluados - Etapa Instrucción *100 = 15,07%Indicador:
 (15) Decisiones de Fondo Adoptadas Etapa Instrucción / (85) Número Total Procesos Evaluados - Etapa Instrucción *100 = 17,64%11,63% (27)41,65% (89)83,15 % (148)104,55% (166)119,62% (177)137,26% (192)
La meta programada, está superada en el 112,26%, ya que para el segundo semestre se tenía previsto un avance del 25%, pero se logró el 137,26%, lo anterior obedece a que en el periodo a reportar se contó con la totalidad del personal de planta y adicionalmente con el tres (3) contratistas de prestación de servicios expertos.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adoptado un total de 269 decisiones de fondo en etapa de instrucción del total de 352 procesos, con un sobrecumplimiento del 153% con respecto a la meta porcentual de 50% de establecida para 2025.Al igual que en el anterior indicador se sugiere que el denominador indique que es el total de procesos evaluados en etapa de instrucción en el periodo.</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3E4D7-3E76-4561-A6BE-DDD5E4E07B89}">
  <sheetPr codeName="Hoja125"/>
  <dimension ref="A1:Q67"/>
  <sheetViews>
    <sheetView view="pageBreakPreview" zoomScale="80" zoomScaleNormal="73" zoomScaleSheetLayoutView="80" zoomScalePageLayoutView="55" workbookViewId="0">
      <selection activeCell="R17" sqref="R17"/>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ACTUACIONES DISCIPLINARIAS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decisiones de fondo adoptadas en etapa de juzgamiento en la Oficina de Control Disciplinario Interno </v>
      </c>
      <c r="D6" s="711"/>
      <c r="E6" s="711"/>
      <c r="F6" s="711"/>
      <c r="G6" s="711"/>
      <c r="H6" s="711"/>
      <c r="I6" s="711"/>
      <c r="J6" s="711"/>
      <c r="K6" s="711"/>
      <c r="L6" s="711"/>
      <c r="M6" s="711"/>
      <c r="N6" s="711"/>
      <c r="O6" s="791"/>
      <c r="P6" s="128"/>
    </row>
    <row r="7" spans="1:17" ht="58.5" customHeight="1">
      <c r="A7" s="789" t="s">
        <v>10</v>
      </c>
      <c r="B7" s="790"/>
      <c r="C7" s="711" t="str">
        <f>VLOOKUP(L12,Reporte!A5:M133,10,FALSE)</f>
        <v>Investigar y sancionar disciplinariamente los comportamientos que estén descritos como falta en la ley, a fin de garantizar la efectividad de los fines y principios, previstos en la constitución, la ley, y los tratados internacionales, relacionados con el ejercicio de las función pública, observando la  prevalencia de la justicia, la efectividad del sustantivo, la búsqueda de la verdad material, y el cumplimiento de los derechos y garantías debidos a las personas que intervienen en él.</v>
      </c>
      <c r="D7" s="711"/>
      <c r="E7" s="711"/>
      <c r="F7" s="711"/>
      <c r="G7" s="711"/>
      <c r="H7" s="711"/>
      <c r="I7" s="711"/>
      <c r="J7" s="711"/>
      <c r="K7" s="711"/>
      <c r="L7" s="711"/>
      <c r="M7" s="711"/>
      <c r="N7" s="711"/>
      <c r="O7" s="791"/>
      <c r="P7" s="128"/>
    </row>
    <row r="8" spans="1:17" ht="34.5" customHeight="1">
      <c r="A8" s="792" t="s">
        <v>1594</v>
      </c>
      <c r="B8" s="774"/>
      <c r="C8" s="711" t="str">
        <f>VLOOKUP(L12,Reporte!$A$5:$N$133,13,FALSE)</f>
        <v xml:space="preserve">Evaluar y/o calificar con decisión de fondo en etapa de juzgamiento (archivo o fallo de primera instancia), de conformidad con la fecha de los hechos disciplinariamente relevantes y el acervo probatorio obrante en el expediente, salvo prelación legal o urgencia manifiesta.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decisiones de fondo adoptadas en el  período</v>
      </c>
      <c r="D10" s="711"/>
      <c r="E10" s="711"/>
      <c r="F10" s="799" t="str">
        <f>VLOOKUP(L12,Reporte!$N$5:$BN$133,6,FALSE)</f>
        <v>Numero de decisiones de fondo adoptadas en etapa de juzgamiento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Número total de procesos evaluados en etapa de juzgamiento * 100</v>
      </c>
      <c r="D12" s="711"/>
      <c r="E12" s="711"/>
      <c r="F12" s="799"/>
      <c r="G12" s="799"/>
      <c r="H12" s="799"/>
      <c r="I12" s="799"/>
      <c r="J12" s="712" t="str">
        <f>VLOOKUP(L12,Reporte!$N$5:$BN$133,7,FALSE)</f>
        <v>Eficiencia</v>
      </c>
      <c r="K12" s="712"/>
      <c r="L12" s="713" t="s">
        <v>196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2</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4</v>
      </c>
      <c r="O22" s="133">
        <f>SUM(C22:N22)</f>
        <v>6</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4</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7</v>
      </c>
      <c r="O23" s="133">
        <f>SUM(C23:N23)</f>
        <v>11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0.5</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0.5714285714285714</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0.54545454545454541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84" customHeight="1" thickBot="1">
      <c r="A51" s="673" t="str">
        <f>VLOOKUP(L12,Reporte!$N$5:$BZ$133,59,FALSE)</f>
        <v xml:space="preserve">El inventario de expedientes existentes en el primer semestre 2025, a evaluar en etapa de juzgamiento, para adoptar la decisión de primera instancia, correspondía a cuatro (4) de los cuales se adoptó fallo sancionatorio de primera instancia en dos (2),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
 Lo previsto para el primer semestre se alcanzó según o previsto en el indicador, incluso superando la línea base del indicador.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69" customHeight="1" thickBot="1">
      <c r="A63" s="673" t="str">
        <f>VLOOKUP(L12,Reporte!$N$5:$BZ$133,65,FALSE)</f>
        <v xml:space="preserve">El inventario de expedientes existentes en el segundo semestre 2025, a evaluar en etapa de juzgamiento, para adoptar la decisión de primera instancia, correspondía a nueve (9) de los cuales se adoptó fallo sancionatorio de primera instancia en cuatro (4),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
Lo previsto para el primer semestre se alcanzó según o previsto en el indicador, incluso superando la línea base del indicador.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adoptado un total de 6 decisiones de fondo en etapa de juzgamiento de los 13 procesos evaluados, con incumplimiento la meta de establecida para 2025. 
Sin embargo se recomienda que  este indicador se mida de forma acumulada y que se reduzca la meta para la siguiente vigencia.</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82179-E404-4F18-90C0-5E9BBD20F6BF}">
  <sheetPr codeName="Hoja126"/>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28.5" customHeight="1">
      <c r="A6" s="789" t="s">
        <v>8</v>
      </c>
      <c r="B6" s="790"/>
      <c r="C6" s="711" t="str">
        <f>VLOOKUP(L12,Reporte!$N$5:$BN$133,2,FALSE)</f>
        <v>Nivel de madurez de acuerdo con la matriz de cumplimiento del MGDA</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36.75" customHeight="1">
      <c r="A8" s="792" t="s">
        <v>1594</v>
      </c>
      <c r="B8" s="774"/>
      <c r="C8" s="711" t="str">
        <f>VLOOKUP(L12,Reporte!$A$5:$N$133,13,FALSE)</f>
        <v>Alcanzar el Nivel de madurez en dos (2) componentes en "Básico" y un (1) componente en "Intermedio" - Modelo de Gestión Documental y Administración de Archivos -MGDA- en 2025 -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Total de los productos cumplidos del MGDA en los dos componentes  </v>
      </c>
      <c r="D10" s="711"/>
      <c r="E10" s="711"/>
      <c r="F10" s="799" t="str">
        <f>VLOOKUP(L12,Reporte!$N$5:$BN$133,6,FALSE)</f>
        <v>Este indicador mide número de informes del MGDA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Total productos del MGDA requeridos en los 3 componentes programados</v>
      </c>
      <c r="D12" s="711"/>
      <c r="E12" s="711"/>
      <c r="F12" s="799"/>
      <c r="G12" s="799"/>
      <c r="H12" s="799"/>
      <c r="I12" s="799"/>
      <c r="J12" s="712" t="str">
        <f>VLOOKUP(L12,Reporte!$N$5:$BN$133,7,FALSE)</f>
        <v>Eficiencia</v>
      </c>
      <c r="K12" s="712"/>
      <c r="L12" s="713" t="s">
        <v>381</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52</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8</v>
      </c>
      <c r="F22" s="139">
        <f>VLOOKUP(L12,Reporte!$N$5:$BN$133,33,FALSE)</f>
        <v>0</v>
      </c>
      <c r="G22" s="132">
        <f>VLOOKUP(L12,Reporte!$N$5:$BN$133,34,FALSE)</f>
        <v>0</v>
      </c>
      <c r="H22" s="139">
        <f>VLOOKUP(L12,Reporte!$N$5:$BN$133,35,FALSE)</f>
        <v>26</v>
      </c>
      <c r="I22" s="132">
        <f>VLOOKUP(L12,Reporte!$N$5:$BN$133,36,FALSE)</f>
        <v>0</v>
      </c>
      <c r="J22" s="139">
        <f>VLOOKUP(L12,Reporte!$N$5:$BN$133,37,FALSE)</f>
        <v>0</v>
      </c>
      <c r="K22" s="139">
        <f>VLOOKUP(L12,Reporte!$N$5:$BN$133,38,FALSE)</f>
        <v>13</v>
      </c>
      <c r="L22" s="139">
        <f>VLOOKUP(L12,Reporte!$N$5:$BN$133,39,FALSE)</f>
        <v>0</v>
      </c>
      <c r="M22" s="139">
        <f>VLOOKUP(L12,Reporte!$N$5:$BN$133,40,FALSE)</f>
        <v>0</v>
      </c>
      <c r="N22" s="133">
        <f>VLOOKUP(L12,Reporte!$N$5:$BN$133,41,FALSE)</f>
        <v>12</v>
      </c>
      <c r="O22" s="133">
        <f>SUM(C22:N22)</f>
        <v>59</v>
      </c>
      <c r="P22" s="128"/>
    </row>
    <row r="23" spans="1:17" ht="16.5" thickBot="1">
      <c r="A23" s="690" t="s">
        <v>76</v>
      </c>
      <c r="B23" s="691"/>
      <c r="C23" s="140">
        <f>VLOOKUP(L12,Reporte!$N$5:$BN$133,42,FALSE)</f>
        <v>0</v>
      </c>
      <c r="D23" s="140">
        <f>VLOOKUP(L12,Reporte!$N$5:$BN$133,43,FALSE)</f>
        <v>0</v>
      </c>
      <c r="E23" s="140">
        <f>VLOOKUP(L12,Reporte!$N$5:$BN$133,44,FALSE)</f>
        <v>8</v>
      </c>
      <c r="F23" s="140">
        <f>VLOOKUP(L12,Reporte!$N$5:$BN$133,45,FALSE)</f>
        <v>0</v>
      </c>
      <c r="G23" s="140">
        <f>VLOOKUP(L12,Reporte!$N$5:$BN$133,46,FALSE)</f>
        <v>0</v>
      </c>
      <c r="H23" s="140">
        <f>VLOOKUP(L12,Reporte!$N$5:$BN$133,47,FALSE)</f>
        <v>58</v>
      </c>
      <c r="I23" s="140">
        <f>VLOOKUP(L12,Reporte!$N$5:$BN$133,48,FALSE)</f>
        <v>0</v>
      </c>
      <c r="J23" s="140">
        <f>VLOOKUP(L12,Reporte!$N$5:$BN$133,49,FALSE)</f>
        <v>0</v>
      </c>
      <c r="K23" s="140">
        <f>VLOOKUP(L12,Reporte!$N$5:$BN$133,50,FALSE)</f>
        <v>13</v>
      </c>
      <c r="L23" s="140">
        <f>VLOOKUP(L12,Reporte!$N$5:$BN$133,51,FALSE)</f>
        <v>0</v>
      </c>
      <c r="M23" s="140">
        <f>VLOOKUP(L12,Reporte!$N$5:$BN$133,52,FALSE)</f>
        <v>0</v>
      </c>
      <c r="N23" s="141">
        <f>VLOOKUP(L12,Reporte!$N$5:$BN$133,53,FALSE)</f>
        <v>12</v>
      </c>
      <c r="O23" s="133">
        <f>SUM(C23:N23)</f>
        <v>91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52</v>
      </c>
      <c r="D26" s="146">
        <f>+C26*0.98</f>
        <v>50.96</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52</v>
      </c>
      <c r="D27" s="146">
        <f>+D26</f>
        <v>50.96</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52</v>
      </c>
      <c r="D28" s="146">
        <f t="shared" si="0"/>
        <v>50.96</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52</v>
      </c>
      <c r="D29" s="146">
        <f t="shared" si="0"/>
        <v>50.96</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52</v>
      </c>
      <c r="D30" s="146">
        <f t="shared" si="0"/>
        <v>50.96</v>
      </c>
      <c r="E30" s="147"/>
      <c r="F30" s="147"/>
      <c r="G30" s="685"/>
      <c r="H30" s="685"/>
      <c r="I30" s="685"/>
      <c r="J30" s="685"/>
      <c r="K30" s="147"/>
      <c r="L30" s="685"/>
      <c r="M30" s="685"/>
      <c r="N30" s="685"/>
      <c r="O30" s="701"/>
      <c r="P30" s="148"/>
      <c r="Q30" s="149"/>
    </row>
    <row r="31" spans="1:17" s="127" customFormat="1" ht="15">
      <c r="A31" s="145" t="s">
        <v>99</v>
      </c>
      <c r="B31" s="146">
        <f>IF(ISERROR($H$22/$H$23),0,$H$22/$H$23)</f>
        <v>0.44827586206896552</v>
      </c>
      <c r="C31" s="146">
        <f t="shared" si="0"/>
        <v>52</v>
      </c>
      <c r="D31" s="146">
        <f t="shared" si="0"/>
        <v>50.96</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52</v>
      </c>
      <c r="D32" s="146">
        <f t="shared" si="0"/>
        <v>50.96</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52</v>
      </c>
      <c r="D33" s="146">
        <f t="shared" si="0"/>
        <v>50.96</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52</v>
      </c>
      <c r="D34" s="146">
        <f t="shared" si="0"/>
        <v>50.96</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52</v>
      </c>
      <c r="D35" s="146">
        <f t="shared" si="0"/>
        <v>50.96</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52</v>
      </c>
      <c r="D36" s="146">
        <f t="shared" si="0"/>
        <v>50.96</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52</v>
      </c>
      <c r="D37" s="146">
        <f t="shared" si="0"/>
        <v>50.96</v>
      </c>
      <c r="E37" s="147"/>
      <c r="F37" s="147"/>
      <c r="G37" s="147"/>
      <c r="H37" s="147"/>
      <c r="I37" s="147"/>
      <c r="J37" s="147"/>
      <c r="K37" s="147"/>
      <c r="L37" s="685"/>
      <c r="M37" s="685"/>
      <c r="N37" s="685"/>
      <c r="O37" s="701"/>
      <c r="P37" s="148"/>
      <c r="Q37" s="149"/>
    </row>
    <row r="38" spans="1:17" s="127" customFormat="1" ht="15.75" thickBot="1">
      <c r="A38" s="152" t="s">
        <v>106</v>
      </c>
      <c r="B38" s="153">
        <f>IF(ISERROR($O$22/$O$23),0,$O$22/$O$23)</f>
        <v>0.64835164835164838</v>
      </c>
      <c r="C38" s="153">
        <f>+C37</f>
        <v>52</v>
      </c>
      <c r="D38" s="153">
        <f>+D37</f>
        <v>50.96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​La falta de ejecución de la actividad relacionada con el Programa de Gestión Documental -PGD-, incluida entre las 9 actividades programadas en el PAG para el 1er. trimestre, se debió a que no se tenía la información de la formulación del proyecto de inversión 2026-2030 -trabajo iniciado desde noviembre 2024 con culminación junio 2025-, y que es imprescindible para el PGD. Por lo anterior, se solicitó a la OAP ajuste, aprobándose para cumplirse en abril.</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Observamos que, para el segundo trimestre de 2025, el Indicador DI28 Nivel de madurez de acuerdo con la matriz de cumplimiento del MGDA, alcanzó un cumplimiento satisfactorio del 100% con la ejecución de 18 actividades , llegando a un avance consolidado del 45%, con 26 actividades cumplidas.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​Observamos que, para el tercer trimestre de 2025, el Indicador DI28 Nivel de madurez de acuerdo con la matriz de cumplimiento del MGDA, alcanzó un cumplimiento satisfactorio del 100% con la ejecución de 13 actividades, llegando a un avance consolidado del 77%, con un total acumulado de 40 actividades cumplidas. Las actividades desarrolladas han contribuido al fortalecimiento en el desarrollo de la política de gestión documental y en el incremento de la aplicación de los componentes del Modelo de Gestión Documental y Administración de Archivos, alineándolos con el Ciclo Vital del Documento.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60" customHeight="1" thickBot="1">
      <c r="A63" s="673" t="str">
        <f>VLOOKUP(L12,Reporte!$N$5:$BZ$133,65,FALSE)</f>
        <v xml:space="preserve">​Observamos que, para el cuarto trimestre de 2025, el Indicador DI28 Nivel de madurez de acuerdo con la matriz de cumplimiento del MGDA, alcanzó un cumplimiento satisfactorio del 100% con la ejecución de 12 actividades, llegando a un avance acumulado anual del 100%, con un total acumulado de 52 actividades cumplidas. Las actividades desarrolladas han contribuido al fortalecimiento en el desarrollo de la política de gestión documental y en el incremento de la aplicación de los componentes del Modelo de Gestión Documental y Administración de Archivos, alineándolos con el Ciclo Vital del Documento.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ejecutaron 51 productos del MGDA, con incumplimiento de la meta de 52 establecida en el cronograma para 2025.Sobre el reporte en el SharePoint de PAG 2025, teniendo en cuenta que tanto el cronograma del Plan como el PAG se expresa el avance en porcentaje acumulado, y por tanto se debe tener en cuenta que el denominador siempre será el número total de productos del MGDA propuestos para la vigencia 2025. Sin embargo, se encontró que al registrar las variables en el denominador del mes de marzo se registró (8) en vez de 58 para ese momento, en junio se registró adecuadamente, pero nuevamente en septiembre se registró sin considerar el denominador para ese periodo, lo que puede afectar la interpretación del avance del indicador</v>
      </c>
      <c r="B64" s="677"/>
      <c r="C64" s="677"/>
      <c r="D64" s="677"/>
      <c r="E64" s="677"/>
      <c r="F64" s="677"/>
      <c r="G64" s="677"/>
      <c r="H64" s="677"/>
      <c r="I64" s="677"/>
      <c r="J64" s="677"/>
      <c r="K64" s="677"/>
      <c r="L64" s="677"/>
      <c r="M64" s="677"/>
      <c r="N64" s="677"/>
      <c r="O64" s="678"/>
      <c r="P64" s="128"/>
    </row>
    <row r="65" spans="1:16" ht="64.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F6E8-31E9-4AF0-A294-D34B917CEE2B}">
  <sheetPr codeName="Hoja12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BIENES Y SERVICIOS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Socializaciones o sensibilizaciones  realizadas a los funcionarios o contratistas que tengan bienes asignados de la entidad</v>
      </c>
      <c r="D6" s="711"/>
      <c r="E6" s="711"/>
      <c r="F6" s="711"/>
      <c r="G6" s="711"/>
      <c r="H6" s="711"/>
      <c r="I6" s="711"/>
      <c r="J6" s="711"/>
      <c r="K6" s="711"/>
      <c r="L6" s="711"/>
      <c r="M6" s="711"/>
      <c r="N6" s="711"/>
      <c r="O6" s="791"/>
      <c r="P6" s="128"/>
    </row>
    <row r="7" spans="1:17" ht="58.5" customHeight="1">
      <c r="A7" s="789" t="s">
        <v>10</v>
      </c>
      <c r="B7" s="790"/>
      <c r="C7" s="711" t="str">
        <f>VLOOKUP(L12,Reporte!A5:M133,10,FALSE)</f>
        <v>Adquirir bienes y servicios, a través de las diferentes modalidades de contratación de acuerdo con la normatividad vigente y lo establecido en el Plan Anual de Adquisiciones, con el fin de proveer los recursos (humanos, tecnológicos, físicos, etc.) necesarios para el cumplimiento de la misión institucional y vigilar los requisitos establecidos para mejorar el desempeño ambiental en la Superintendencia Nacional de Salud.</v>
      </c>
      <c r="D7" s="711"/>
      <c r="E7" s="711"/>
      <c r="F7" s="711"/>
      <c r="G7" s="711"/>
      <c r="H7" s="711"/>
      <c r="I7" s="711"/>
      <c r="J7" s="711"/>
      <c r="K7" s="711"/>
      <c r="L7" s="711"/>
      <c r="M7" s="711"/>
      <c r="N7" s="711"/>
      <c r="O7" s="791"/>
      <c r="P7" s="128"/>
    </row>
    <row r="8" spans="1:17" ht="15.75">
      <c r="A8" s="792" t="s">
        <v>1594</v>
      </c>
      <c r="B8" s="774"/>
      <c r="C8" s="711" t="str">
        <f>VLOOKUP(L12,Reporte!$A$5:$N$133,13,FALSE)</f>
        <v>Realizar Socializacion, Sensibilización y Asesoria a los funcionarios y contratistas de la Entidad acerca del cuidado y control de los bienes.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socializaciones o sensibilizaciones  realizadas</v>
      </c>
      <c r="D10" s="711"/>
      <c r="E10" s="711"/>
      <c r="F10" s="799" t="str">
        <f>VLOOKUP(L12,Reporte!$N$5:$BN$133,6,FALSE)</f>
        <v>Este indicador mide el número de Campañas de sensibilización realizadas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236</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8</v>
      </c>
      <c r="D15" s="826"/>
      <c r="E15" s="827"/>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2</v>
      </c>
      <c r="F22" s="139">
        <f>VLOOKUP(L12,Reporte!$N$5:$BN$133,33,FALSE)</f>
        <v>0</v>
      </c>
      <c r="G22" s="132">
        <f>VLOOKUP(L12,Reporte!$N$5:$BN$133,34,FALSE)</f>
        <v>0</v>
      </c>
      <c r="H22" s="139">
        <f>VLOOKUP(L12,Reporte!$N$5:$BN$133,35,FALSE)</f>
        <v>2</v>
      </c>
      <c r="I22" s="132">
        <f>VLOOKUP(L12,Reporte!$N$5:$BN$133,36,FALSE)</f>
        <v>0</v>
      </c>
      <c r="J22" s="139">
        <f>VLOOKUP(L12,Reporte!$N$5:$BN$133,37,FALSE)</f>
        <v>0</v>
      </c>
      <c r="K22" s="139">
        <f>VLOOKUP(L12,Reporte!$N$5:$BN$133,38,FALSE)</f>
        <v>6</v>
      </c>
      <c r="L22" s="139">
        <f>VLOOKUP(L12,Reporte!$N$5:$BN$133,39,FALSE)</f>
        <v>0</v>
      </c>
      <c r="M22" s="139">
        <f>VLOOKUP(L12,Reporte!$N$5:$BN$133,40,FALSE)</f>
        <v>0</v>
      </c>
      <c r="N22" s="133">
        <f>VLOOKUP(L12,Reporte!$N$5:$BN$133,41,FALSE)</f>
        <v>8</v>
      </c>
      <c r="O22" s="133">
        <f>SUM(C22:N22)</f>
        <v>18</v>
      </c>
      <c r="P22" s="128"/>
    </row>
    <row r="23" spans="1:17" ht="16.5" thickBot="1">
      <c r="A23" s="690" t="s">
        <v>76</v>
      </c>
      <c r="B23" s="691"/>
      <c r="C23" s="140">
        <f>VLOOKUP(L12,Reporte!$N$5:$BN$133,42,FALSE)</f>
        <v>0</v>
      </c>
      <c r="D23" s="140">
        <f>VLOOKUP(L12,Reporte!$N$5:$BN$133,43,FALSE)</f>
        <v>0</v>
      </c>
      <c r="E23" s="140">
        <f>VLOOKUP(L12,Reporte!$N$5:$BN$133,44,FALSE)</f>
        <v>2</v>
      </c>
      <c r="F23" s="140">
        <f>VLOOKUP(L12,Reporte!$N$5:$BN$133,45,FALSE)</f>
        <v>0</v>
      </c>
      <c r="G23" s="140">
        <f>VLOOKUP(L12,Reporte!$N$5:$BN$133,46,FALSE)</f>
        <v>0</v>
      </c>
      <c r="H23" s="140">
        <f>VLOOKUP(L12,Reporte!$N$5:$BN$133,47,FALSE)</f>
        <v>2</v>
      </c>
      <c r="I23" s="140">
        <f>VLOOKUP(L12,Reporte!$N$5:$BN$133,48,FALSE)</f>
        <v>0</v>
      </c>
      <c r="J23" s="140">
        <f>VLOOKUP(L12,Reporte!$N$5:$BN$133,49,FALSE)</f>
        <v>0</v>
      </c>
      <c r="K23" s="140">
        <f>VLOOKUP(L12,Reporte!$N$5:$BN$133,50,FALSE)</f>
        <v>6</v>
      </c>
      <c r="L23" s="140">
        <f>VLOOKUP(L12,Reporte!$N$5:$BN$133,51,FALSE)</f>
        <v>0</v>
      </c>
      <c r="M23" s="140">
        <f>VLOOKUP(L12,Reporte!$N$5:$BN$133,52,FALSE)</f>
        <v>0</v>
      </c>
      <c r="N23" s="141">
        <f>VLOOKUP(L12,Reporte!$N$5:$BN$133,53,FALSE)</f>
        <v>8</v>
      </c>
      <c r="O23" s="133">
        <f>SUM(C23:N23)</f>
        <v>18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8</v>
      </c>
      <c r="D26" s="161">
        <f>+C26*0.98</f>
        <v>7.84</v>
      </c>
      <c r="E26" s="147"/>
      <c r="F26" s="147"/>
      <c r="G26" s="685"/>
      <c r="H26" s="685"/>
      <c r="I26" s="699"/>
      <c r="J26" s="699"/>
      <c r="K26" s="699"/>
      <c r="L26" s="685"/>
      <c r="M26" s="685"/>
      <c r="N26" s="685"/>
      <c r="O26" s="701"/>
      <c r="P26" s="148"/>
      <c r="Q26" s="149"/>
    </row>
    <row r="27" spans="1:17" s="127" customFormat="1" ht="15">
      <c r="A27" s="145" t="s">
        <v>95</v>
      </c>
      <c r="B27" s="161">
        <f>+D22</f>
        <v>0</v>
      </c>
      <c r="C27" s="161">
        <f>+C26</f>
        <v>8</v>
      </c>
      <c r="D27" s="161">
        <f>+D26</f>
        <v>7.84</v>
      </c>
      <c r="E27" s="147"/>
      <c r="F27" s="147"/>
      <c r="G27" s="685"/>
      <c r="H27" s="685"/>
      <c r="I27" s="685"/>
      <c r="J27" s="685"/>
      <c r="K27" s="147"/>
      <c r="L27" s="685"/>
      <c r="M27" s="685"/>
      <c r="N27" s="685"/>
      <c r="O27" s="701"/>
      <c r="P27" s="148"/>
      <c r="Q27" s="149"/>
    </row>
    <row r="28" spans="1:17" s="127" customFormat="1" ht="15">
      <c r="A28" s="145" t="s">
        <v>96</v>
      </c>
      <c r="B28" s="161">
        <f>+E22</f>
        <v>2</v>
      </c>
      <c r="C28" s="161">
        <f t="shared" ref="C28:D37" si="0">+C27</f>
        <v>8</v>
      </c>
      <c r="D28" s="161">
        <f t="shared" si="0"/>
        <v>7.84</v>
      </c>
      <c r="E28" s="147"/>
      <c r="F28" s="147"/>
      <c r="G28" s="685"/>
      <c r="H28" s="685"/>
      <c r="I28" s="685"/>
      <c r="J28" s="685"/>
      <c r="K28" s="147"/>
      <c r="L28" s="685"/>
      <c r="M28" s="685"/>
      <c r="N28" s="685"/>
      <c r="O28" s="701"/>
      <c r="P28" s="148"/>
      <c r="Q28" s="149"/>
    </row>
    <row r="29" spans="1:17" s="127" customFormat="1" ht="15">
      <c r="A29" s="145" t="s">
        <v>97</v>
      </c>
      <c r="B29" s="161">
        <f>+F22</f>
        <v>0</v>
      </c>
      <c r="C29" s="161">
        <f t="shared" si="0"/>
        <v>8</v>
      </c>
      <c r="D29" s="161">
        <f t="shared" si="0"/>
        <v>7.84</v>
      </c>
      <c r="E29" s="147"/>
      <c r="F29" s="147"/>
      <c r="G29" s="685"/>
      <c r="H29" s="685"/>
      <c r="I29" s="685"/>
      <c r="J29" s="685"/>
      <c r="K29" s="147"/>
      <c r="L29" s="685"/>
      <c r="M29" s="685"/>
      <c r="N29" s="685"/>
      <c r="O29" s="701"/>
      <c r="P29" s="148"/>
      <c r="Q29" s="149"/>
    </row>
    <row r="30" spans="1:17" s="127" customFormat="1" ht="15">
      <c r="A30" s="145" t="s">
        <v>98</v>
      </c>
      <c r="B30" s="161">
        <f>+G22</f>
        <v>0</v>
      </c>
      <c r="C30" s="161">
        <f t="shared" si="0"/>
        <v>8</v>
      </c>
      <c r="D30" s="161">
        <f t="shared" si="0"/>
        <v>7.84</v>
      </c>
      <c r="E30" s="147"/>
      <c r="F30" s="147"/>
      <c r="G30" s="685"/>
      <c r="H30" s="685"/>
      <c r="I30" s="685"/>
      <c r="J30" s="685"/>
      <c r="K30" s="147"/>
      <c r="L30" s="685"/>
      <c r="M30" s="685"/>
      <c r="N30" s="685"/>
      <c r="O30" s="701"/>
      <c r="P30" s="148"/>
      <c r="Q30" s="149"/>
    </row>
    <row r="31" spans="1:17" s="127" customFormat="1" ht="15">
      <c r="A31" s="145" t="s">
        <v>99</v>
      </c>
      <c r="B31" s="161">
        <f>+H22</f>
        <v>2</v>
      </c>
      <c r="C31" s="161">
        <f t="shared" si="0"/>
        <v>8</v>
      </c>
      <c r="D31" s="161">
        <f t="shared" si="0"/>
        <v>7.84</v>
      </c>
      <c r="E31" s="147"/>
      <c r="F31" s="147"/>
      <c r="G31" s="685"/>
      <c r="H31" s="685"/>
      <c r="I31" s="685"/>
      <c r="J31" s="685"/>
      <c r="K31" s="147"/>
      <c r="L31" s="685"/>
      <c r="M31" s="685"/>
      <c r="N31" s="685"/>
      <c r="O31" s="701"/>
      <c r="P31" s="148"/>
      <c r="Q31" s="149"/>
    </row>
    <row r="32" spans="1:17" s="127" customFormat="1" ht="15">
      <c r="A32" s="145" t="s">
        <v>100</v>
      </c>
      <c r="B32" s="161">
        <f>+I22</f>
        <v>0</v>
      </c>
      <c r="C32" s="161">
        <f t="shared" si="0"/>
        <v>8</v>
      </c>
      <c r="D32" s="161">
        <f t="shared" si="0"/>
        <v>7.84</v>
      </c>
      <c r="E32" s="147"/>
      <c r="F32" s="147"/>
      <c r="G32" s="685"/>
      <c r="H32" s="685"/>
      <c r="I32" s="685"/>
      <c r="J32" s="685"/>
      <c r="K32" s="147"/>
      <c r="L32" s="685"/>
      <c r="M32" s="685"/>
      <c r="N32" s="685"/>
      <c r="O32" s="701"/>
      <c r="P32" s="148"/>
      <c r="Q32" s="149"/>
    </row>
    <row r="33" spans="1:17" s="127" customFormat="1" ht="15">
      <c r="A33" s="145" t="s">
        <v>101</v>
      </c>
      <c r="B33" s="161">
        <f>+J22</f>
        <v>0</v>
      </c>
      <c r="C33" s="161">
        <f t="shared" si="0"/>
        <v>8</v>
      </c>
      <c r="D33" s="161">
        <f t="shared" si="0"/>
        <v>7.84</v>
      </c>
      <c r="E33" s="147"/>
      <c r="F33" s="147"/>
      <c r="G33" s="685"/>
      <c r="H33" s="685"/>
      <c r="I33" s="685"/>
      <c r="J33" s="685"/>
      <c r="K33" s="147"/>
      <c r="L33" s="685"/>
      <c r="M33" s="685"/>
      <c r="N33" s="685"/>
      <c r="O33" s="701"/>
      <c r="P33" s="148"/>
      <c r="Q33" s="149"/>
    </row>
    <row r="34" spans="1:17" s="127" customFormat="1" ht="15">
      <c r="A34" s="145" t="s">
        <v>102</v>
      </c>
      <c r="B34" s="161">
        <f>+K22</f>
        <v>6</v>
      </c>
      <c r="C34" s="161">
        <f t="shared" si="0"/>
        <v>8</v>
      </c>
      <c r="D34" s="161">
        <f t="shared" si="0"/>
        <v>7.84</v>
      </c>
      <c r="E34" s="147"/>
      <c r="F34" s="147"/>
      <c r="G34" s="685"/>
      <c r="H34" s="685"/>
      <c r="I34" s="685"/>
      <c r="J34" s="685"/>
      <c r="K34" s="147"/>
      <c r="L34" s="685"/>
      <c r="M34" s="685"/>
      <c r="N34" s="685"/>
      <c r="O34" s="701"/>
      <c r="P34" s="148"/>
      <c r="Q34" s="149"/>
    </row>
    <row r="35" spans="1:17" s="127" customFormat="1" ht="15">
      <c r="A35" s="145" t="s">
        <v>103</v>
      </c>
      <c r="B35" s="161">
        <f>+L22</f>
        <v>0</v>
      </c>
      <c r="C35" s="161">
        <f t="shared" si="0"/>
        <v>8</v>
      </c>
      <c r="D35" s="161">
        <f t="shared" si="0"/>
        <v>7.84</v>
      </c>
      <c r="E35" s="147"/>
      <c r="F35" s="147"/>
      <c r="G35" s="685"/>
      <c r="H35" s="685"/>
      <c r="I35" s="685"/>
      <c r="J35" s="685"/>
      <c r="K35" s="147"/>
      <c r="L35" s="685"/>
      <c r="M35" s="685"/>
      <c r="N35" s="685"/>
      <c r="O35" s="701"/>
      <c r="P35" s="148"/>
      <c r="Q35" s="149"/>
    </row>
    <row r="36" spans="1:17" s="127" customFormat="1" ht="15">
      <c r="A36" s="145" t="s">
        <v>104</v>
      </c>
      <c r="B36" s="161">
        <f>+M22</f>
        <v>0</v>
      </c>
      <c r="C36" s="161">
        <f t="shared" si="0"/>
        <v>8</v>
      </c>
      <c r="D36" s="161">
        <f t="shared" si="0"/>
        <v>7.84</v>
      </c>
      <c r="E36" s="147"/>
      <c r="F36" s="147"/>
      <c r="G36" s="685"/>
      <c r="H36" s="685"/>
      <c r="I36" s="685"/>
      <c r="J36" s="685"/>
      <c r="K36" s="147"/>
      <c r="L36" s="685"/>
      <c r="M36" s="685"/>
      <c r="N36" s="685"/>
      <c r="O36" s="701"/>
      <c r="P36" s="148"/>
      <c r="Q36" s="149"/>
    </row>
    <row r="37" spans="1:17" s="127" customFormat="1" ht="15.75" thickBot="1">
      <c r="A37" s="150" t="s">
        <v>105</v>
      </c>
      <c r="B37" s="162">
        <f>+N22</f>
        <v>8</v>
      </c>
      <c r="C37" s="161">
        <f t="shared" si="0"/>
        <v>8</v>
      </c>
      <c r="D37" s="161">
        <f t="shared" si="0"/>
        <v>7.84</v>
      </c>
      <c r="E37" s="147"/>
      <c r="F37" s="147"/>
      <c r="G37" s="147"/>
      <c r="H37" s="147"/>
      <c r="I37" s="147"/>
      <c r="J37" s="147"/>
      <c r="K37" s="147"/>
      <c r="L37" s="685"/>
      <c r="M37" s="685"/>
      <c r="N37" s="685"/>
      <c r="O37" s="701"/>
      <c r="P37" s="148"/>
      <c r="Q37" s="149"/>
    </row>
    <row r="38" spans="1:17" s="127" customFormat="1" ht="15.75" thickBot="1">
      <c r="A38" s="152" t="s">
        <v>106</v>
      </c>
      <c r="B38" s="164">
        <f>+O22</f>
        <v>18</v>
      </c>
      <c r="C38" s="164">
        <f>+C37</f>
        <v>8</v>
      </c>
      <c r="D38" s="164">
        <f>+D37</f>
        <v>7.84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54.75" customHeight="1" thickBot="1">
      <c r="A45" s="682" t="str">
        <f>VLOOKUP(L12,Reporte!$N$5:$BZ$133,56,FALSE)</f>
        <v xml:space="preserve">En los meses de enero, febrero y marzo de 2025  el Grupo de Almacen realizó campañas de sensibilizacion y asesoria a los funcionarios y contratistas de la Entidad acerca del cuidado y control de los bienes.   
Algunas de las evidencias donde despues de la explicacion del manejo en el Aplicativo de Control de Activos ApliCA; sobre como realizar los traslados y reintegros se les envio  correos electronicos de fechas 17/01/2025, 28/02/2025 y 19/03/2025. Esto con el fin de mantener el uso correcto de los mismos y evitar acciones disciplinarias. Como resultado se ha obtenido que los funcionarios tengan el mayor cuidado de los bienes a cargo de cada uno y asi darle el mejor uso para el desarrollo de las funciones.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0" t="str">
        <f>VLOOKUP(L12,Reporte!$N$5:$BZ$133,59,FALSE)</f>
        <v xml:space="preserve">En los meses de abril, mayo y junio de 2025  el Grupo de Almacen realizó campañas de sensibilizacion y asesoria a los funcionarios y contratistas de la Entidad acerca del cuidado y control de los bienes.  Esto con el fin de mantener el uso correcto de los mismos y evitar acciones disciplinarias. Como resultado se ha obtenido que los funcionarios tengan el mayor cuidado de los bienes a cargo de cada uno y asi darle el mejor uso para el desarrollo de las funciones.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Durante el tercer trimestre, el grupo de Recursos de la Dirección Administrativa, adscrito a la Secretaría General, adelantó las siguientes acciones orientadas al fortalecimiento del cuidado y control de los bienes públicos:
Socialización institucional: Se realizó una socialización mediante correo electrónico, a todos los funcionarios de la Superintendencia Nacional de Salud, enfocada en la promoción del cuidado de los bienes públicos y la responsabilidad que implica su uso adecuado.
 Adjunto: “Cuidemos los bienes públicos.pdf”
Sensibilización específica: Se llevaron a cabo sesiones de capacitación dirigidas a funcionarios y contratistas con bienes asignados por la entidad, abordando el uso responsable de estos activos y el manejo del aplicativo “Aplica”.
 Adjunto: “Capacitación a funcionarios de Almacén y Funcionarios SNS.pdf”
Estas actividades contribuyen al fortalecimiento de la cultura institucional en torno al uso responsable de los bienes públicos, promoviendo el conocimiento y cumplimiento de las obligaciones por parte de los servidores públicos y contratistas.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60.5" customHeight="1" thickBot="1">
      <c r="A63" s="673" t="str">
        <f>VLOOKUP(L12,Reporte!$N$5:$BZ$133,65,FALSE)</f>
        <v xml:space="preserve">​Durante el cuarto trimestre, el grupo de Recursos de la Dirección Administrativa, adscrito a la Secretaría General, adelantó las siguientes acciones orientadas al fortalecimiento del cuidado y control de los bienes públicos:Socialización institucional: Se realizó una socialización mediante correo electrónico, a todos los funcionarios de la Superintendencia Nacional de Salud, enfocada en la promoción del cuidado de los bienes públicos y la responsabilidad que implica su uso adecuado.
 Adjunto:  
1. "Cuidemos los bienes públicos.pdf
2.Evidencia pieza grafica "
 Sensibilización: Se llevó a cabo una sesión de sensibilización dirigidas a funcionarios y contratistas sobre el cuidado y control de los bienes de la entidad, abordando el uso responsable de estos activos y el manejo del aplicativo "Aplica".
Adjunto: Asistencia capacitación sobre el control y cuidado de los bienes Presentación Socialización Cuidado De Bienes
Estas actividades contribuyen al fortalecimiento de la cultura institucional en torno al uso responsable de los bienes públicos, promoviendo el conocimiento y cumplimiento de las obligaciones por parte de los servidores públicos y contratistas.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ejecutado un total de 8 socializaciones, con cumplimiento la meta para 2025.Sin embargo, se requiere el ajuste del reporte del mes de septiembre y diciembre, toda vez que según el cronograma del PAG este se mide de forma periódica sobre el número de actividades programadas que para el periodo de seguimiento y según las evidencias es 2 en todos los trimestres</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D6A2-5D69-45E9-9D9A-84499B8D327C}">
  <sheetPr codeName="Hoja12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BIENES Y SERVICIOS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acumulado de avance en la ejecución del cronograma del componente del Sistema de Gestión Ambiental-SGA</v>
      </c>
      <c r="D6" s="711"/>
      <c r="E6" s="711"/>
      <c r="F6" s="711"/>
      <c r="G6" s="711"/>
      <c r="H6" s="711"/>
      <c r="I6" s="711"/>
      <c r="J6" s="711"/>
      <c r="K6" s="711"/>
      <c r="L6" s="711"/>
      <c r="M6" s="711"/>
      <c r="N6" s="711"/>
      <c r="O6" s="791"/>
      <c r="P6" s="128"/>
    </row>
    <row r="7" spans="1:17" ht="58.5" customHeight="1">
      <c r="A7" s="789" t="s">
        <v>10</v>
      </c>
      <c r="B7" s="790"/>
      <c r="C7" s="711" t="str">
        <f>VLOOKUP(L12,Reporte!A5:M133,10,FALSE)</f>
        <v>Adquirir bienes y servicios, a través de las diferentes modalidades de contratación de acuerdo con la normatividad vigente y lo establecido en el Plan Anual de Adquisiciones, con el fin de proveer los recursos (humanos, tecnológicos, físicos, etc.) necesarios para el cumplimiento de la misión institucional y vigilar los requisitos establecidos para mejorar el desempeño ambiental en la Superintendencia Nacional de Salud.</v>
      </c>
      <c r="D7" s="711"/>
      <c r="E7" s="711"/>
      <c r="F7" s="711"/>
      <c r="G7" s="711"/>
      <c r="H7" s="711"/>
      <c r="I7" s="711"/>
      <c r="J7" s="711"/>
      <c r="K7" s="711"/>
      <c r="L7" s="711"/>
      <c r="M7" s="711"/>
      <c r="N7" s="711"/>
      <c r="O7" s="791"/>
      <c r="P7" s="128"/>
    </row>
    <row r="8" spans="1:17" ht="15.75">
      <c r="A8" s="792" t="s">
        <v>1594</v>
      </c>
      <c r="B8" s="774"/>
      <c r="C8" s="711" t="str">
        <f>VLOOKUP(L12,Reporte!$A$5:$N$133,13,FALSE)</f>
        <v>Formular e implementar los planes y programas del componente Sistema de Gestión Ambiental y Carbono Neutro en la Entidad.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6.25" customHeight="1">
      <c r="A10" s="794"/>
      <c r="B10" s="795"/>
      <c r="C10" s="711" t="str">
        <f>VLOOKUP(L12,Reporte!$N$5:$BN$133,4,FALSE)</f>
        <v>Número de actividades ejecutadas del cronograma del Sistema de Gestión Ambiental-SGA</v>
      </c>
      <c r="D10" s="711"/>
      <c r="E10" s="711"/>
      <c r="F10" s="799" t="str">
        <f>VLOOKUP(L12,Reporte!$N$5:$BN$133,6,FALSE)</f>
        <v>Este indicador mide el número el porcentaje acumulado en el avance de ejecucion en el sistema de gestion ambiental</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6.25" customHeight="1" thickBot="1">
      <c r="A12" s="796"/>
      <c r="B12" s="768"/>
      <c r="C12" s="710" t="str">
        <f>VLOOKUP(L12,Reporte!$N$5:$BN$133,5,FALSE)</f>
        <v>Número de actividades programadas del cronograma del Sistema de Gestión Ambiental - SGA</v>
      </c>
      <c r="D12" s="711"/>
      <c r="E12" s="711"/>
      <c r="F12" s="799"/>
      <c r="G12" s="799"/>
      <c r="H12" s="799"/>
      <c r="I12" s="799"/>
      <c r="J12" s="712" t="str">
        <f>VLOOKUP(L12,Reporte!$N$5:$BN$133,7,FALSE)</f>
        <v>Eficiencia</v>
      </c>
      <c r="K12" s="712"/>
      <c r="L12" s="713" t="s">
        <v>244</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16</v>
      </c>
      <c r="F22" s="139">
        <f>VLOOKUP(L12,Reporte!$N$5:$BN$133,33,FALSE)</f>
        <v>0</v>
      </c>
      <c r="G22" s="132">
        <f>VLOOKUP(L12,Reporte!$N$5:$BN$133,34,FALSE)</f>
        <v>0</v>
      </c>
      <c r="H22" s="139">
        <f>VLOOKUP(L12,Reporte!$N$5:$BN$133,35,FALSE)</f>
        <v>35</v>
      </c>
      <c r="I22" s="132">
        <f>VLOOKUP(L12,Reporte!$N$5:$BN$133,36,FALSE)</f>
        <v>0</v>
      </c>
      <c r="J22" s="139">
        <f>VLOOKUP(L12,Reporte!$N$5:$BN$133,37,FALSE)</f>
        <v>0</v>
      </c>
      <c r="K22" s="139">
        <f>VLOOKUP(L12,Reporte!$N$5:$BN$133,38,FALSE)</f>
        <v>50</v>
      </c>
      <c r="L22" s="139">
        <f>VLOOKUP(L12,Reporte!$N$5:$BN$133,39,FALSE)</f>
        <v>0</v>
      </c>
      <c r="M22" s="139">
        <f>VLOOKUP(L12,Reporte!$N$5:$BN$133,40,FALSE)</f>
        <v>0</v>
      </c>
      <c r="N22" s="133">
        <f>VLOOKUP(L12,Reporte!$N$5:$BN$133,41,FALSE)</f>
        <v>63</v>
      </c>
      <c r="O22" s="133">
        <f>MAX(C22:N22)</f>
        <v>63</v>
      </c>
      <c r="P22" s="128"/>
    </row>
    <row r="23" spans="1:17" ht="16.5" thickBot="1">
      <c r="A23" s="690" t="s">
        <v>76</v>
      </c>
      <c r="B23" s="691"/>
      <c r="C23" s="140">
        <f>VLOOKUP(L12,Reporte!$N$5:$BN$133,42,FALSE)</f>
        <v>0</v>
      </c>
      <c r="D23" s="140">
        <f>VLOOKUP(L12,Reporte!$N$5:$BN$133,43,FALSE)</f>
        <v>0</v>
      </c>
      <c r="E23" s="140">
        <f>VLOOKUP(L12,Reporte!$N$5:$BN$133,44,FALSE)</f>
        <v>63</v>
      </c>
      <c r="F23" s="140">
        <f>VLOOKUP(L12,Reporte!$N$5:$BN$133,45,FALSE)</f>
        <v>0</v>
      </c>
      <c r="G23" s="140">
        <f>VLOOKUP(L12,Reporte!$N$5:$BN$133,46,FALSE)</f>
        <v>0</v>
      </c>
      <c r="H23" s="140">
        <f>VLOOKUP(L12,Reporte!$N$5:$BN$133,47,FALSE)</f>
        <v>63</v>
      </c>
      <c r="I23" s="140">
        <f>VLOOKUP(L12,Reporte!$N$5:$BN$133,48,FALSE)</f>
        <v>0</v>
      </c>
      <c r="J23" s="140">
        <f>VLOOKUP(L12,Reporte!$N$5:$BN$133,49,FALSE)</f>
        <v>0</v>
      </c>
      <c r="K23" s="140">
        <f>VLOOKUP(L12,Reporte!$N$5:$BN$133,50,FALSE)</f>
        <v>63</v>
      </c>
      <c r="L23" s="140">
        <f>VLOOKUP(L12,Reporte!$N$5:$BN$133,51,FALSE)</f>
        <v>0</v>
      </c>
      <c r="M23" s="140">
        <f>VLOOKUP(L12,Reporte!$N$5:$BN$133,52,FALSE)</f>
        <v>0</v>
      </c>
      <c r="N23" s="141">
        <f>VLOOKUP(L12,Reporte!$N$5:$BN$133,53,FALSE)</f>
        <v>63</v>
      </c>
      <c r="O23" s="133">
        <f>MAX(C23:N23)</f>
        <v>63</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0.25396825396825395</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0.55555555555555558</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0.79365079365079361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66" customHeight="1" thickBot="1">
      <c r="A45" s="682" t="str">
        <f>VLOOKUP(L12,Reporte!$N$5:$BZ$133,56,FALSE)</f>
        <v xml:space="preserve">Los funcionarios encargados del componente Ambiental del  Grupo de Recursos Físicos, realizaron el seguimiento y cumplimiento oportuno de las actividades generadas en el cronograma de Hitos ambientales del Sistema de Gestión Ambiental con corte a marzo de 2025, realizando todas las actividades programadas, con el fin de mejorar el rendimiento del Sistema de Gestión Ambiental basado en la ISO 14001:2015. Lo anteior, con el fin de posesionar el sistema de Gestión Ambiental en busca de adherir conocimiento y madures del mismo. 
Se generaron las evidencias correspondientes de las actividades ejecutadas del cronograma.
Se ejecutaron las 16 actividades  programadas generando un avance del 25%  conforme planeación establecida en el cronograma.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66" customHeight="1" thickBot="1">
      <c r="A51" s="673" t="str">
        <f>VLOOKUP(L12,Reporte!$N$5:$BZ$133,59,FALSE)</f>
        <v xml:space="preserve">Los funcionarios encargados del componente Ambiental del  Grupo de Recursos Físicos, realizaron el seguimiento y cumplimiento oportuno de las actividades generadas en el cronograma de Hitos ambientales del Sistema de Gestión Ambiental con corte a junio de 2025, realizando todas las actividades programadas, con el fin de mejorar el rendimiento del Sistema de Gestión Ambiental basado en la ISO 14001:2015. Lo anteior, con el fin de posesionar el sistema de Gestión Ambiental en busca de adherir conocimiento y madures del mismo.    Se generaron las evidencias correspondientes de las actividades ejecutadas del cronograma, las mismas se cargan en el aplicativo destinado.
Se ejecutaron las 19 actividades  programadas generando un avance total del 55%  conforme planeación establecida en el cronograma.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​De 63 actividades programadas se realizaron 15 en el trimestre, lo que da un cumplimiento acumulado del 79% frente a la meta programada de 50 en total.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93" customHeight="1" thickBot="1">
      <c r="A63" s="673" t="str">
        <f>VLOOKUP(L12,Reporte!$N$5:$BZ$133,65,FALSE)</f>
        <v xml:space="preserve">​Los funcionarios responsables del componente ambiental del Grupo de Recursos Físicos realizaron el seguimiento y aseguraron el cumplimiento oportuno de las actividades establecidas en el cronograma de hitos ambientales del Sistema de Gestión Ambiental, con corte a diciembre de 2025. Todas las actividades programadas fueron ejecutadas con el objetivo de optimizar el desempeño del Sistema de Gestión Ambiental, conforme a los lineamientos de la norma ISO 14001:2015.
Estas acciones buscan fortalecer la implementación del Sistema de Gestión Ambiental, promoviendo su consolidación y madurez dentro de la organización. Se generaron y cargaron en el aplicativo correspondiente las evidencias de cada actividad ejecutada. En total, se llevaron a cabo las 13 actividades previstas, alcanzando un avance del 100% según la planeación establecida en el cronograma para un total de 63 actividades.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realizo el total de 63 actividades previstas en el Cronograma del SGA con 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FD1A-2D25-4964-A16C-D0FE54180EB3}">
  <sheetPr codeName="Hoja15"/>
  <dimension ref="A1:I66"/>
  <sheetViews>
    <sheetView zoomScaleNormal="100" workbookViewId="0">
      <pane ySplit="9" topLeftCell="A10" activePane="bottomLeft" state="frozen"/>
      <selection activeCell="D16" sqref="D16"/>
      <selection pane="bottomLeft"/>
    </sheetView>
  </sheetViews>
  <sheetFormatPr baseColWidth="10" defaultColWidth="0" defaultRowHeight="0"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ht="14.25">
      <c r="A1" s="36"/>
      <c r="B1" s="36"/>
      <c r="C1" s="51"/>
      <c r="D1" s="36"/>
      <c r="E1" s="36"/>
      <c r="F1" s="36"/>
      <c r="G1" s="36"/>
    </row>
    <row r="2" spans="1:7" ht="14.25">
      <c r="A2" s="36"/>
      <c r="B2" s="36"/>
      <c r="C2" s="51"/>
      <c r="D2" s="36"/>
      <c r="E2" s="36"/>
      <c r="F2" s="36"/>
      <c r="G2" s="36"/>
    </row>
    <row r="3" spans="1:7" ht="14.25">
      <c r="A3" s="36"/>
      <c r="B3" s="36"/>
      <c r="C3" s="51"/>
      <c r="D3" s="36"/>
      <c r="E3" s="36"/>
      <c r="F3" s="36"/>
      <c r="G3" s="36"/>
    </row>
    <row r="4" spans="1:7" ht="14.25">
      <c r="A4" s="36"/>
      <c r="B4" s="36"/>
      <c r="C4" s="51"/>
      <c r="D4" s="36"/>
      <c r="E4" s="36"/>
      <c r="F4" s="36"/>
      <c r="G4" s="36"/>
    </row>
    <row r="5" spans="1:7" ht="15" thickBot="1">
      <c r="A5" s="36"/>
      <c r="B5" s="36"/>
      <c r="C5" s="51"/>
      <c r="D5" s="36"/>
      <c r="E5" s="36"/>
      <c r="F5" s="36"/>
      <c r="G5" s="36"/>
    </row>
    <row r="6" spans="1:7" ht="14.25">
      <c r="A6" s="36"/>
      <c r="B6" s="38"/>
      <c r="C6" s="52"/>
      <c r="D6" s="39"/>
      <c r="E6" s="40"/>
      <c r="F6" s="36"/>
      <c r="G6" s="36"/>
    </row>
    <row r="7" spans="1:7" ht="14.25">
      <c r="A7" s="36"/>
      <c r="B7" s="41"/>
      <c r="C7" s="658" t="s">
        <v>317</v>
      </c>
      <c r="D7" s="658"/>
      <c r="E7" s="42"/>
      <c r="F7" s="36"/>
      <c r="G7" s="36"/>
    </row>
    <row r="8" spans="1:7" ht="20.25" customHeight="1">
      <c r="A8" s="36"/>
      <c r="B8" s="41"/>
      <c r="C8" s="658"/>
      <c r="D8" s="658"/>
      <c r="E8" s="42"/>
      <c r="F8" s="36"/>
      <c r="G8" s="36"/>
    </row>
    <row r="9" spans="1:7" ht="14.25">
      <c r="A9" s="36"/>
      <c r="B9" s="41"/>
      <c r="C9" s="51"/>
      <c r="D9" s="36"/>
      <c r="E9" s="42"/>
      <c r="F9" s="36"/>
      <c r="G9" s="36"/>
    </row>
    <row r="10" spans="1:7" ht="28.5">
      <c r="A10" s="36"/>
      <c r="B10" s="41"/>
      <c r="C10" s="56" t="s">
        <v>509</v>
      </c>
      <c r="D10" s="60" t="s">
        <v>775</v>
      </c>
      <c r="E10" s="42"/>
      <c r="F10" s="36"/>
      <c r="G10" s="36"/>
    </row>
    <row r="11" spans="1:7" ht="28.5">
      <c r="A11" s="36"/>
      <c r="B11" s="41"/>
      <c r="C11" s="56" t="s">
        <v>471</v>
      </c>
      <c r="D11" s="60" t="s">
        <v>783</v>
      </c>
      <c r="E11" s="42"/>
      <c r="F11" s="36"/>
      <c r="G11" s="36"/>
    </row>
    <row r="12" spans="1:7" ht="57">
      <c r="A12" s="36"/>
      <c r="B12" s="41"/>
      <c r="C12" s="56" t="s">
        <v>277</v>
      </c>
      <c r="D12" s="60" t="s">
        <v>1377</v>
      </c>
      <c r="E12" s="42"/>
      <c r="F12" s="36"/>
      <c r="G12" s="36"/>
    </row>
    <row r="13" spans="1:7" ht="71.25">
      <c r="A13" s="36"/>
      <c r="B13" s="41"/>
      <c r="C13" s="56" t="s">
        <v>282</v>
      </c>
      <c r="D13" s="60" t="s">
        <v>1382</v>
      </c>
      <c r="E13" s="42"/>
      <c r="F13" s="36"/>
      <c r="G13" s="36"/>
    </row>
    <row r="14" spans="1:7" ht="28.5">
      <c r="A14" s="36"/>
      <c r="B14" s="41"/>
      <c r="C14" s="56" t="s">
        <v>475</v>
      </c>
      <c r="D14" s="60" t="s">
        <v>1389</v>
      </c>
      <c r="E14" s="42"/>
      <c r="F14" s="36"/>
      <c r="G14" s="36"/>
    </row>
    <row r="15" spans="1:7" ht="28.5">
      <c r="A15" s="36"/>
      <c r="B15" s="41"/>
      <c r="C15" s="56" t="s">
        <v>324</v>
      </c>
      <c r="D15" s="60" t="s">
        <v>326</v>
      </c>
      <c r="E15" s="42"/>
      <c r="F15" s="36"/>
      <c r="G15" s="36"/>
    </row>
    <row r="16" spans="1:7" s="36" customFormat="1" ht="28.5">
      <c r="B16" s="41"/>
      <c r="C16" s="56" t="s">
        <v>336</v>
      </c>
      <c r="D16" s="60" t="s">
        <v>338</v>
      </c>
      <c r="E16" s="42"/>
    </row>
    <row r="17" spans="1:6" ht="42.75">
      <c r="A17" s="36"/>
      <c r="B17" s="41"/>
      <c r="C17" s="56" t="s">
        <v>342</v>
      </c>
      <c r="D17" s="60" t="s">
        <v>1403</v>
      </c>
      <c r="E17" s="42"/>
      <c r="F17" s="36"/>
    </row>
    <row r="18" spans="1:6" ht="28.5">
      <c r="A18" s="36"/>
      <c r="B18" s="41"/>
      <c r="C18" s="56" t="s">
        <v>513</v>
      </c>
      <c r="D18" s="60" t="s">
        <v>712</v>
      </c>
      <c r="E18" s="42"/>
      <c r="F18" s="36"/>
    </row>
    <row r="19" spans="1:6" ht="28.5">
      <c r="A19" s="36"/>
      <c r="B19" s="41"/>
      <c r="C19" s="56" t="s">
        <v>515</v>
      </c>
      <c r="D19" s="60" t="s">
        <v>735</v>
      </c>
      <c r="E19" s="42"/>
      <c r="F19" s="36"/>
    </row>
    <row r="20" spans="1:6" ht="42.75">
      <c r="A20" s="36"/>
      <c r="B20" s="41"/>
      <c r="C20" s="56" t="s">
        <v>318</v>
      </c>
      <c r="D20" s="60" t="s">
        <v>320</v>
      </c>
      <c r="E20" s="42"/>
      <c r="F20" s="36"/>
    </row>
    <row r="21" spans="1:6" ht="42.75">
      <c r="A21" s="36"/>
      <c r="B21" s="41"/>
      <c r="C21" s="56" t="s">
        <v>330</v>
      </c>
      <c r="D21" s="60" t="s">
        <v>332</v>
      </c>
      <c r="E21" s="42"/>
      <c r="F21" s="36"/>
    </row>
    <row r="22" spans="1:6" ht="15" thickBot="1">
      <c r="A22" s="36"/>
      <c r="B22" s="43"/>
      <c r="C22" s="54"/>
      <c r="D22" s="67"/>
      <c r="E22" s="45"/>
      <c r="F22" s="36"/>
    </row>
    <row r="23" spans="1:6" ht="14.25" customHeight="1">
      <c r="A23" s="36"/>
      <c r="B23" s="36"/>
      <c r="C23" s="51"/>
      <c r="E23" s="36"/>
      <c r="F23" s="36"/>
    </row>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sheetData>
  <mergeCells count="1">
    <mergeCell ref="C7:D8"/>
  </mergeCells>
  <hyperlinks>
    <hyperlink ref="C10" location="'GJ13'!Área_de_impresión" display="GJ13" xr:uid="{8603A2F6-EEF4-4409-B5E5-BF2E92A5B488}"/>
    <hyperlink ref="C13" location="'CT16'!Área_de_impresión" display="CT16" xr:uid="{FFA2EE02-0C24-4124-9A07-B706E3B75D1E}"/>
    <hyperlink ref="C14" location="'GJ04'!Área_de_impresión" display="GJ04" xr:uid="{35A5410E-91D4-4053-AC75-68EE9A8F741C}"/>
    <hyperlink ref="C15" location="'GJ05'!Área_de_impresión" display="GJ05" xr:uid="{E9C0A159-D55F-4812-9546-D53EDCAA83FF}"/>
    <hyperlink ref="C16" location="'GJ06'!Área_de_impresión" display="GJ06" xr:uid="{273472A2-88DD-4CCA-98FE-E5EAAD4C38DF}"/>
    <hyperlink ref="C17" location="'GJ07'!Área_de_impresión" display="GJ07" xr:uid="{C361430B-8265-444A-9B08-CE1BDA364EB8}"/>
    <hyperlink ref="C18" location="'GJ14'!Área_de_impresión" display="GJ14" xr:uid="{12E959F2-82BD-49DC-8820-749436233029}"/>
    <hyperlink ref="C20" location="'GJ12'!Área_de_impresión" display="GJ12" xr:uid="{542744C1-FBB9-48B7-98E1-F39F1C4898C3}"/>
    <hyperlink ref="C19" location="'GJ15'!Área_de_impresión" display="GJ15" xr:uid="{E80ABC5C-6DF7-419B-8A5C-23A5AFCD5BC8}"/>
    <hyperlink ref="C21" location="'GJ10'!Área_de_impresión" display="GJ10" xr:uid="{8830FE43-A92B-4F4B-AA8B-58532DD5062E}"/>
    <hyperlink ref="C11" location="'GJ02'!Área_de_impresión" display="GJ02" xr:uid="{8CF05E6B-239C-4784-B93A-4850722484A5}"/>
    <hyperlink ref="C12" location="'CT15'!Área_de_impresión" display="CT15" xr:uid="{5DC91E24-F4F3-4AF3-A47E-B487E5DC222E}"/>
  </hyperlinks>
  <pageMargins left="0.7" right="0.7" top="0.75" bottom="0.75" header="0.3" footer="0.3"/>
  <pageSetup paperSize="9" scale="76" orientation="portrait" r:id="rId1"/>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0ED61-F8C7-4DA0-B48A-FC1D94CC8DBE}">
  <sheetPr codeName="Hoja129"/>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BIENES Y SERVICIOS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contratos celebrados a los cuales se les incorporó las prácticas de Abastecimiento Estratégico dirigidas a la promoción de la micro, pequeña y mediana empresa; exceptuando la contratación a través de la Tienda Virtual del Estado Colombiano y la Contratación Directa. </v>
      </c>
      <c r="D6" s="711"/>
      <c r="E6" s="711"/>
      <c r="F6" s="711"/>
      <c r="G6" s="711"/>
      <c r="H6" s="711"/>
      <c r="I6" s="711"/>
      <c r="J6" s="711"/>
      <c r="K6" s="711"/>
      <c r="L6" s="711"/>
      <c r="M6" s="711"/>
      <c r="N6" s="711"/>
      <c r="O6" s="791"/>
      <c r="P6" s="128"/>
    </row>
    <row r="7" spans="1:17" ht="58.5" customHeight="1">
      <c r="A7" s="789" t="s">
        <v>10</v>
      </c>
      <c r="B7" s="790"/>
      <c r="C7" s="711" t="str">
        <f>VLOOKUP(L12,Reporte!A5:M133,10,FALSE)</f>
        <v>Adquirir bienes y servicios, a través de las diferentes modalidades de contratación de acuerdo con la normatividad vigente y lo establecido en el Plan Anual de Adquisiciones, con el fin de proveer los recursos (humanos, tecnológicos, físicos, etc.) necesarios para el cumplimiento de la misión institucional y vigilar los requisitos establecidos para mejorar el desempeño ambiental en la Superintendencia Nacional de Salud.</v>
      </c>
      <c r="D7" s="711"/>
      <c r="E7" s="711"/>
      <c r="F7" s="711"/>
      <c r="G7" s="711"/>
      <c r="H7" s="711"/>
      <c r="I7" s="711"/>
      <c r="J7" s="711"/>
      <c r="K7" s="711"/>
      <c r="L7" s="711"/>
      <c r="M7" s="711"/>
      <c r="N7" s="711"/>
      <c r="O7" s="791"/>
      <c r="P7" s="128"/>
    </row>
    <row r="8" spans="1:17" ht="44.25" customHeight="1">
      <c r="A8" s="792" t="s">
        <v>1594</v>
      </c>
      <c r="B8" s="774"/>
      <c r="C8" s="711" t="str">
        <f>VLOOKUP(L12,Reporte!$A$5:$N$133,13,FALSE)</f>
        <v>Incorporar en el estudio previo que soporta la contratación, un estudio del sector que de cuenta de las prácticas de Abastecimiento Estratégico dirigidas a la promoción de la micro, pequeña y mediana empresa; exceptuando la contratación a través de la Tienda Virtual del Estado Colombiano y la Contratación Directa.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96.75" customHeight="1">
      <c r="A10" s="794"/>
      <c r="B10" s="795"/>
      <c r="C10" s="711" t="str">
        <f>VLOOKUP(L12,Reporte!$N$5:$BN$133,4,FALSE)</f>
        <v xml:space="preserve">Cantidad de contratos celebrados en donde se incorporó las prácticas de Abastecimiento Estratégico dirigidas a la promoción de la micro, pequeña y mediana empresa </v>
      </c>
      <c r="D10" s="711"/>
      <c r="E10" s="711"/>
      <c r="F10" s="799" t="str">
        <f>VLOOKUP(L12,Reporte!$N$5:$BN$133,6,FALSE)</f>
        <v>Este indicador mide el porcentaje de procesos de selección de practicasde abastecimiento.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86.25" customHeight="1" thickBot="1">
      <c r="A12" s="796"/>
      <c r="B12" s="768"/>
      <c r="C12" s="710" t="str">
        <f>VLOOKUP(L12,Reporte!$N$5:$BN$133,5,FALSE)</f>
        <v xml:space="preserve"> Cantidad de contratos celebrados; exceptuando la contratación a través de la Tienda Virtual del Estado Colombiano y la Contratación Directa, por el 100%</v>
      </c>
      <c r="D12" s="711"/>
      <c r="E12" s="711"/>
      <c r="F12" s="799"/>
      <c r="G12" s="799"/>
      <c r="H12" s="799"/>
      <c r="I12" s="799"/>
      <c r="J12" s="712" t="str">
        <f>VLOOKUP(L12,Reporte!$N$5:$BN$133,7,FALSE)</f>
        <v>Efectividad</v>
      </c>
      <c r="K12" s="712"/>
      <c r="L12" s="713" t="s">
        <v>1513</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v>
      </c>
      <c r="O22" s="133">
        <f>SUM(C22:N22)</f>
        <v>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v>
      </c>
      <c r="O23" s="133">
        <f>SUM(C23:N23)</f>
        <v>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45.5" customHeight="1" thickBot="1">
      <c r="A51" s="673" t="str">
        <f>VLOOKUP(L12,Reporte!$N$5:$BZ$133,59,FALSE)</f>
        <v xml:space="preserve">​ENERO: En el periodo indicado solo se suscribieron contratos en modalidad directa, por lo que no se reportan resultados para dicho indicador.
FEBRERO: En el periodo indicado se suscribió un (1) contrato por Mínima Cuantía al cual se le aplico Abastecimiento estratégico dirigidas a la promoción de la micro, pequeña y mediana empresa. 
MARZO: En el periodo indicado se suscribieron cinco (5) contratos por Mínima Cuantía a los cuales se le aplico Abastecimiento estratégico dirigidas a la promoción de la micro, pequeña y mediana empresa. 
ABRIL: En el periodo indicado se suscribieron (17) contratos, distribuidos en diferentes modalidades de contratación, entre ellas Selección Abreviada de Subasta Inversa y Contratación Directa, a los cuales se les aplicó el esquema de Abastecimiento Estratégico, dirigido a la promoción de la micro, pequeña y mediana empresa. 
MAYO: En el periodo indicado se suscribieron siete (7) contratos, distribuidos en diversas modalidades de contratación, entre ellas Mínima Cuantía (4), Selección Abreviada Acuerdo Marco de Precios (1), Selección Abreviada de Subasta Inversa (1) y Licitación Pública (1). A estos contratos se les aplicó el esquema de Abastecimiento Estratégico, orientado a la promoción de la micro, pequeña y mediana empresa
JUNIO: En el periodo indicado se suscribieron un (1) contrato por medio de la modalidad de Mínima Cuantía al cual se le aplicó el esquema de Abastecimiento Estratégico, dirigido a la promoción de la micro, pequeña y mediana empresa.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La direccion de contratacion tramito procesos de contratacion donde se incorporaron las prácticas de Abastecimiento Estratégico orientadas a la promoción de la micro, pequeña y mediana empresa (MiPymes), con excepción de aquellos adelantados a través de la Tienda Virtual del Estado Colombiano y de los procesos de Contratación Directa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Si bien el área indica el cumplimiento de la meta anual para 2025, se sugiere que el reporte de este indicador se realice de forma numérica en el SharePoint de PAG 2025.Según el reporte cualitativo indican un total de 38 contratos incorporó las prácticas de Abastecimiento Estratégico dirigidas a la promoción de la micro, pequeña y mediana empresa, se debería tener el valor de referencia del PAA, que indica cuales de los contratos se les aplicara practicas de abastecimiento</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BAB16-351C-40A9-93A5-1509B856D64F}">
  <sheetPr codeName="Hoja13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BIENES Y SERVICIOS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procesos tramitados a través modalidad de instrumentos de compra por catálogo derivados de la celebración de acuerdos marco de precios.</v>
      </c>
      <c r="D6" s="711"/>
      <c r="E6" s="711"/>
      <c r="F6" s="711"/>
      <c r="G6" s="711"/>
      <c r="H6" s="711"/>
      <c r="I6" s="711"/>
      <c r="J6" s="711"/>
      <c r="K6" s="711"/>
      <c r="L6" s="711"/>
      <c r="M6" s="711"/>
      <c r="N6" s="711"/>
      <c r="O6" s="791"/>
      <c r="P6" s="128"/>
    </row>
    <row r="7" spans="1:17" ht="58.5" customHeight="1">
      <c r="A7" s="789" t="s">
        <v>10</v>
      </c>
      <c r="B7" s="790"/>
      <c r="C7" s="711" t="str">
        <f>VLOOKUP(L12,Reporte!A5:M133,10,FALSE)</f>
        <v>Adquirir bienes y servicios, a través de las diferentes modalidades de contratación de acuerdo con la normatividad vigente y lo establecido en el Plan Anual de Adquisiciones, con el fin de proveer los recursos (humanos, tecnológicos, físicos, etc.) necesarios para el cumplimiento de la misión institucional y vigilar los requisitos establecidos para mejorar el desempeño ambiental en la Superintendencia Nacional de Salud.</v>
      </c>
      <c r="D7" s="711"/>
      <c r="E7" s="711"/>
      <c r="F7" s="711"/>
      <c r="G7" s="711"/>
      <c r="H7" s="711"/>
      <c r="I7" s="711"/>
      <c r="J7" s="711"/>
      <c r="K7" s="711"/>
      <c r="L7" s="711"/>
      <c r="M7" s="711"/>
      <c r="N7" s="711"/>
      <c r="O7" s="791"/>
      <c r="P7" s="128"/>
    </row>
    <row r="8" spans="1:17" ht="32.25" customHeight="1">
      <c r="A8" s="792" t="s">
        <v>1594</v>
      </c>
      <c r="B8" s="774"/>
      <c r="C8" s="711" t="str">
        <f>VLOOKUP(L12,Reporte!$A$5:$N$133,13,FALSE)</f>
        <v xml:space="preserve">Utilizar los instrumentos de compra por catálogo derivados de la celebración de acuerdos marco de precios para la adquisición de bienes y servicios que se encuentren en la Tienda Virtual del Estado Colombiano.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Cantidad de órdenes de compra celebradas </v>
      </c>
      <c r="D10" s="711"/>
      <c r="E10" s="711"/>
      <c r="F10" s="799" t="str">
        <f>VLOOKUP(L12,Reporte!$N$5:$BN$133,6,FALSE)</f>
        <v>Este indicador mide la cantidad de procesos de los instrumentos de agregación de demanda.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7" customHeight="1" thickBot="1">
      <c r="A12" s="796"/>
      <c r="B12" s="768"/>
      <c r="C12" s="710" t="str">
        <f>VLOOKUP(L12,Reporte!$N$5:$BN$133,5,FALSE)</f>
        <v xml:space="preserve"> cantidad de solicitudes de cotización publicadas a través de la Tienda Virtual del Estado Colombiano, por el 100%</v>
      </c>
      <c r="D12" s="711"/>
      <c r="E12" s="711"/>
      <c r="F12" s="799"/>
      <c r="G12" s="799"/>
      <c r="H12" s="799"/>
      <c r="I12" s="799"/>
      <c r="J12" s="712" t="str">
        <f>VLOOKUP(L12,Reporte!$N$5:$BN$133,7,FALSE)</f>
        <v>Eficiencia</v>
      </c>
      <c r="K12" s="712"/>
      <c r="L12" s="713" t="s">
        <v>1522</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v>
      </c>
      <c r="O22" s="133">
        <f>SUM(C22:N22)</f>
        <v>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v>
      </c>
      <c r="O23" s="133">
        <f>SUM(C23:N23)</f>
        <v>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01.25" customHeight="1" thickBot="1">
      <c r="A51" s="673" t="str">
        <f>VLOOKUP(L12,Reporte!$N$5:$BZ$133,59,FALSE)</f>
        <v xml:space="preserve">​ENERO: En el periodo indicado solo se suscribieron contratos en modalidad directa, por lo que no se reportan resultados para este indicador. 
FEBRERO: En el periodo indicado no se suscribieron contratos a través de la tienda virtual del estado colombiano - TVEC, por lo tanto, no se reportan resultados para este indicador. 
MARZO: SELECCION ABREVIADA ACUERDO MARCO DE PRECIOS 
Contrato No. 71 de 2025, cuyo objeto es: ADQUIRIR LOS SERVICIOS DE NUBE PÚBLICA MICROSOFT AZURE PARA LA SUPERINTENDENCIA NACIONAL DE SALUD. No. S Orden de compra 143254 
ABRIL: En el periodo indicado no se suscribieron contratos a través de la tienda virtual del estado colombiano - TVEC, por lo tanto, no se reportan resultados para este indicador. 
MAYO: SELECCION ABREVIADA ACUERDO MARCO DE PRECIOS 
Contrato No. 96 de 2025, cuyo objeto es: Adquirir los certificados de firma digital con token virtual para la Superintendencia Nacional de Salud  
JUNIO: E n el periodo indicado no se suscribieron contratos a través de la tienda virtual del estado colombiano - TVEC, por lo tanto, no se reportan resultados para este indicador.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La Dirección de Contratación tramitó procesos mediante instrumentos de compra por catálogo derivados de acuerdos marco de precios, utilizando la Tienda Virtual del Estado Colombiano exclusivamente para la adquisición de bienes y servicios cuyos acuerdos se encontraban vigentes.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 xml:space="preserve">OBSERVACIONES: Al interpretar el análisis cualitativo se evidencia un avance del 100% con respecto a la meta anual 2025.Sin embargo, el reporte de la totalidad de contratos suscritos por la Tienda Virtual no es evidente. Según los soportes se realizaron 13 ordenes de compra en 2025 a través de 6 contratos en los que se incorporó las prácticas de Abastecimiento Estratégico dirigidas a la promoción de la micro, pequeña y mediana empresa; </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42475-ACE0-40C4-8C32-D83562F39F9B}">
  <sheetPr codeName="Hoja131"/>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BIENES Y SERVICIOS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Seguimientos al Plan Anual de Adquisiciones</v>
      </c>
      <c r="D6" s="711"/>
      <c r="E6" s="711"/>
      <c r="F6" s="711"/>
      <c r="G6" s="711"/>
      <c r="H6" s="711"/>
      <c r="I6" s="711"/>
      <c r="J6" s="711"/>
      <c r="K6" s="711"/>
      <c r="L6" s="711"/>
      <c r="M6" s="711"/>
      <c r="N6" s="711"/>
      <c r="O6" s="791"/>
      <c r="P6" s="128"/>
    </row>
    <row r="7" spans="1:17" ht="58.5" customHeight="1">
      <c r="A7" s="789" t="s">
        <v>10</v>
      </c>
      <c r="B7" s="790"/>
      <c r="C7" s="711" t="str">
        <f>VLOOKUP(L12,Reporte!A5:M133,10,FALSE)</f>
        <v>Adquirir bienes y servicios, a través de las diferentes modalidades de contratación de acuerdo con la normatividad vigente y lo establecido en el Plan Anual de Adquisiciones, con el fin de proveer los recursos (humanos, tecnológicos, físicos, etc.) necesarios para el cumplimiento de la misión institucional y vigilar los requisitos establecidos para mejorar el desempeño ambiental en la Superintendencia Nacional de Salud.</v>
      </c>
      <c r="D7" s="711"/>
      <c r="E7" s="711"/>
      <c r="F7" s="711"/>
      <c r="G7" s="711"/>
      <c r="H7" s="711"/>
      <c r="I7" s="711"/>
      <c r="J7" s="711"/>
      <c r="K7" s="711"/>
      <c r="L7" s="711"/>
      <c r="M7" s="711"/>
      <c r="N7" s="711"/>
      <c r="O7" s="791"/>
      <c r="P7" s="128"/>
    </row>
    <row r="8" spans="1:17" ht="15.75">
      <c r="A8" s="792" t="s">
        <v>1594</v>
      </c>
      <c r="B8" s="774"/>
      <c r="C8" s="711" t="str">
        <f>VLOOKUP(L12,Reporte!$A$5:$N$133,13,FALSE)</f>
        <v>Realizar el seguimiento a la ejecución del Plan Anual de Adquisiciones a través de informe trimestral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seguimientos programados en el Plan Anual de Adquisiciones</v>
      </c>
      <c r="D10" s="711"/>
      <c r="E10" s="711"/>
      <c r="F10" s="799" t="str">
        <f>VLOOKUP(L12,Reporte!$N$5:$BN$133,6,FALSE)</f>
        <v>Este indicador mide el seguimiento a la gestión contractual</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251</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12</v>
      </c>
      <c r="D15" s="826"/>
      <c r="E15" s="827"/>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3</v>
      </c>
      <c r="F22" s="139">
        <f>VLOOKUP(L12,Reporte!$N$5:$BN$133,33,FALSE)</f>
        <v>0</v>
      </c>
      <c r="G22" s="132">
        <f>VLOOKUP(L12,Reporte!$N$5:$BN$133,34,FALSE)</f>
        <v>0</v>
      </c>
      <c r="H22" s="139">
        <f>VLOOKUP(L12,Reporte!$N$5:$BN$133,35,FALSE)</f>
        <v>3</v>
      </c>
      <c r="I22" s="132">
        <f>VLOOKUP(L12,Reporte!$N$5:$BN$133,36,FALSE)</f>
        <v>0</v>
      </c>
      <c r="J22" s="139">
        <f>VLOOKUP(L12,Reporte!$N$5:$BN$133,37,FALSE)</f>
        <v>0</v>
      </c>
      <c r="K22" s="139">
        <f>VLOOKUP(L12,Reporte!$N$5:$BN$133,38,FALSE)</f>
        <v>3</v>
      </c>
      <c r="L22" s="139">
        <f>VLOOKUP(L12,Reporte!$N$5:$BN$133,39,FALSE)</f>
        <v>0</v>
      </c>
      <c r="M22" s="139">
        <f>VLOOKUP(L12,Reporte!$N$5:$BN$133,40,FALSE)</f>
        <v>0</v>
      </c>
      <c r="N22" s="133">
        <f>VLOOKUP(L12,Reporte!$N$5:$BN$133,41,FALSE)</f>
        <v>3</v>
      </c>
      <c r="O22" s="133">
        <f>SUM(C22:N22)</f>
        <v>12</v>
      </c>
      <c r="P22" s="128"/>
    </row>
    <row r="23" spans="1:17" ht="16.5" thickBot="1">
      <c r="A23" s="690" t="s">
        <v>76</v>
      </c>
      <c r="B23" s="691"/>
      <c r="C23" s="140">
        <f>VLOOKUP(L12,Reporte!$N$5:$BN$133,42,FALSE)</f>
        <v>0</v>
      </c>
      <c r="D23" s="140">
        <f>VLOOKUP(L12,Reporte!$N$5:$BN$133,43,FALSE)</f>
        <v>0</v>
      </c>
      <c r="E23" s="140">
        <f>VLOOKUP(L12,Reporte!$N$5:$BN$133,44,FALSE)</f>
        <v>3</v>
      </c>
      <c r="F23" s="140">
        <f>VLOOKUP(L12,Reporte!$N$5:$BN$133,45,FALSE)</f>
        <v>0</v>
      </c>
      <c r="G23" s="140">
        <f>VLOOKUP(L12,Reporte!$N$5:$BN$133,46,FALSE)</f>
        <v>0</v>
      </c>
      <c r="H23" s="140">
        <f>VLOOKUP(L12,Reporte!$N$5:$BN$133,47,FALSE)</f>
        <v>3</v>
      </c>
      <c r="I23" s="140">
        <f>VLOOKUP(L12,Reporte!$N$5:$BN$133,48,FALSE)</f>
        <v>0</v>
      </c>
      <c r="J23" s="140">
        <f>VLOOKUP(L12,Reporte!$N$5:$BN$133,49,FALSE)</f>
        <v>0</v>
      </c>
      <c r="K23" s="140">
        <f>VLOOKUP(L12,Reporte!$N$5:$BN$133,50,FALSE)</f>
        <v>3</v>
      </c>
      <c r="L23" s="140">
        <f>VLOOKUP(L12,Reporte!$N$5:$BN$133,51,FALSE)</f>
        <v>0</v>
      </c>
      <c r="M23" s="140">
        <f>VLOOKUP(L12,Reporte!$N$5:$BN$133,52,FALSE)</f>
        <v>0</v>
      </c>
      <c r="N23" s="141">
        <f>VLOOKUP(L12,Reporte!$N$5:$BN$133,53,FALSE)</f>
        <v>3</v>
      </c>
      <c r="O23" s="133">
        <f>SUM(C23:N23)</f>
        <v>12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12</v>
      </c>
      <c r="D26" s="161">
        <f>+C26*0.98</f>
        <v>11.76</v>
      </c>
      <c r="E26" s="147"/>
      <c r="F26" s="147"/>
      <c r="G26" s="685"/>
      <c r="H26" s="685"/>
      <c r="I26" s="699"/>
      <c r="J26" s="699"/>
      <c r="K26" s="699"/>
      <c r="L26" s="685"/>
      <c r="M26" s="685"/>
      <c r="N26" s="685"/>
      <c r="O26" s="701"/>
      <c r="P26" s="148"/>
      <c r="Q26" s="149"/>
    </row>
    <row r="27" spans="1:17" s="127" customFormat="1" ht="15">
      <c r="A27" s="145" t="s">
        <v>95</v>
      </c>
      <c r="B27" s="161">
        <f>+D22</f>
        <v>0</v>
      </c>
      <c r="C27" s="161">
        <f>+C26</f>
        <v>12</v>
      </c>
      <c r="D27" s="161">
        <f>+D26</f>
        <v>11.76</v>
      </c>
      <c r="E27" s="147"/>
      <c r="F27" s="147"/>
      <c r="G27" s="685"/>
      <c r="H27" s="685"/>
      <c r="I27" s="685"/>
      <c r="J27" s="685"/>
      <c r="K27" s="147"/>
      <c r="L27" s="685"/>
      <c r="M27" s="685"/>
      <c r="N27" s="685"/>
      <c r="O27" s="701"/>
      <c r="P27" s="148"/>
      <c r="Q27" s="149"/>
    </row>
    <row r="28" spans="1:17" s="127" customFormat="1" ht="15">
      <c r="A28" s="145" t="s">
        <v>96</v>
      </c>
      <c r="B28" s="161">
        <f>+E22</f>
        <v>3</v>
      </c>
      <c r="C28" s="161">
        <f t="shared" ref="C28:D37" si="0">+C27</f>
        <v>12</v>
      </c>
      <c r="D28" s="161">
        <f t="shared" si="0"/>
        <v>11.76</v>
      </c>
      <c r="E28" s="147"/>
      <c r="F28" s="147"/>
      <c r="G28" s="685"/>
      <c r="H28" s="685"/>
      <c r="I28" s="685"/>
      <c r="J28" s="685"/>
      <c r="K28" s="147"/>
      <c r="L28" s="685"/>
      <c r="M28" s="685"/>
      <c r="N28" s="685"/>
      <c r="O28" s="701"/>
      <c r="P28" s="148"/>
      <c r="Q28" s="149"/>
    </row>
    <row r="29" spans="1:17" s="127" customFormat="1" ht="15">
      <c r="A29" s="145" t="s">
        <v>97</v>
      </c>
      <c r="B29" s="161">
        <f>+F22</f>
        <v>0</v>
      </c>
      <c r="C29" s="161">
        <f t="shared" si="0"/>
        <v>12</v>
      </c>
      <c r="D29" s="161">
        <f t="shared" si="0"/>
        <v>11.76</v>
      </c>
      <c r="E29" s="147"/>
      <c r="F29" s="147"/>
      <c r="G29" s="685"/>
      <c r="H29" s="685"/>
      <c r="I29" s="685"/>
      <c r="J29" s="685"/>
      <c r="K29" s="147"/>
      <c r="L29" s="685"/>
      <c r="M29" s="685"/>
      <c r="N29" s="685"/>
      <c r="O29" s="701"/>
      <c r="P29" s="148"/>
      <c r="Q29" s="149"/>
    </row>
    <row r="30" spans="1:17" s="127" customFormat="1" ht="15">
      <c r="A30" s="145" t="s">
        <v>98</v>
      </c>
      <c r="B30" s="161">
        <f>+G22</f>
        <v>0</v>
      </c>
      <c r="C30" s="161">
        <f t="shared" si="0"/>
        <v>12</v>
      </c>
      <c r="D30" s="161">
        <f t="shared" si="0"/>
        <v>11.76</v>
      </c>
      <c r="E30" s="147"/>
      <c r="F30" s="147"/>
      <c r="G30" s="685"/>
      <c r="H30" s="685"/>
      <c r="I30" s="685"/>
      <c r="J30" s="685"/>
      <c r="K30" s="147"/>
      <c r="L30" s="685"/>
      <c r="M30" s="685"/>
      <c r="N30" s="685"/>
      <c r="O30" s="701"/>
      <c r="P30" s="148"/>
      <c r="Q30" s="149"/>
    </row>
    <row r="31" spans="1:17" s="127" customFormat="1" ht="15">
      <c r="A31" s="145" t="s">
        <v>99</v>
      </c>
      <c r="B31" s="161">
        <f>+H22</f>
        <v>3</v>
      </c>
      <c r="C31" s="161">
        <f t="shared" si="0"/>
        <v>12</v>
      </c>
      <c r="D31" s="161">
        <f t="shared" si="0"/>
        <v>11.76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12</v>
      </c>
      <c r="D32" s="161">
        <f t="shared" si="0"/>
        <v>11.76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12</v>
      </c>
      <c r="D33" s="161">
        <f t="shared" si="0"/>
        <v>11.76</v>
      </c>
      <c r="E33" s="147"/>
      <c r="F33" s="147"/>
      <c r="G33" s="685"/>
      <c r="H33" s="685"/>
      <c r="I33" s="685"/>
      <c r="J33" s="685"/>
      <c r="K33" s="147"/>
      <c r="L33" s="685"/>
      <c r="M33" s="685"/>
      <c r="N33" s="685"/>
      <c r="O33" s="701"/>
      <c r="P33" s="148"/>
      <c r="Q33" s="149"/>
    </row>
    <row r="34" spans="1:17" s="127" customFormat="1" ht="15">
      <c r="A34" s="145" t="s">
        <v>102</v>
      </c>
      <c r="B34" s="161">
        <f>+K22</f>
        <v>3</v>
      </c>
      <c r="C34" s="161">
        <f t="shared" si="0"/>
        <v>12</v>
      </c>
      <c r="D34" s="161">
        <f t="shared" si="0"/>
        <v>11.76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12</v>
      </c>
      <c r="D35" s="161">
        <f t="shared" si="0"/>
        <v>11.76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12</v>
      </c>
      <c r="D36" s="161">
        <f t="shared" si="0"/>
        <v>11.76</v>
      </c>
      <c r="E36" s="147"/>
      <c r="F36" s="147"/>
      <c r="G36" s="685"/>
      <c r="H36" s="685"/>
      <c r="I36" s="685"/>
      <c r="J36" s="685"/>
      <c r="K36" s="147"/>
      <c r="L36" s="685"/>
      <c r="M36" s="685"/>
      <c r="N36" s="685"/>
      <c r="O36" s="701"/>
      <c r="P36" s="148"/>
      <c r="Q36" s="149"/>
    </row>
    <row r="37" spans="1:17" s="127" customFormat="1" ht="15.75" thickBot="1">
      <c r="A37" s="150" t="s">
        <v>105</v>
      </c>
      <c r="B37" s="162">
        <f>+N22</f>
        <v>3</v>
      </c>
      <c r="C37" s="161">
        <f t="shared" si="0"/>
        <v>12</v>
      </c>
      <c r="D37" s="161">
        <f t="shared" si="0"/>
        <v>11.76</v>
      </c>
      <c r="E37" s="147"/>
      <c r="F37" s="147"/>
      <c r="G37" s="147"/>
      <c r="H37" s="147"/>
      <c r="I37" s="147"/>
      <c r="J37" s="147"/>
      <c r="K37" s="147"/>
      <c r="L37" s="685"/>
      <c r="M37" s="685"/>
      <c r="N37" s="685"/>
      <c r="O37" s="701"/>
      <c r="P37" s="148"/>
      <c r="Q37" s="149"/>
    </row>
    <row r="38" spans="1:17" s="127" customFormat="1" ht="15.75" thickBot="1">
      <c r="A38" s="152" t="s">
        <v>106</v>
      </c>
      <c r="B38" s="164">
        <f>+O22</f>
        <v>12</v>
      </c>
      <c r="C38" s="164">
        <f>+C37</f>
        <v>12</v>
      </c>
      <c r="D38" s="164">
        <f>+D37</f>
        <v>11.76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63.75" customHeight="1" thickBot="1">
      <c r="A45" s="682" t="str">
        <f>VLOOKUP(L12,Reporte!$N$5:$BZ$133,56,FALSE)</f>
        <v xml:space="preserve">ElPlan Anual de Adquisiciones (PAA) vigencia 2025, a corte marzo, cuenta con 258 líneas programadas y presenta un porcentaje de ejecución del 17,57%, con un avance en recursos de inversión del 16,65% y en recursos de funcionamiento del 24,24%. Se encuentran pendientes por radicar 4 líneas PAA por parte de diferentes dependencias. El PAA ha sido publicado en SECOP II y en la página web de la Superintendencia Nacional de Salud, con una publicación inicial y 7 actualizaciones realizadas en el primer trimestre del año.
Se ha realizado seguimiento continuo al PAA mediante acciones como revisiones por parte de la Dirección de Contratación, socialización con el ordenador del gasto, reuniones de trabajo con las dependencias y reporte del avance a la Secretaría General, garantizando así el cumplimiento de los lineamientos establecidos.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​Durante el segundo trimestre de 2025, la Superintendencia Nacional de Salud realizó seguimiento a la ejecución del Plan Anual de Adquisiciones, alcanzando un avance del 37,7% en inversión y 36,1% en funcionamiento. Se publicaron 13 versiones del PAA en SECOP II, con múltiples actualizaciones derivadas de solicitudes de las dependencias, y se efectuaron reuniones y memorandos mensuales para su seguimiento. Al corte de junio, se habían programado 314 líneas y quedaban tres procesos contractuales pendientes por radicar.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​Durante el tercer trimestre de 2025, la Superintendencia Nacional de Salud realizó seguimiento a la ejecución del Plan Anual de Adquisiciones, alcanzando un avance del 61,53% en inversión y 52,10% en funcionamiento. Se publicaron 20 versiones del PAA en SECOP II, con múltiples actualizaciones derivadas de solicitudes de las dependencias. Al corte de 30 septiembre, se habían programado 389 líneas y quedaban 06 procesos contractuales pendientes por radicar.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​En Diciembre de 2025, como consecuencia de las actualizaciones solicitadas por la dependencia, se ejecutó una programación de 380 líneas.
 A corte 31 de Diciembre de 2025, se ejecutaron todas las líneas radicadas por las dependencias.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Si bien se manifiesta en un análisis cualitativo, en este no refleja el número de seguimientos realizados, pesé a que se indica que se cumplió con el 100% en el periodo de seguimiento, solo se refieren 4  seguimientos de los 12 que se deben registrar en el numerador. Se sugiere que el reporte siempre refleje el acumulado de los avances trimestrales.</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1BE90-1BB4-4ADC-B4EF-2B32FACA1DFA}">
  <sheetPr codeName="Hoja132"/>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BIENES Y SERVICIOS</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estudios previos  a los cuales se les incorporó prácticas de Análisis de Datos.</v>
      </c>
      <c r="D6" s="711"/>
      <c r="E6" s="711"/>
      <c r="F6" s="711"/>
      <c r="G6" s="711"/>
      <c r="H6" s="711"/>
      <c r="I6" s="711"/>
      <c r="J6" s="711"/>
      <c r="K6" s="711"/>
      <c r="L6" s="711"/>
      <c r="M6" s="711"/>
      <c r="N6" s="711"/>
      <c r="O6" s="791"/>
      <c r="P6" s="128"/>
    </row>
    <row r="7" spans="1:17" ht="58.5" customHeight="1">
      <c r="A7" s="789" t="s">
        <v>10</v>
      </c>
      <c r="B7" s="790"/>
      <c r="C7" s="711" t="str">
        <f>VLOOKUP(L12,Reporte!A5:M133,10,FALSE)</f>
        <v>Adquirir bienes y servicios, a través de las diferentes modalidades de contratación de acuerdo con la normatividad vigente y lo establecido en el Plan Anual de Adquisiciones, con el fin de proveer los recursos (humanos, tecnológicos, físicos, etc.) necesarios para el cumplimiento de la misión institucional y vigilar los requisitos establecidos para mejorar el desempeño ambiental en la Superintendencia Nacional de Salud.</v>
      </c>
      <c r="D7" s="711"/>
      <c r="E7" s="711"/>
      <c r="F7" s="711"/>
      <c r="G7" s="711"/>
      <c r="H7" s="711"/>
      <c r="I7" s="711"/>
      <c r="J7" s="711"/>
      <c r="K7" s="711"/>
      <c r="L7" s="711"/>
      <c r="M7" s="711"/>
      <c r="N7" s="711"/>
      <c r="O7" s="791"/>
      <c r="P7" s="128"/>
    </row>
    <row r="8" spans="1:17" ht="15.75">
      <c r="A8" s="792" t="s">
        <v>1594</v>
      </c>
      <c r="B8" s="774"/>
      <c r="C8" s="711" t="str">
        <f>VLOOKUP(L12,Reporte!$A$5:$N$133,13,FALSE)</f>
        <v>Incorporar en el estudio previo un estudio del sector que de cuenta de las prácticas de Análisis de Datos.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3.5" customHeight="1">
      <c r="A10" s="794"/>
      <c r="B10" s="795"/>
      <c r="C10" s="711" t="str">
        <f>VLOOKUP(L12,Reporte!$N$5:$BN$133,4,FALSE)</f>
        <v xml:space="preserve">Cantidad de contratos celebrados con estudios previos en donde se incorporaron las prácticas de Análisis de datos </v>
      </c>
      <c r="D10" s="711"/>
      <c r="E10" s="711"/>
      <c r="F10" s="799" t="str">
        <f>VLOOKUP(L12,Reporte!$N$5:$BN$133,6,FALSE)</f>
        <v>Este indicador mide al rpocentaje de practicas de analisis de datos.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Cantidad de contratos celebrados por el 100%</v>
      </c>
      <c r="D12" s="711"/>
      <c r="E12" s="711"/>
      <c r="F12" s="799"/>
      <c r="G12" s="799"/>
      <c r="H12" s="799"/>
      <c r="I12" s="799"/>
      <c r="J12" s="712" t="str">
        <f>VLOOKUP(L12,Reporte!$N$5:$BN$133,7,FALSE)</f>
        <v>Eficiencia</v>
      </c>
      <c r="K12" s="712"/>
      <c r="L12" s="713" t="s">
        <v>1530</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v>
      </c>
      <c r="O22" s="133">
        <f>SUM(C22:N22)</f>
        <v>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v>
      </c>
      <c r="O23" s="133">
        <f>SUM(C23:N23)</f>
        <v>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252.75" customHeight="1" thickBot="1">
      <c r="A51" s="673" t="str">
        <f>VLOOKUP(L12,Reporte!$N$5:$BZ$133,59,FALSE)</f>
        <v xml:space="preserve">ENERO: En el periodo indicado se suscribieron catorce (14) contratos en la modalidad directa, trece (13) por prestación de servicios y un (1) contrato interadministrativo,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14 contratos.
FEBRERO: En el periodo indicado se suscribieron treinta y ocho (38) contratos, de los cuales treinta y siete (37) fueron bajo la modalidad de Contratación Directa y uno (1) por Mínima Cuantía,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38 contratos.
MARZO: En el periodo indicado se suscribieron veinte (20) contratos, de los catorce (14) fueron bajo la modalidad de Contratación Directa y cinco (5) por Mínima Cuantía y un (1) por selección abreviada acuerdo marco de precios,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20 contratos.
ABRIL: En el periodo indicado se suscribieron diecisiete (17) contratos, de los cuales dieciséis (16) fueron bajo la modalidad de Contratación Directa y uno (1) por Selección Abreviada – Subasta Inversa.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MAYO: En el periodo indicado se suscribieron veinticinco (25) contratos, de los cuales dieciocho (18) fueron bajo la modalidad de Contratación Directa, cuatro (4) por Mínima Cuantía, uno (1) por Selección Abreviada por Acuerdo Marco de Precios, uno (1) por Selección Abreviada mediante Subasta Inversa y uno (1) por Licitación Pública.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JUNIO: En el periodo indicado se suscribieron diecisiete (17) contratos, de los cuales quince (15) fueron bajo la modalidad de Contratación Directa y dos (2) por Mínima Cuantía.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
 En los 389 contratos suscritos por  la Direccion de Contratacion  se incorporaron practicas de analisis de datos teniendo en cuenta todas las modalidades de contratacion contemplada en la ley 80 de 1993.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Si bien se manifiesta un cumplimiento del 100% en el periodo de seguimiento, estos datos no se reflejan en las variables, que deberían ser 381 en el numerador y denominador según lo reportado en las evidencias, por otra parte es importante que en el análisis cualitativo se reporte de forma resumida no solo el total sino la desagregación al menos por tipo de contrato. En conclusión se aplican practicas de análisis de datos en los estudios de mercado de los estudios previos de OPS, Contratos interadministrativos, Mínimas cuantías, Contratación Directa, Selección abreviada.</v>
      </c>
      <c r="B64" s="677"/>
      <c r="C64" s="677"/>
      <c r="D64" s="677"/>
      <c r="E64" s="677"/>
      <c r="F64" s="677"/>
      <c r="G64" s="677"/>
      <c r="H64" s="677"/>
      <c r="I64" s="677"/>
      <c r="J64" s="677"/>
      <c r="K64" s="677"/>
      <c r="L64" s="677"/>
      <c r="M64" s="677"/>
      <c r="N64" s="677"/>
      <c r="O64" s="678"/>
      <c r="P64" s="128"/>
    </row>
    <row r="65" spans="1:16" ht="44.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A1AAF-2373-4002-9012-F011E997AC86}">
  <sheetPr codeName="Hoja13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eficiencia en la asignación de los documentos de entrada radicados a las dependencias​</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31.5" customHeight="1">
      <c r="A8" s="792" t="s">
        <v>1594</v>
      </c>
      <c r="B8" s="774"/>
      <c r="C8" s="711" t="str">
        <f>VLOOKUP(L12,Reporte!$A$5:$N$133,13,FALSE)</f>
        <v xml:space="preserve">Incrementar el porcentaje de eficiencia en la correcta asignación de los documentos de entrada radicados a las diferentes  dependencias de la entidad.​.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1.25" customHeight="1">
      <c r="A10" s="794"/>
      <c r="B10" s="795"/>
      <c r="C10" s="711" t="str">
        <f>VLOOKUP(L12,Reporte!$N$5:$BN$133,4,FALSE)</f>
        <v xml:space="preserve">Número de documentos radicados  asignados correctamente a las dependencias durante el trimestre </v>
      </c>
      <c r="D10" s="711"/>
      <c r="E10" s="711"/>
      <c r="F10" s="799" t="str">
        <f>VLOOKUP(L12,Reporte!$N$5:$BN$133,6,FALSE)</f>
        <v>Este indicador mide el número de error en la asiganción de los documentos radicados en las dependencias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documentos totales radicados  en el trimestre x 100​</v>
      </c>
      <c r="D12" s="711"/>
      <c r="E12" s="711"/>
      <c r="F12" s="799"/>
      <c r="G12" s="799"/>
      <c r="H12" s="799"/>
      <c r="I12" s="799"/>
      <c r="J12" s="712" t="str">
        <f>VLOOKUP(L12,Reporte!$N$5:$BN$133,7,FALSE)</f>
        <v>Eficiencia</v>
      </c>
      <c r="K12" s="712"/>
      <c r="L12" s="713" t="s">
        <v>398</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0.98</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148567</v>
      </c>
      <c r="F22" s="139">
        <f>VLOOKUP(L12,Reporte!$N$5:$BN$133,33,FALSE)</f>
        <v>0</v>
      </c>
      <c r="G22" s="132">
        <f>VLOOKUP(L12,Reporte!$N$5:$BN$133,34,FALSE)</f>
        <v>0</v>
      </c>
      <c r="H22" s="139">
        <f>VLOOKUP(L12,Reporte!$N$5:$BN$133,35,FALSE)</f>
        <v>139528</v>
      </c>
      <c r="I22" s="132">
        <f>VLOOKUP(L12,Reporte!$N$5:$BN$133,36,FALSE)</f>
        <v>0</v>
      </c>
      <c r="J22" s="139">
        <f>VLOOKUP(L12,Reporte!$N$5:$BN$133,37,FALSE)</f>
        <v>0</v>
      </c>
      <c r="K22" s="139">
        <f>VLOOKUP(L12,Reporte!$N$5:$BN$133,38,FALSE)</f>
        <v>151444</v>
      </c>
      <c r="L22" s="139">
        <f>VLOOKUP(L12,Reporte!$N$5:$BN$133,39,FALSE)</f>
        <v>0</v>
      </c>
      <c r="M22" s="139">
        <f>VLOOKUP(L12,Reporte!$N$5:$BN$133,40,FALSE)</f>
        <v>0</v>
      </c>
      <c r="N22" s="133">
        <f>VLOOKUP(L12,Reporte!$N$5:$BN$133,41,FALSE)</f>
        <v>43472</v>
      </c>
      <c r="O22" s="133">
        <f>SUM(C22:N22)</f>
        <v>483011</v>
      </c>
      <c r="P22" s="128"/>
    </row>
    <row r="23" spans="1:17" ht="16.5" thickBot="1">
      <c r="A23" s="690" t="s">
        <v>76</v>
      </c>
      <c r="B23" s="691"/>
      <c r="C23" s="140">
        <f>VLOOKUP(L12,Reporte!$N$5:$BN$133,42,FALSE)</f>
        <v>0</v>
      </c>
      <c r="D23" s="140">
        <f>VLOOKUP(L12,Reporte!$N$5:$BN$133,43,FALSE)</f>
        <v>0</v>
      </c>
      <c r="E23" s="140">
        <f>VLOOKUP(L12,Reporte!$N$5:$BN$133,44,FALSE)</f>
        <v>149479</v>
      </c>
      <c r="F23" s="140">
        <f>VLOOKUP(L12,Reporte!$N$5:$BN$133,45,FALSE)</f>
        <v>0</v>
      </c>
      <c r="G23" s="140">
        <f>VLOOKUP(L12,Reporte!$N$5:$BN$133,46,FALSE)</f>
        <v>0</v>
      </c>
      <c r="H23" s="140">
        <f>VLOOKUP(L12,Reporte!$N$5:$BN$133,47,FALSE)</f>
        <v>140427</v>
      </c>
      <c r="I23" s="140">
        <f>VLOOKUP(L12,Reporte!$N$5:$BN$133,48,FALSE)</f>
        <v>0</v>
      </c>
      <c r="J23" s="140">
        <f>VLOOKUP(L12,Reporte!$N$5:$BN$133,49,FALSE)</f>
        <v>0</v>
      </c>
      <c r="K23" s="140">
        <f>VLOOKUP(L12,Reporte!$N$5:$BN$133,50,FALSE)</f>
        <v>153689</v>
      </c>
      <c r="L23" s="140">
        <f>VLOOKUP(L12,Reporte!$N$5:$BN$133,51,FALSE)</f>
        <v>0</v>
      </c>
      <c r="M23" s="140">
        <f>VLOOKUP(L12,Reporte!$N$5:$BN$133,52,FALSE)</f>
        <v>0</v>
      </c>
      <c r="N23" s="141">
        <f>VLOOKUP(L12,Reporte!$N$5:$BN$133,53,FALSE)</f>
        <v>43767</v>
      </c>
      <c r="O23" s="133">
        <f>SUM(C23:N23)</f>
        <v>487362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0.98</v>
      </c>
      <c r="D26" s="146">
        <f>+C26*0.98</f>
        <v>0.96039999999999992</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0.98</v>
      </c>
      <c r="D27" s="146">
        <f>+D26</f>
        <v>0.96039999999999992</v>
      </c>
      <c r="E27" s="147"/>
      <c r="F27" s="147"/>
      <c r="G27" s="685"/>
      <c r="H27" s="685"/>
      <c r="I27" s="685"/>
      <c r="J27" s="685"/>
      <c r="K27" s="147"/>
      <c r="L27" s="685"/>
      <c r="M27" s="685"/>
      <c r="N27" s="685"/>
      <c r="O27" s="701"/>
      <c r="P27" s="148"/>
      <c r="Q27" s="149"/>
    </row>
    <row r="28" spans="1:17" s="127" customFormat="1" ht="15">
      <c r="A28" s="145" t="s">
        <v>96</v>
      </c>
      <c r="B28" s="146">
        <f>IF(ISERROR($E$22/$E$23),0,$E$22/$E$23)</f>
        <v>0.99389880852828827</v>
      </c>
      <c r="C28" s="146">
        <f t="shared" ref="C28:D37" si="0">+C27</f>
        <v>0.98</v>
      </c>
      <c r="D28" s="146">
        <f t="shared" si="0"/>
        <v>0.96039999999999992</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0.98</v>
      </c>
      <c r="D29" s="146">
        <f t="shared" si="0"/>
        <v>0.96039999999999992</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0.98</v>
      </c>
      <c r="D30" s="146">
        <f t="shared" si="0"/>
        <v>0.96039999999999992</v>
      </c>
      <c r="E30" s="147"/>
      <c r="F30" s="147"/>
      <c r="G30" s="685"/>
      <c r="H30" s="685"/>
      <c r="I30" s="685"/>
      <c r="J30" s="685"/>
      <c r="K30" s="147"/>
      <c r="L30" s="685"/>
      <c r="M30" s="685"/>
      <c r="N30" s="685"/>
      <c r="O30" s="701"/>
      <c r="P30" s="148"/>
      <c r="Q30" s="149"/>
    </row>
    <row r="31" spans="1:17" s="127" customFormat="1" ht="15">
      <c r="A31" s="145" t="s">
        <v>99</v>
      </c>
      <c r="B31" s="146">
        <f>IF(ISERROR($H$22/$H$23),0,$H$22/$H$23)</f>
        <v>0.99359809723201375</v>
      </c>
      <c r="C31" s="146">
        <f t="shared" si="0"/>
        <v>0.98</v>
      </c>
      <c r="D31" s="146">
        <f t="shared" si="0"/>
        <v>0.96039999999999992</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0.98</v>
      </c>
      <c r="D32" s="146">
        <f t="shared" si="0"/>
        <v>0.96039999999999992</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0.98</v>
      </c>
      <c r="D33" s="146">
        <f t="shared" si="0"/>
        <v>0.96039999999999992</v>
      </c>
      <c r="E33" s="147"/>
      <c r="F33" s="147"/>
      <c r="G33" s="685"/>
      <c r="H33" s="685"/>
      <c r="I33" s="685"/>
      <c r="J33" s="685"/>
      <c r="K33" s="147"/>
      <c r="L33" s="685"/>
      <c r="M33" s="685"/>
      <c r="N33" s="685"/>
      <c r="O33" s="701"/>
      <c r="P33" s="148"/>
      <c r="Q33" s="149"/>
    </row>
    <row r="34" spans="1:17" s="127" customFormat="1" ht="15">
      <c r="A34" s="145" t="s">
        <v>102</v>
      </c>
      <c r="B34" s="146">
        <f>IF(ISERROR($K$22/$K$23),0,$K$22/$K$23)</f>
        <v>0.98539257851895712</v>
      </c>
      <c r="C34" s="146">
        <f t="shared" si="0"/>
        <v>0.98</v>
      </c>
      <c r="D34" s="146">
        <f t="shared" si="0"/>
        <v>0.96039999999999992</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0.98</v>
      </c>
      <c r="D35" s="146">
        <f t="shared" si="0"/>
        <v>0.96039999999999992</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0.98</v>
      </c>
      <c r="D36" s="146">
        <f t="shared" si="0"/>
        <v>0.96039999999999992</v>
      </c>
      <c r="E36" s="147"/>
      <c r="F36" s="147"/>
      <c r="G36" s="685"/>
      <c r="H36" s="685"/>
      <c r="I36" s="685"/>
      <c r="J36" s="685"/>
      <c r="K36" s="147"/>
      <c r="L36" s="685"/>
      <c r="M36" s="685"/>
      <c r="N36" s="685"/>
      <c r="O36" s="701"/>
      <c r="P36" s="148"/>
      <c r="Q36" s="149"/>
    </row>
    <row r="37" spans="1:17" s="127" customFormat="1" ht="15.75" thickBot="1">
      <c r="A37" s="150" t="s">
        <v>105</v>
      </c>
      <c r="B37" s="151">
        <f>IF(ISERROR($N$22/$N$23),0,$N$22/$N$23)</f>
        <v>0.99325976192108212</v>
      </c>
      <c r="C37" s="146">
        <f t="shared" si="0"/>
        <v>0.98</v>
      </c>
      <c r="D37" s="146">
        <f t="shared" si="0"/>
        <v>0.96039999999999992</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0.99107234458164573</v>
      </c>
      <c r="C38" s="153">
        <f>+C37</f>
        <v>0.98</v>
      </c>
      <c r="D38" s="153">
        <f>+D37</f>
        <v>0.96039999999999992</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​De 149.479 documentos radicados en el primer trimestre (enero, febrero y marzo) de 2025, se tomó una muestra del 5% lo cual arrojó un resultado de 7.473 documentos radicados que fueron revisados en los cuales se encontraron un total de 7.428 documentos asignados correctamente y que proyectados al total de radicados son 148.567 que cumplen con la asignación correcta a las dependencias; lo que representa un porcentaje de cumplimiento del  99,39% en dicho periodo, teniendo en cuenta que la meta es del 98%, el indicador se cumplió.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54" customHeight="1" thickBot="1">
      <c r="A51" s="670" t="str">
        <f>VLOOKUP(L12,Reporte!$N$5:$BZ$133,59,FALSE)</f>
        <v xml:space="preserve">​ De 140.427 documentos radicados entre abril, mayo y junio de2025, se tomó una muestra del 5% lo cual arrojó un resultado de 7.020 documentosradicados que fueron revisados en los cuales se encontraron un total de 6.975documentos asignados correctamente y que proyectados al total de radicados son139.528 que cumplen con la asignación correcta a las dependencias; lo querepresenta un porcentaje de cumplimiento del  99.36% en dicho periodo, teniendo encuenta que la meta es del 98%. ABRILTOTAL RADICADOS 44.623 ASIGNADOS CORRECTAMENTE 44.320, MAYOTOTAL 49.969 ASIGNADOS CORRECTAMENTE 49.669, JUNIO 45.835ASIGNADOS CORRECTAMENTE 45.537.​ 
​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​En el trimestre se mantuvieron los siguientes valores en cantidades base (Denominador) Julio 56.222, Agosto 44.397 y Septiembre 53.070, para un total de153.689 con los correspondientes hallazgos: julio: 1471, Agosto: 71, Septiembre 703, estos representan un 1.47% del total procesado, sin embargo se generó un plan de calidad basado en el análisis de los hallazgos, el cual se aplicará en el tercer trimestre con el objetivo de mitigar la cantidad de hallazgos. Se aclara que los valores son calculados sobre validación de una muestra y cuyos resultados son proyectados al total del universo. Cumplimiento final 98.54%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​En el trimestre se mantuvieron los siguientes valores en cantidades base (Denominador) Octubre 40.694, Noviembre 47.211 y Diciembre 43.767, para un total de 131.672 con los correspondientes hallazgos:Octubre 22, Noviembre 94 y Diciembre 295, estos representan un 0.31% del total procesado, sin embargo se realizó el análisis de los hallazgos, y se elaboró un plan de calidad específico, el cual se aplicará en el siguiente año con el objetivo de mitigar la cantidad de hallazgos. Se evidencia cumplimiento final de 99.43%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De los  487362 documentos radicados se realizó la correcta asignación a las dependencias de 483011, con un sobrecumplimiento de  101% con respecto de la meta de 98%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BD70E-325F-4322-91F8-370EB5B33DDD}">
  <sheetPr codeName="Hoja13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eficiencia en la digitalización de documentos.</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34.5" customHeight="1">
      <c r="A8" s="792" t="s">
        <v>1594</v>
      </c>
      <c r="B8" s="774"/>
      <c r="C8" s="711" t="str">
        <f>VLOOKUP(L12,Reporte!$A$5:$N$133,13,FALSE)</f>
        <v>Incrementar el porcentaje de eficiencia en la digitalización y cargue  de los documentos  con cumplimiento de las características de calidad dispuestas por la entidad.​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6.25" customHeight="1">
      <c r="A10" s="794"/>
      <c r="B10" s="795"/>
      <c r="C10" s="711" t="str">
        <f>VLOOKUP(L12,Reporte!$N$5:$BN$133,4,FALSE)</f>
        <v xml:space="preserve">Número de documentos con calidad en la digitalización y cargue al sistema durante el trimestre  </v>
      </c>
      <c r="D10" s="711"/>
      <c r="E10" s="711"/>
      <c r="F10" s="799" t="str">
        <f>VLOOKUP(L12,Reporte!$N$5:$BN$133,6,FALSE)</f>
        <v>Este indicador mide el porcentaje de error en la digitalización de documentos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Total de documentos digitalizados durante el trimestre x 100.​</v>
      </c>
      <c r="D12" s="711"/>
      <c r="E12" s="711"/>
      <c r="F12" s="799"/>
      <c r="G12" s="799"/>
      <c r="H12" s="799"/>
      <c r="I12" s="799"/>
      <c r="J12" s="712" t="str">
        <f>VLOOKUP(L12,Reporte!$N$5:$BN$133,7,FALSE)</f>
        <v>Eficiencia</v>
      </c>
      <c r="K12" s="712"/>
      <c r="L12" s="713" t="s">
        <v>403</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0.99870000000000003</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149344</v>
      </c>
      <c r="F22" s="139">
        <f>VLOOKUP(L12,Reporte!$N$5:$BN$133,33,FALSE)</f>
        <v>0</v>
      </c>
      <c r="G22" s="132">
        <f>VLOOKUP(L12,Reporte!$N$5:$BN$133,34,FALSE)</f>
        <v>0</v>
      </c>
      <c r="H22" s="139">
        <f>VLOOKUP(L12,Reporte!$N$5:$BN$133,35,FALSE)</f>
        <v>140273</v>
      </c>
      <c r="I22" s="132">
        <f>VLOOKUP(L12,Reporte!$N$5:$BN$133,36,FALSE)</f>
        <v>0</v>
      </c>
      <c r="J22" s="139">
        <f>VLOOKUP(L12,Reporte!$N$5:$BN$133,37,FALSE)</f>
        <v>0</v>
      </c>
      <c r="K22" s="139">
        <f>VLOOKUP(L12,Reporte!$N$5:$BN$133,38,FALSE)</f>
        <v>153650</v>
      </c>
      <c r="L22" s="139">
        <f>VLOOKUP(L12,Reporte!$N$5:$BN$133,39,FALSE)</f>
        <v>0</v>
      </c>
      <c r="M22" s="139">
        <f>VLOOKUP(L12,Reporte!$N$5:$BN$133,40,FALSE)</f>
        <v>0</v>
      </c>
      <c r="N22" s="133">
        <f>VLOOKUP(L12,Reporte!$N$5:$BN$133,41,FALSE)</f>
        <v>130738</v>
      </c>
      <c r="O22" s="133">
        <f>SUM(C22:N22)</f>
        <v>574005</v>
      </c>
      <c r="P22" s="128"/>
    </row>
    <row r="23" spans="1:17" ht="16.5" thickBot="1">
      <c r="A23" s="690" t="s">
        <v>76</v>
      </c>
      <c r="B23" s="691"/>
      <c r="C23" s="140">
        <f>VLOOKUP(L12,Reporte!$N$5:$BN$133,42,FALSE)</f>
        <v>0</v>
      </c>
      <c r="D23" s="140">
        <f>VLOOKUP(L12,Reporte!$N$5:$BN$133,43,FALSE)</f>
        <v>0</v>
      </c>
      <c r="E23" s="140">
        <f>VLOOKUP(L12,Reporte!$N$5:$BN$133,44,FALSE)</f>
        <v>149479</v>
      </c>
      <c r="F23" s="140">
        <f>VLOOKUP(L12,Reporte!$N$5:$BN$133,45,FALSE)</f>
        <v>0</v>
      </c>
      <c r="G23" s="140">
        <f>VLOOKUP(L12,Reporte!$N$5:$BN$133,46,FALSE)</f>
        <v>0</v>
      </c>
      <c r="H23" s="140">
        <f>VLOOKUP(L12,Reporte!$N$5:$BN$133,47,FALSE)</f>
        <v>140427</v>
      </c>
      <c r="I23" s="140">
        <f>VLOOKUP(L12,Reporte!$N$5:$BN$133,48,FALSE)</f>
        <v>0</v>
      </c>
      <c r="J23" s="140">
        <f>VLOOKUP(L12,Reporte!$N$5:$BN$133,49,FALSE)</f>
        <v>0</v>
      </c>
      <c r="K23" s="140">
        <f>VLOOKUP(L12,Reporte!$N$5:$BN$133,50,FALSE)</f>
        <v>153689</v>
      </c>
      <c r="L23" s="140">
        <f>VLOOKUP(L12,Reporte!$N$5:$BN$133,51,FALSE)</f>
        <v>0</v>
      </c>
      <c r="M23" s="140">
        <f>VLOOKUP(L12,Reporte!$N$5:$BN$133,52,FALSE)</f>
        <v>0</v>
      </c>
      <c r="N23" s="141">
        <f>VLOOKUP(L12,Reporte!$N$5:$BN$133,53,FALSE)</f>
        <v>131672</v>
      </c>
      <c r="O23" s="133">
        <f>SUM(C23:N23)</f>
        <v>575267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0.99870000000000003</v>
      </c>
      <c r="D26" s="146">
        <f>+C26*0.98</f>
        <v>0.97872599999999998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0.99870000000000003</v>
      </c>
      <c r="D27" s="146">
        <f>+D26</f>
        <v>0.97872599999999998</v>
      </c>
      <c r="E27" s="147"/>
      <c r="F27" s="147"/>
      <c r="G27" s="685"/>
      <c r="H27" s="685"/>
      <c r="I27" s="685"/>
      <c r="J27" s="685"/>
      <c r="K27" s="147"/>
      <c r="L27" s="685"/>
      <c r="M27" s="685"/>
      <c r="N27" s="685"/>
      <c r="O27" s="701"/>
      <c r="P27" s="148"/>
      <c r="Q27" s="149"/>
    </row>
    <row r="28" spans="1:17" s="127" customFormat="1" ht="15">
      <c r="A28" s="145" t="s">
        <v>96</v>
      </c>
      <c r="B28" s="146">
        <f>IF(ISERROR($E$22/$E$23),0,$E$22/$E$23)</f>
        <v>0.9990968631045164</v>
      </c>
      <c r="C28" s="146">
        <f t="shared" ref="C28:D37" si="0">+C27</f>
        <v>0.99870000000000003</v>
      </c>
      <c r="D28" s="146">
        <f t="shared" si="0"/>
        <v>0.97872599999999998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0.99870000000000003</v>
      </c>
      <c r="D29" s="146">
        <f t="shared" si="0"/>
        <v>0.97872599999999998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0.99870000000000003</v>
      </c>
      <c r="D30" s="146">
        <f t="shared" si="0"/>
        <v>0.97872599999999998</v>
      </c>
      <c r="E30" s="147"/>
      <c r="F30" s="147"/>
      <c r="G30" s="685"/>
      <c r="H30" s="685"/>
      <c r="I30" s="685"/>
      <c r="J30" s="685"/>
      <c r="K30" s="147"/>
      <c r="L30" s="685"/>
      <c r="M30" s="685"/>
      <c r="N30" s="685"/>
      <c r="O30" s="701"/>
      <c r="P30" s="148"/>
      <c r="Q30" s="149"/>
    </row>
    <row r="31" spans="1:17" s="127" customFormat="1" ht="15">
      <c r="A31" s="145" t="s">
        <v>99</v>
      </c>
      <c r="B31" s="146">
        <f>IF(ISERROR($H$22/$H$23),0,$H$22/$H$23)</f>
        <v>0.99890334479836496</v>
      </c>
      <c r="C31" s="146">
        <f t="shared" si="0"/>
        <v>0.99870000000000003</v>
      </c>
      <c r="D31" s="146">
        <f t="shared" si="0"/>
        <v>0.97872599999999998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0.99870000000000003</v>
      </c>
      <c r="D32" s="146">
        <f t="shared" si="0"/>
        <v>0.97872599999999998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0.99870000000000003</v>
      </c>
      <c r="D33" s="146">
        <f t="shared" si="0"/>
        <v>0.97872599999999998</v>
      </c>
      <c r="E33" s="147"/>
      <c r="F33" s="147"/>
      <c r="G33" s="685"/>
      <c r="H33" s="685"/>
      <c r="I33" s="685"/>
      <c r="J33" s="685"/>
      <c r="K33" s="147"/>
      <c r="L33" s="685"/>
      <c r="M33" s="685"/>
      <c r="N33" s="685"/>
      <c r="O33" s="701"/>
      <c r="P33" s="148"/>
      <c r="Q33" s="149"/>
    </row>
    <row r="34" spans="1:17" s="127" customFormat="1" ht="15">
      <c r="A34" s="145" t="s">
        <v>102</v>
      </c>
      <c r="B34" s="146">
        <f>IF(ISERROR($K$22/$K$23),0,$K$22/$K$23)</f>
        <v>0.99974624078496188</v>
      </c>
      <c r="C34" s="146">
        <f t="shared" si="0"/>
        <v>0.99870000000000003</v>
      </c>
      <c r="D34" s="146">
        <f t="shared" si="0"/>
        <v>0.97872599999999998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0.99870000000000003</v>
      </c>
      <c r="D35" s="146">
        <f t="shared" si="0"/>
        <v>0.97872599999999998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0.99870000000000003</v>
      </c>
      <c r="D36" s="146">
        <f t="shared" si="0"/>
        <v>0.97872599999999998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0.99290661644085298</v>
      </c>
      <c r="C37" s="146">
        <f t="shared" si="0"/>
        <v>0.99870000000000003</v>
      </c>
      <c r="D37" s="146">
        <f t="shared" si="0"/>
        <v>0.97872599999999998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0.99780623606082042</v>
      </c>
      <c r="C38" s="153">
        <f>+C37</f>
        <v>0.99870000000000003</v>
      </c>
      <c r="D38" s="153">
        <f>+D37</f>
        <v>0.97872599999999998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​De 149.479 documentos digitalizados en el primer trimestre (enero, febrero y marzo) de 2025, se tomó una muestra del 5% lo cual arrojó un resultado de 7.473 documentos digitalizados que fueron revisados en los cuales se encontraron un total de 7.467 documentos digitalizados correctamente y que proyectados al total de digitalizados son 149.344 que cumplen con la digitalización correcta; lo que representa un porcentaje de cumplimiento del  99,91% en dicho periodo, teniendo en cuenta que la meta es del 99.87%, el indicador se cumplió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58.5" customHeight="1" thickBot="1">
      <c r="A51" s="670" t="str">
        <f>VLOOKUP(L12,Reporte!$N$5:$BZ$133,59,FALSE)</f>
        <v xml:space="preserve">De 140.427 documentos digitalizados en mayo de 2025, se tomó unamuestra del 5% lo cual arrojó un resultado de 7.020 documentos digitalizados quefueron revisados en los cuales se encontraron un total de 7.012 documentosdigitalizados correctamente y que proyectados al total de digitalizados son 140.273que cumplen con la digitalización correcta; lo que representa un porcentaje decumplimiento del 99.89% en dicho periodo, teniendo en cuenta que la meta es del99.87%.ABRIL TOTAL DIGITALIZADOS44.623 CORRECTOS 44.623, MAYO TOTAL 49.969 ASIGNADOSCORRECTAMENTE 49.969, JUNIO 45.835 ASIGNADOS CORRECTAMENTE45.675.​ 
​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En el trimestre se mantuvieron los siguientes valores en cantidades base (Denominador) Julio 56.222, Agosto 44.397 y Septiembre 53.070, para un total de 153.689 con los correspondientes hallazgos: julio: 17, Agosto: 6, Septiembre 16, estos representan un 0.03% del total procesado, sin embargo se realizó el análisis de los hallazgos, y se elaborará un plan de calidad específico, el cual se aplicará en el tercer trimestre con el objetivo de mitigar la cantidad de hallazgos. Se evidencia cumplimiento final de 99.97%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​En el trimestre se mantuvieron los siguientes valores en cantidades base (Denominador) Octubre 40.694, Noviembre 47.211 y Diciembre 43.767, para un total de 131.672 con los correspondientes hallazgos:Octubre 191, Noviembre 244 y Diciembre 499, estos representan un 0.71% del total procesado, sin embargo se realizó el análisis de los hallazgos, y se elaboró un plan de calidad específico, el cual se aplicará en el siguiente año con el objetivo de mitigar la cantidad de hallazgos. Se evidencia cumplimiento final de 99.29%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realizo la correcta digitalización 574.005 de un total de 575.267 documentos susceptibles de esta acción en el periodo de seguimiento es decir 99,78%, aunque falto muy poco para alcanzar la meta del 99,87% muestra el alto compromiso del área versus el volumen de trabajo que manejan.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086D0-548E-4CA4-A96F-2E36D3063FF3}">
  <sheetPr codeName="Hoja13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28.5" customHeight="1">
      <c r="A6" s="789" t="s">
        <v>8</v>
      </c>
      <c r="B6" s="790"/>
      <c r="C6" s="711" t="str">
        <f>VLOOKUP(L12,Reporte!$N$5:$BN$133,2,FALSE)</f>
        <v>Campañas de socialización sobre el manejo de los procesos del Grupo de Correspondencia</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Realizar campañas de socialización sobre el manejo de los procesos del Grupo de Correspondencia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8.5" customHeight="1">
      <c r="A10" s="794"/>
      <c r="B10" s="795"/>
      <c r="C10" s="711" t="str">
        <f>VLOOKUP(L12,Reporte!$N$5:$BN$133,4,FALSE)</f>
        <v>Número de campañas de socialización sobre el manejo de los procesos del Grupo de Correspondencia</v>
      </c>
      <c r="D10" s="711"/>
      <c r="E10" s="711"/>
      <c r="F10" s="799" t="str">
        <f>VLOOKUP(L12,Reporte!$N$5:$BN$133,6,FALSE)</f>
        <v>Este indicador mide el número de campañas de socialización de procesos de correspondencia.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408</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12</v>
      </c>
      <c r="D15" s="826"/>
      <c r="E15" s="827"/>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3</v>
      </c>
      <c r="F22" s="139">
        <f>VLOOKUP(L12,Reporte!$N$5:$BN$133,33,FALSE)</f>
        <v>0</v>
      </c>
      <c r="G22" s="132">
        <f>VLOOKUP(L12,Reporte!$N$5:$BN$133,34,FALSE)</f>
        <v>0</v>
      </c>
      <c r="H22" s="139">
        <f>VLOOKUP(L12,Reporte!$N$5:$BN$133,35,FALSE)</f>
        <v>2</v>
      </c>
      <c r="I22" s="132">
        <f>VLOOKUP(L12,Reporte!$N$5:$BN$133,36,FALSE)</f>
        <v>0</v>
      </c>
      <c r="J22" s="139">
        <f>VLOOKUP(L12,Reporte!$N$5:$BN$133,37,FALSE)</f>
        <v>0</v>
      </c>
      <c r="K22" s="139">
        <f>VLOOKUP(L12,Reporte!$N$5:$BN$133,38,FALSE)</f>
        <v>3</v>
      </c>
      <c r="L22" s="139">
        <f>VLOOKUP(L12,Reporte!$N$5:$BN$133,39,FALSE)</f>
        <v>0</v>
      </c>
      <c r="M22" s="139">
        <f>VLOOKUP(L12,Reporte!$N$5:$BN$133,40,FALSE)</f>
        <v>0</v>
      </c>
      <c r="N22" s="133">
        <f>VLOOKUP(L12,Reporte!$N$5:$BN$133,41,FALSE)</f>
        <v>3</v>
      </c>
      <c r="O22" s="133">
        <f>SUM(C22:N22)</f>
        <v>11</v>
      </c>
      <c r="P22" s="128"/>
    </row>
    <row r="23" spans="1:17" ht="16.5" thickBot="1">
      <c r="A23" s="690" t="s">
        <v>76</v>
      </c>
      <c r="B23" s="691"/>
      <c r="C23" s="140">
        <f>VLOOKUP(L12,Reporte!$N$5:$BN$133,42,FALSE)</f>
        <v>0</v>
      </c>
      <c r="D23" s="140">
        <f>VLOOKUP(L12,Reporte!$N$5:$BN$133,43,FALSE)</f>
        <v>0</v>
      </c>
      <c r="E23" s="140">
        <f>VLOOKUP(L12,Reporte!$N$5:$BN$133,44,FALSE)</f>
        <v>3</v>
      </c>
      <c r="F23" s="140">
        <f>VLOOKUP(L12,Reporte!$N$5:$BN$133,45,FALSE)</f>
        <v>0</v>
      </c>
      <c r="G23" s="140">
        <f>VLOOKUP(L12,Reporte!$N$5:$BN$133,46,FALSE)</f>
        <v>0</v>
      </c>
      <c r="H23" s="140">
        <f>VLOOKUP(L12,Reporte!$N$5:$BN$133,47,FALSE)</f>
        <v>3</v>
      </c>
      <c r="I23" s="140">
        <f>VLOOKUP(L12,Reporte!$N$5:$BN$133,48,FALSE)</f>
        <v>0</v>
      </c>
      <c r="J23" s="140">
        <f>VLOOKUP(L12,Reporte!$N$5:$BN$133,49,FALSE)</f>
        <v>0</v>
      </c>
      <c r="K23" s="140">
        <f>VLOOKUP(L12,Reporte!$N$5:$BN$133,50,FALSE)</f>
        <v>3</v>
      </c>
      <c r="L23" s="140">
        <f>VLOOKUP(L12,Reporte!$N$5:$BN$133,51,FALSE)</f>
        <v>0</v>
      </c>
      <c r="M23" s="140">
        <f>VLOOKUP(L12,Reporte!$N$5:$BN$133,52,FALSE)</f>
        <v>0</v>
      </c>
      <c r="N23" s="141">
        <f>VLOOKUP(L12,Reporte!$N$5:$BN$133,53,FALSE)</f>
        <v>3</v>
      </c>
      <c r="O23" s="133">
        <f>SUM(C23:N23)</f>
        <v>12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12</v>
      </c>
      <c r="D26" s="161">
        <f>+C26*0.98</f>
        <v>11.76</v>
      </c>
      <c r="E26" s="147"/>
      <c r="F26" s="147"/>
      <c r="G26" s="685"/>
      <c r="H26" s="685"/>
      <c r="I26" s="699"/>
      <c r="J26" s="699"/>
      <c r="K26" s="699"/>
      <c r="L26" s="685"/>
      <c r="M26" s="685"/>
      <c r="N26" s="685"/>
      <c r="O26" s="701"/>
      <c r="P26" s="148"/>
      <c r="Q26" s="149"/>
    </row>
    <row r="27" spans="1:17" s="127" customFormat="1" ht="15">
      <c r="A27" s="145" t="s">
        <v>95</v>
      </c>
      <c r="B27" s="161">
        <f>+D22</f>
        <v>0</v>
      </c>
      <c r="C27" s="161">
        <f>+C26</f>
        <v>12</v>
      </c>
      <c r="D27" s="161">
        <f>+D26</f>
        <v>11.76</v>
      </c>
      <c r="E27" s="147"/>
      <c r="F27" s="147"/>
      <c r="G27" s="685"/>
      <c r="H27" s="685"/>
      <c r="I27" s="685"/>
      <c r="J27" s="685"/>
      <c r="K27" s="147"/>
      <c r="L27" s="685"/>
      <c r="M27" s="685"/>
      <c r="N27" s="685"/>
      <c r="O27" s="701"/>
      <c r="P27" s="148"/>
      <c r="Q27" s="149"/>
    </row>
    <row r="28" spans="1:17" s="127" customFormat="1" ht="15">
      <c r="A28" s="145" t="s">
        <v>96</v>
      </c>
      <c r="B28" s="161">
        <f>+E22</f>
        <v>3</v>
      </c>
      <c r="C28" s="161">
        <f t="shared" ref="C28:D37" si="0">+C27</f>
        <v>12</v>
      </c>
      <c r="D28" s="161">
        <f t="shared" si="0"/>
        <v>11.76</v>
      </c>
      <c r="E28" s="147"/>
      <c r="F28" s="147"/>
      <c r="G28" s="685"/>
      <c r="H28" s="685"/>
      <c r="I28" s="685"/>
      <c r="J28" s="685"/>
      <c r="K28" s="147"/>
      <c r="L28" s="685"/>
      <c r="M28" s="685"/>
      <c r="N28" s="685"/>
      <c r="O28" s="701"/>
      <c r="P28" s="148"/>
      <c r="Q28" s="149"/>
    </row>
    <row r="29" spans="1:17" s="127" customFormat="1" ht="15">
      <c r="A29" s="145" t="s">
        <v>97</v>
      </c>
      <c r="B29" s="161">
        <f>+F22</f>
        <v>0</v>
      </c>
      <c r="C29" s="161">
        <f t="shared" si="0"/>
        <v>12</v>
      </c>
      <c r="D29" s="161">
        <f t="shared" si="0"/>
        <v>11.76</v>
      </c>
      <c r="E29" s="147"/>
      <c r="F29" s="147"/>
      <c r="G29" s="685"/>
      <c r="H29" s="685"/>
      <c r="I29" s="685"/>
      <c r="J29" s="685"/>
      <c r="K29" s="147"/>
      <c r="L29" s="685"/>
      <c r="M29" s="685"/>
      <c r="N29" s="685"/>
      <c r="O29" s="701"/>
      <c r="P29" s="148"/>
      <c r="Q29" s="149"/>
    </row>
    <row r="30" spans="1:17" s="127" customFormat="1" ht="15">
      <c r="A30" s="145" t="s">
        <v>98</v>
      </c>
      <c r="B30" s="161">
        <f>+G22</f>
        <v>0</v>
      </c>
      <c r="C30" s="161">
        <f t="shared" si="0"/>
        <v>12</v>
      </c>
      <c r="D30" s="161">
        <f t="shared" si="0"/>
        <v>11.76</v>
      </c>
      <c r="E30" s="147"/>
      <c r="F30" s="147"/>
      <c r="G30" s="685"/>
      <c r="H30" s="685"/>
      <c r="I30" s="685"/>
      <c r="J30" s="685"/>
      <c r="K30" s="147"/>
      <c r="L30" s="685"/>
      <c r="M30" s="685"/>
      <c r="N30" s="685"/>
      <c r="O30" s="701"/>
      <c r="P30" s="148"/>
      <c r="Q30" s="149"/>
    </row>
    <row r="31" spans="1:17" s="127" customFormat="1" ht="15">
      <c r="A31" s="145" t="s">
        <v>99</v>
      </c>
      <c r="B31" s="161">
        <f>+H22</f>
        <v>2</v>
      </c>
      <c r="C31" s="161">
        <f t="shared" si="0"/>
        <v>12</v>
      </c>
      <c r="D31" s="161">
        <f t="shared" si="0"/>
        <v>11.76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12</v>
      </c>
      <c r="D32" s="161">
        <f t="shared" si="0"/>
        <v>11.76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12</v>
      </c>
      <c r="D33" s="161">
        <f t="shared" si="0"/>
        <v>11.76</v>
      </c>
      <c r="E33" s="147"/>
      <c r="F33" s="147"/>
      <c r="G33" s="685"/>
      <c r="H33" s="685"/>
      <c r="I33" s="685"/>
      <c r="J33" s="685"/>
      <c r="K33" s="147"/>
      <c r="L33" s="685"/>
      <c r="M33" s="685"/>
      <c r="N33" s="685"/>
      <c r="O33" s="701"/>
      <c r="P33" s="148"/>
      <c r="Q33" s="149"/>
    </row>
    <row r="34" spans="1:17" s="127" customFormat="1" ht="15">
      <c r="A34" s="145" t="s">
        <v>102</v>
      </c>
      <c r="B34" s="161">
        <f>+K22</f>
        <v>3</v>
      </c>
      <c r="C34" s="161">
        <f t="shared" si="0"/>
        <v>12</v>
      </c>
      <c r="D34" s="161">
        <f t="shared" si="0"/>
        <v>11.76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12</v>
      </c>
      <c r="D35" s="161">
        <f t="shared" si="0"/>
        <v>11.76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12</v>
      </c>
      <c r="D36" s="161">
        <f t="shared" si="0"/>
        <v>11.76</v>
      </c>
      <c r="E36" s="147"/>
      <c r="F36" s="147"/>
      <c r="G36" s="685"/>
      <c r="H36" s="685"/>
      <c r="I36" s="685"/>
      <c r="J36" s="685"/>
      <c r="K36" s="147"/>
      <c r="L36" s="685"/>
      <c r="M36" s="685"/>
      <c r="N36" s="685"/>
      <c r="O36" s="701"/>
      <c r="P36" s="148"/>
      <c r="Q36" s="149"/>
    </row>
    <row r="37" spans="1:17" s="127" customFormat="1" ht="15.75" thickBot="1">
      <c r="A37" s="150" t="s">
        <v>105</v>
      </c>
      <c r="B37" s="162">
        <f>+N22</f>
        <v>3</v>
      </c>
      <c r="C37" s="161">
        <f t="shared" si="0"/>
        <v>12</v>
      </c>
      <c r="D37" s="161">
        <f t="shared" si="0"/>
        <v>11.76</v>
      </c>
      <c r="E37" s="147"/>
      <c r="F37" s="147"/>
      <c r="G37" s="147"/>
      <c r="H37" s="147"/>
      <c r="I37" s="147"/>
      <c r="J37" s="147"/>
      <c r="K37" s="147"/>
      <c r="L37" s="685"/>
      <c r="M37" s="685"/>
      <c r="N37" s="685"/>
      <c r="O37" s="701"/>
      <c r="P37" s="148"/>
      <c r="Q37" s="149"/>
    </row>
    <row r="38" spans="1:17" s="127" customFormat="1" ht="15.75" thickBot="1">
      <c r="A38" s="152" t="s">
        <v>106</v>
      </c>
      <c r="B38" s="164">
        <f>+O22</f>
        <v>11</v>
      </c>
      <c r="C38" s="164">
        <f>+C37</f>
        <v>12</v>
      </c>
      <c r="D38" s="164">
        <f>+D37</f>
        <v>11.76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​En el primer trimestre de 2025 (enero, febrero y marzo) se realizaron tres campañas de comunicaciones. El indicador se cumplió.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​En mayo y junio de 2025  se publicaron 2 campañas de comunicaciones.
Se proyectará la campaña faltante del segundo trimestre de 2025 en  julio de 2025 y con ello cumplir con la meta de 12 campañas al 31 de diciembre de 2025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​Para el trimestre reportado (Julio a Septiembre de 2025) se publicaron a través de los canales oficiales de Supersalud 3 piezas de comunicación con temáticas propias de los procesos del Grupo Interno de Trabajo de Correspondencia, los cuales mostraron un impacto positivo. Cumplimiento final 100%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​Para el trimestre reportado (Octubre a Diciembre de 2025) se publicaron a través de los canales oficiales de Supersalud 3 piezas de comunicación con temáticas propias de los procesos del Grupo Interno de Trabajo de Correspondencia, los cuales mostraron un impacto positivo. Cumplimiento final 100%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11 campañas de socialización de las 12 programadas para 2025, con incumplimiento el cronograma establecido.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2044-9AB4-43D4-9CC7-0B205D7092E9}">
  <sheetPr codeName="Hoja136"/>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actos administrativos con actuaciones de notificación</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Notificar los actos administrativos producidos por la Entidad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Total de actos administrativos de notificación o comunicación  gestionados en el periodo</v>
      </c>
      <c r="D10" s="711"/>
      <c r="E10" s="711"/>
      <c r="F10" s="799" t="str">
        <f>VLOOKUP(L12,Reporte!$N$5:$BN$133,6,FALSE)</f>
        <v>Este indicador mide el porcentaje de actos administrativos con actuaciones de notificación</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Total de actos administrativos recibidos para notificar  o comunicar en el periodo</v>
      </c>
      <c r="D12" s="711"/>
      <c r="E12" s="711"/>
      <c r="F12" s="799"/>
      <c r="G12" s="799"/>
      <c r="H12" s="799"/>
      <c r="I12" s="799"/>
      <c r="J12" s="712" t="str">
        <f>VLOOKUP(L12,Reporte!$N$5:$BN$133,7,FALSE)</f>
        <v>Eficiencia</v>
      </c>
      <c r="K12" s="712"/>
      <c r="L12" s="713" t="s">
        <v>191</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0.95</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1875</v>
      </c>
      <c r="F22" s="139">
        <f>VLOOKUP(L12,Reporte!$N$5:$BN$133,33,FALSE)</f>
        <v>0</v>
      </c>
      <c r="G22" s="132">
        <f>VLOOKUP(L12,Reporte!$N$5:$BN$133,34,FALSE)</f>
        <v>0</v>
      </c>
      <c r="H22" s="139">
        <f>VLOOKUP(L12,Reporte!$N$5:$BN$133,35,FALSE)</f>
        <v>5182</v>
      </c>
      <c r="I22" s="132">
        <f>VLOOKUP(L12,Reporte!$N$5:$BN$133,36,FALSE)</f>
        <v>0</v>
      </c>
      <c r="J22" s="139">
        <f>VLOOKUP(L12,Reporte!$N$5:$BN$133,37,FALSE)</f>
        <v>0</v>
      </c>
      <c r="K22" s="139">
        <f>VLOOKUP(L12,Reporte!$N$5:$BN$133,38,FALSE)</f>
        <v>8246</v>
      </c>
      <c r="L22" s="139">
        <f>VLOOKUP(L12,Reporte!$N$5:$BN$133,39,FALSE)</f>
        <v>0</v>
      </c>
      <c r="M22" s="139">
        <f>VLOOKUP(L12,Reporte!$N$5:$BN$133,40,FALSE)</f>
        <v>0</v>
      </c>
      <c r="N22" s="133">
        <f>VLOOKUP(L12,Reporte!$N$5:$BN$133,41,FALSE)</f>
        <v>11870</v>
      </c>
      <c r="O22" s="133">
        <f>SUM(C22:N22)</f>
        <v>27173</v>
      </c>
      <c r="P22" s="128"/>
    </row>
    <row r="23" spans="1:17" ht="16.5" thickBot="1">
      <c r="A23" s="690" t="s">
        <v>76</v>
      </c>
      <c r="B23" s="691"/>
      <c r="C23" s="140">
        <f>VLOOKUP(L12,Reporte!$N$5:$BN$133,42,FALSE)</f>
        <v>0</v>
      </c>
      <c r="D23" s="140">
        <f>VLOOKUP(L12,Reporte!$N$5:$BN$133,43,FALSE)</f>
        <v>0</v>
      </c>
      <c r="E23" s="140">
        <f>VLOOKUP(L12,Reporte!$N$5:$BN$133,44,FALSE)</f>
        <v>1927</v>
      </c>
      <c r="F23" s="140">
        <f>VLOOKUP(L12,Reporte!$N$5:$BN$133,45,FALSE)</f>
        <v>0</v>
      </c>
      <c r="G23" s="140">
        <f>VLOOKUP(L12,Reporte!$N$5:$BN$133,46,FALSE)</f>
        <v>0</v>
      </c>
      <c r="H23" s="140">
        <f>VLOOKUP(L12,Reporte!$N$5:$BN$133,47,FALSE)</f>
        <v>5233</v>
      </c>
      <c r="I23" s="140">
        <f>VLOOKUP(L12,Reporte!$N$5:$BN$133,48,FALSE)</f>
        <v>0</v>
      </c>
      <c r="J23" s="140">
        <f>VLOOKUP(L12,Reporte!$N$5:$BN$133,49,FALSE)</f>
        <v>0</v>
      </c>
      <c r="K23" s="140">
        <f>VLOOKUP(L12,Reporte!$N$5:$BN$133,50,FALSE)</f>
        <v>9640</v>
      </c>
      <c r="L23" s="140">
        <f>VLOOKUP(L12,Reporte!$N$5:$BN$133,51,FALSE)</f>
        <v>0</v>
      </c>
      <c r="M23" s="140">
        <f>VLOOKUP(L12,Reporte!$N$5:$BN$133,52,FALSE)</f>
        <v>0</v>
      </c>
      <c r="N23" s="141">
        <f>VLOOKUP(L12,Reporte!$N$5:$BN$133,53,FALSE)</f>
        <v>11948</v>
      </c>
      <c r="O23" s="133">
        <f>SUM(C23:N23)</f>
        <v>28748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0.95</v>
      </c>
      <c r="D26" s="146">
        <f>+C26*0.98</f>
        <v>0.93099999999999994</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0.95</v>
      </c>
      <c r="D27" s="146">
        <f>+D26</f>
        <v>0.93099999999999994</v>
      </c>
      <c r="E27" s="147"/>
      <c r="F27" s="147"/>
      <c r="G27" s="685"/>
      <c r="H27" s="685"/>
      <c r="I27" s="685"/>
      <c r="J27" s="685"/>
      <c r="K27" s="147"/>
      <c r="L27" s="685"/>
      <c r="M27" s="685"/>
      <c r="N27" s="685"/>
      <c r="O27" s="701"/>
      <c r="P27" s="148"/>
      <c r="Q27" s="149"/>
    </row>
    <row r="28" spans="1:17" s="127" customFormat="1" ht="15">
      <c r="A28" s="145" t="s">
        <v>96</v>
      </c>
      <c r="B28" s="146">
        <f>IF(ISERROR($E$22/$E$23),0,$E$22/$E$23)</f>
        <v>0.97301504929942917</v>
      </c>
      <c r="C28" s="146">
        <f t="shared" ref="C28:D37" si="0">+C27</f>
        <v>0.95</v>
      </c>
      <c r="D28" s="146">
        <f t="shared" si="0"/>
        <v>0.93099999999999994</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0.95</v>
      </c>
      <c r="D29" s="146">
        <f t="shared" si="0"/>
        <v>0.93099999999999994</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0.95</v>
      </c>
      <c r="D30" s="146">
        <f t="shared" si="0"/>
        <v>0.93099999999999994</v>
      </c>
      <c r="E30" s="147"/>
      <c r="F30" s="147"/>
      <c r="G30" s="685"/>
      <c r="H30" s="685"/>
      <c r="I30" s="685"/>
      <c r="J30" s="685"/>
      <c r="K30" s="147"/>
      <c r="L30" s="685"/>
      <c r="M30" s="685"/>
      <c r="N30" s="685"/>
      <c r="O30" s="701"/>
      <c r="P30" s="148"/>
      <c r="Q30" s="149"/>
    </row>
    <row r="31" spans="1:17" s="127" customFormat="1" ht="15">
      <c r="A31" s="145" t="s">
        <v>99</v>
      </c>
      <c r="B31" s="146">
        <f>IF(ISERROR($H$22/$H$23),0,$H$22/$H$23)</f>
        <v>0.99025415631568892</v>
      </c>
      <c r="C31" s="146">
        <f t="shared" si="0"/>
        <v>0.95</v>
      </c>
      <c r="D31" s="146">
        <f t="shared" si="0"/>
        <v>0.93099999999999994</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0.95</v>
      </c>
      <c r="D32" s="146">
        <f t="shared" si="0"/>
        <v>0.93099999999999994</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0.95</v>
      </c>
      <c r="D33" s="146">
        <f t="shared" si="0"/>
        <v>0.93099999999999994</v>
      </c>
      <c r="E33" s="147"/>
      <c r="F33" s="147"/>
      <c r="G33" s="685"/>
      <c r="H33" s="685"/>
      <c r="I33" s="685"/>
      <c r="J33" s="685"/>
      <c r="K33" s="147"/>
      <c r="L33" s="685"/>
      <c r="M33" s="685"/>
      <c r="N33" s="685"/>
      <c r="O33" s="701"/>
      <c r="P33" s="148"/>
      <c r="Q33" s="149"/>
    </row>
    <row r="34" spans="1:17" s="127" customFormat="1" ht="15">
      <c r="A34" s="145" t="s">
        <v>102</v>
      </c>
      <c r="B34" s="146">
        <f>IF(ISERROR($K$22/$K$23),0,$K$22/$K$23)</f>
        <v>0.85539419087136925</v>
      </c>
      <c r="C34" s="146">
        <f t="shared" si="0"/>
        <v>0.95</v>
      </c>
      <c r="D34" s="146">
        <f t="shared" si="0"/>
        <v>0.93099999999999994</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0.95</v>
      </c>
      <c r="D35" s="146">
        <f t="shared" si="0"/>
        <v>0.93099999999999994</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0.95</v>
      </c>
      <c r="D36" s="146">
        <f t="shared" si="0"/>
        <v>0.93099999999999994</v>
      </c>
      <c r="E36" s="147"/>
      <c r="F36" s="147"/>
      <c r="G36" s="685"/>
      <c r="H36" s="685"/>
      <c r="I36" s="685"/>
      <c r="J36" s="685"/>
      <c r="K36" s="147"/>
      <c r="L36" s="685"/>
      <c r="M36" s="685"/>
      <c r="N36" s="685"/>
      <c r="O36" s="701"/>
      <c r="P36" s="148"/>
      <c r="Q36" s="149"/>
    </row>
    <row r="37" spans="1:17" s="127" customFormat="1" ht="15.75" thickBot="1">
      <c r="A37" s="150" t="s">
        <v>105</v>
      </c>
      <c r="B37" s="151">
        <f>IF(ISERROR($N$22/$N$23),0,$N$22/$N$23)</f>
        <v>0.99347171074656848</v>
      </c>
      <c r="C37" s="146">
        <f t="shared" si="0"/>
        <v>0.95</v>
      </c>
      <c r="D37" s="146">
        <f t="shared" si="0"/>
        <v>0.93099999999999994</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0.94521358007513567</v>
      </c>
      <c r="C38" s="153">
        <f>+C37</f>
        <v>0.95</v>
      </c>
      <c r="D38" s="153">
        <f>+D37</f>
        <v>0.93099999999999994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Al corte del 31 de marzo de 2025 en la entidad se expidieron 1927 resoluciones las cuales ingresaron en su totalidad al Grupo de Gestion de Notificaciones y Comunicaciones, se gestionaron 1869, dejando en trámite 52 actos administrativos en su gran mayoría expedidos en los últimos días del mes y los cuales por distintos tramites se encuentra en gestion al corte del mes de este reporte.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​Al corte del 30 de junio de 2025 en la entidad se expidieron 5233 resoluciones las cuales ingresaron en su totalidad al Grupo de Gestion de Notificaciones y Comunicaciones, se gestionaron 5182, dejando en trámite 51 actos administrativos en su gran mayoría expedidos en los últimos días del mes y los cuales por distintos tramites se encuentra en gestion al corte del mes de este reporte.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Al corte del 30 de Septiembre de 2025 en la entidad se expidieron 9640 resoluciones las cuales ingresaron en su totalidad al Grupo de Gestión de Notificaciones y Comunicaciones, de las cuales 1325 fueron Expedidas por el Grupo de Contribución y Apoyo Técnico a finales de mes y estas deben ser corregidas por la dependencia que las expidió por lo cual no se han gestionado, de los demás Actos administrativos se gestionaron 8246, dejando en trámite 69 actos administrativos en su gran mayoría expedidos en los últimos días del mes y los cuales por distintos tramites se encuentra en gestión al corte del mes de este reporte.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​Al corte del 31 de diciembre de 2025 en la Entidad se expidieron 12.454 resoluciones de las cuales ingresaron 11.948 al Grupo de Gestión de Notificaciones y Comunicaciones y, se gestionaron 11.870, dejando en trámite 78 actos administrativos en su gran mayoría expedidos en los últimos días del mes y los cuales por distintos tramites se encuentra en gestión al corte del mes de este reporte.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gestionado 27173 administrativos de notificación o comunicación de 28748 recibidos para notificar, en los tres primeros trimestres de 2025, que corresponde al 94,5% es decir no se alcanzo la meta prevista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E1AC4-A334-4FCD-9E56-9AAEF37ED5BB}">
  <sheetPr codeName="Hoja13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28.5" customHeight="1">
      <c r="A6" s="789" t="s">
        <v>8</v>
      </c>
      <c r="B6" s="790"/>
      <c r="C6" s="711" t="str">
        <f>VLOOKUP(L12,Reporte!$N$5:$BN$133,2,FALSE)</f>
        <v>Sensibilizar a los funcionarios de la Entidad en el trámite de notificación de actos administrativos.</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Realizar sensibilización con el fin de optimizar el trámite de notificación al interior de la Entidad.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3.75" customHeight="1">
      <c r="A10" s="794"/>
      <c r="B10" s="795"/>
      <c r="C10" s="711" t="str">
        <f>VLOOKUP(L12,Reporte!$N$5:$BN$133,4,FALSE)</f>
        <v xml:space="preserve">Número de acciones realizadas con el fin dedar a conocer el proceso de notificación de los actos administrativos. </v>
      </c>
      <c r="D10" s="711"/>
      <c r="E10" s="711"/>
      <c r="F10" s="799" t="str">
        <f>VLOOKUP(L12,Reporte!$N$5:$BN$133,6,FALSE)</f>
        <v>Este indicador mide el número de Campañas realizadas en el periodo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397</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2</v>
      </c>
      <c r="D15" s="826"/>
      <c r="E15" s="827"/>
      <c r="F15" s="740" t="str">
        <f>VLOOKUP(L12,Reporte!$N$5:$BN$133,9,FALSE)</f>
        <v>Semestral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v>
      </c>
      <c r="O22" s="133">
        <f>SUM(C22:N22)</f>
        <v>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v>
      </c>
      <c r="O23" s="133">
        <f>SUM(C23:N23)</f>
        <v>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2</v>
      </c>
      <c r="D26" s="161">
        <f>+C26*0.98</f>
        <v>1.96</v>
      </c>
      <c r="E26" s="147"/>
      <c r="F26" s="147"/>
      <c r="G26" s="685"/>
      <c r="H26" s="685"/>
      <c r="I26" s="699"/>
      <c r="J26" s="699"/>
      <c r="K26" s="699"/>
      <c r="L26" s="685"/>
      <c r="M26" s="685"/>
      <c r="N26" s="685"/>
      <c r="O26" s="701"/>
      <c r="P26" s="148"/>
      <c r="Q26" s="149"/>
    </row>
    <row r="27" spans="1:17" s="127" customFormat="1" ht="15">
      <c r="A27" s="145" t="s">
        <v>95</v>
      </c>
      <c r="B27" s="161">
        <f>+D22</f>
        <v>0</v>
      </c>
      <c r="C27" s="161">
        <f>+C26</f>
        <v>2</v>
      </c>
      <c r="D27" s="161">
        <f>+D26</f>
        <v>1.96</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2</v>
      </c>
      <c r="D28" s="161">
        <f t="shared" si="0"/>
        <v>1.96</v>
      </c>
      <c r="E28" s="147"/>
      <c r="F28" s="147"/>
      <c r="G28" s="685"/>
      <c r="H28" s="685"/>
      <c r="I28" s="685"/>
      <c r="J28" s="685"/>
      <c r="K28" s="147"/>
      <c r="L28" s="685"/>
      <c r="M28" s="685"/>
      <c r="N28" s="685"/>
      <c r="O28" s="701"/>
      <c r="P28" s="148"/>
      <c r="Q28" s="149"/>
    </row>
    <row r="29" spans="1:17" s="127" customFormat="1" ht="15">
      <c r="A29" s="145" t="s">
        <v>97</v>
      </c>
      <c r="B29" s="161">
        <f>+F22</f>
        <v>0</v>
      </c>
      <c r="C29" s="161">
        <f t="shared" si="0"/>
        <v>2</v>
      </c>
      <c r="D29" s="161">
        <f t="shared" si="0"/>
        <v>1.96</v>
      </c>
      <c r="E29" s="147"/>
      <c r="F29" s="147"/>
      <c r="G29" s="685"/>
      <c r="H29" s="685"/>
      <c r="I29" s="685"/>
      <c r="J29" s="685"/>
      <c r="K29" s="147"/>
      <c r="L29" s="685"/>
      <c r="M29" s="685"/>
      <c r="N29" s="685"/>
      <c r="O29" s="701"/>
      <c r="P29" s="148"/>
      <c r="Q29" s="149"/>
    </row>
    <row r="30" spans="1:17" s="127" customFormat="1" ht="15">
      <c r="A30" s="145" t="s">
        <v>98</v>
      </c>
      <c r="B30" s="161">
        <f>+G22</f>
        <v>0</v>
      </c>
      <c r="C30" s="161">
        <f t="shared" si="0"/>
        <v>2</v>
      </c>
      <c r="D30" s="161">
        <f t="shared" si="0"/>
        <v>1.96</v>
      </c>
      <c r="E30" s="147"/>
      <c r="F30" s="147"/>
      <c r="G30" s="685"/>
      <c r="H30" s="685"/>
      <c r="I30" s="685"/>
      <c r="J30" s="685"/>
      <c r="K30" s="147"/>
      <c r="L30" s="685"/>
      <c r="M30" s="685"/>
      <c r="N30" s="685"/>
      <c r="O30" s="701"/>
      <c r="P30" s="148"/>
      <c r="Q30" s="149"/>
    </row>
    <row r="31" spans="1:17" s="127" customFormat="1" ht="15">
      <c r="A31" s="145" t="s">
        <v>99</v>
      </c>
      <c r="B31" s="161">
        <f>+H22</f>
        <v>1</v>
      </c>
      <c r="C31" s="161">
        <f t="shared" si="0"/>
        <v>2</v>
      </c>
      <c r="D31" s="161">
        <f t="shared" si="0"/>
        <v>1.96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2</v>
      </c>
      <c r="D32" s="161">
        <f t="shared" si="0"/>
        <v>1.96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2</v>
      </c>
      <c r="D33" s="161">
        <f t="shared" si="0"/>
        <v>1.96</v>
      </c>
      <c r="E33" s="147"/>
      <c r="F33" s="147"/>
      <c r="G33" s="685"/>
      <c r="H33" s="685"/>
      <c r="I33" s="685"/>
      <c r="J33" s="685"/>
      <c r="K33" s="147"/>
      <c r="L33" s="685"/>
      <c r="M33" s="685"/>
      <c r="N33" s="685"/>
      <c r="O33" s="701"/>
      <c r="P33" s="148"/>
      <c r="Q33" s="149"/>
    </row>
    <row r="34" spans="1:17" s="127" customFormat="1" ht="15">
      <c r="A34" s="145" t="s">
        <v>102</v>
      </c>
      <c r="B34" s="161">
        <f>+K22</f>
        <v>0</v>
      </c>
      <c r="C34" s="161">
        <f t="shared" si="0"/>
        <v>2</v>
      </c>
      <c r="D34" s="161">
        <f t="shared" si="0"/>
        <v>1.96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2</v>
      </c>
      <c r="D35" s="161">
        <f t="shared" si="0"/>
        <v>1.96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2</v>
      </c>
      <c r="D36" s="161">
        <f t="shared" si="0"/>
        <v>1.96</v>
      </c>
      <c r="E36" s="147"/>
      <c r="F36" s="147"/>
      <c r="G36" s="685"/>
      <c r="H36" s="685"/>
      <c r="I36" s="685"/>
      <c r="J36" s="685"/>
      <c r="K36" s="147"/>
      <c r="L36" s="685"/>
      <c r="M36" s="685"/>
      <c r="N36" s="685"/>
      <c r="O36" s="701"/>
      <c r="P36" s="148"/>
      <c r="Q36" s="149"/>
    </row>
    <row r="37" spans="1:17" s="127" customFormat="1" ht="15.75" thickBot="1">
      <c r="A37" s="150" t="s">
        <v>105</v>
      </c>
      <c r="B37" s="162">
        <f>+N22</f>
        <v>1</v>
      </c>
      <c r="C37" s="161">
        <f t="shared" si="0"/>
        <v>2</v>
      </c>
      <c r="D37" s="161">
        <f t="shared" si="0"/>
        <v>1.96</v>
      </c>
      <c r="E37" s="147"/>
      <c r="F37" s="147"/>
      <c r="G37" s="147"/>
      <c r="H37" s="147"/>
      <c r="I37" s="147"/>
      <c r="J37" s="147"/>
      <c r="K37" s="147"/>
      <c r="L37" s="685"/>
      <c r="M37" s="685"/>
      <c r="N37" s="685"/>
      <c r="O37" s="701"/>
      <c r="P37" s="148"/>
      <c r="Q37" s="149"/>
    </row>
    <row r="38" spans="1:17" s="127" customFormat="1" ht="15.75" thickBot="1">
      <c r="A38" s="152" t="s">
        <v>106</v>
      </c>
      <c r="B38" s="164">
        <f>+O22</f>
        <v>2</v>
      </c>
      <c r="C38" s="164">
        <f>+C37</f>
        <v>2</v>
      </c>
      <c r="D38" s="164">
        <f>+D37</f>
        <v>1.96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Entre las actividades realizadas para la sensibilización se solicitó a través de la dirección administrativa la creación y divulgación de una pieza grafica con información relacionada al formato DIFT05 por el cual los vigilados pueden autorizar la notificación electrónica de los actos administrativos tramitados por el grupo de gestión de notificación y comunicaciones de la dirección administrativa, se adjunta evidencia de la campaña ya realizada por correo institucional.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En el mes de julio de 2025 se adelantó con ayuda de la Oficina Asesora de Comunicaciones Estratégicas e Imagen Institucional, la actualización del video de autorización de notificación electrónica en la página web de la entidad dando cumplimiento al indicador en el segundo semestre.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2 acciones sobre proceso de notificación de actos administrativos y autorización de notificación electrónica, con 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F2C26-D6BA-46E6-9EB8-531109F61E2C}">
  <sheetPr codeName="Hoja13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FINANCIERA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Ejecución de cronograma de actividades para la implementación y sostenibilidad de la política Gestión Presupuestal y Eficiencia del Gasto Público</v>
      </c>
      <c r="D6" s="711"/>
      <c r="E6" s="711"/>
      <c r="F6" s="711"/>
      <c r="G6" s="711"/>
      <c r="H6" s="711"/>
      <c r="I6" s="711"/>
      <c r="J6" s="711"/>
      <c r="K6" s="711"/>
      <c r="L6" s="711"/>
      <c r="M6" s="711"/>
      <c r="N6" s="711"/>
      <c r="O6" s="791"/>
      <c r="P6" s="128"/>
    </row>
    <row r="7" spans="1:17" ht="58.5" customHeight="1">
      <c r="A7" s="789" t="s">
        <v>10</v>
      </c>
      <c r="B7" s="790"/>
      <c r="C7" s="711" t="str">
        <f>VLOOKUP(L12,Reporte!A5:M133,10,FALSE)</f>
        <v>Administrar, gestionar, registrar y controlar  los recursos financieros de la Entidad a través de la aplicación de  las normas legales vigentes y la gestión organizacional, que permita la  disponibilidad de recursos económicos, con el fin de contribuir de forma eficiente y eficaz al cumplimiento de las metas institucionales propuestas.</v>
      </c>
      <c r="D7" s="711"/>
      <c r="E7" s="711"/>
      <c r="F7" s="711"/>
      <c r="G7" s="711"/>
      <c r="H7" s="711"/>
      <c r="I7" s="711"/>
      <c r="J7" s="711"/>
      <c r="K7" s="711"/>
      <c r="L7" s="711"/>
      <c r="M7" s="711"/>
      <c r="N7" s="711"/>
      <c r="O7" s="791"/>
      <c r="P7" s="128"/>
    </row>
    <row r="8" spans="1:17" ht="15.75">
      <c r="A8" s="792" t="s">
        <v>1594</v>
      </c>
      <c r="B8" s="774"/>
      <c r="C8" s="711" t="str">
        <f>VLOOKUP(L12,Reporte!$A$5:$N$133,13,FALSE)</f>
        <v>Ejecutar cronograma de actividades para la implementación y sostenibilidad de la política  Gestión Presupuestal y Eficiencia del Gasto Público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84.75" customHeight="1">
      <c r="A10" s="794"/>
      <c r="B10" s="795"/>
      <c r="C10" s="711" t="str">
        <f>VLOOKUP(L12,Reporte!$N$5:$BN$133,4,FALSE)</f>
        <v>Número de actividades ejecutadas para la implementación y sostenibilidad de la política Gestión Presupuestal y Eficiencia del Gasto Público</v>
      </c>
      <c r="D10" s="711"/>
      <c r="E10" s="711"/>
      <c r="F10" s="799" t="str">
        <f>VLOOKUP(L12,Reporte!$N$5:$BN$133,6,FALSE)</f>
        <v>Este indicador mide le ejecucion presupuestal de recursos solicitado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226</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14</v>
      </c>
      <c r="D15" s="826"/>
      <c r="E15" s="827"/>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4</v>
      </c>
      <c r="F22" s="139">
        <f>VLOOKUP(L12,Reporte!$N$5:$BN$133,33,FALSE)</f>
        <v>0</v>
      </c>
      <c r="G22" s="132">
        <f>VLOOKUP(L12,Reporte!$N$5:$BN$133,34,FALSE)</f>
        <v>0</v>
      </c>
      <c r="H22" s="139">
        <f>VLOOKUP(L12,Reporte!$N$5:$BN$133,35,FALSE)</f>
        <v>3</v>
      </c>
      <c r="I22" s="132">
        <f>VLOOKUP(L12,Reporte!$N$5:$BN$133,36,FALSE)</f>
        <v>0</v>
      </c>
      <c r="J22" s="139">
        <f>VLOOKUP(L12,Reporte!$N$5:$BN$133,37,FALSE)</f>
        <v>0</v>
      </c>
      <c r="K22" s="139">
        <f>VLOOKUP(L12,Reporte!$N$5:$BN$133,38,FALSE)</f>
        <v>3</v>
      </c>
      <c r="L22" s="139">
        <f>VLOOKUP(L12,Reporte!$N$5:$BN$133,39,FALSE)</f>
        <v>0</v>
      </c>
      <c r="M22" s="139">
        <f>VLOOKUP(L12,Reporte!$N$5:$BN$133,40,FALSE)</f>
        <v>0</v>
      </c>
      <c r="N22" s="133">
        <f>VLOOKUP(L12,Reporte!$N$5:$BN$133,41,FALSE)</f>
        <v>4</v>
      </c>
      <c r="O22" s="133">
        <f>SUM(C22:N22)</f>
        <v>14</v>
      </c>
      <c r="P22" s="128"/>
    </row>
    <row r="23" spans="1:17" ht="16.5" thickBot="1">
      <c r="A23" s="690" t="s">
        <v>76</v>
      </c>
      <c r="B23" s="691"/>
      <c r="C23" s="140">
        <f>VLOOKUP(L12,Reporte!$N$5:$BN$133,42,FALSE)</f>
        <v>0</v>
      </c>
      <c r="D23" s="140">
        <f>VLOOKUP(L12,Reporte!$N$5:$BN$133,43,FALSE)</f>
        <v>0</v>
      </c>
      <c r="E23" s="140">
        <f>VLOOKUP(L12,Reporte!$N$5:$BN$133,44,FALSE)</f>
        <v>4</v>
      </c>
      <c r="F23" s="140">
        <f>VLOOKUP(L12,Reporte!$N$5:$BN$133,45,FALSE)</f>
        <v>0</v>
      </c>
      <c r="G23" s="140">
        <f>VLOOKUP(L12,Reporte!$N$5:$BN$133,46,FALSE)</f>
        <v>0</v>
      </c>
      <c r="H23" s="140">
        <f>VLOOKUP(L12,Reporte!$N$5:$BN$133,47,FALSE)</f>
        <v>3</v>
      </c>
      <c r="I23" s="140">
        <f>VLOOKUP(L12,Reporte!$N$5:$BN$133,48,FALSE)</f>
        <v>0</v>
      </c>
      <c r="J23" s="140">
        <f>VLOOKUP(L12,Reporte!$N$5:$BN$133,49,FALSE)</f>
        <v>0</v>
      </c>
      <c r="K23" s="140">
        <f>VLOOKUP(L12,Reporte!$N$5:$BN$133,50,FALSE)</f>
        <v>3</v>
      </c>
      <c r="L23" s="140">
        <f>VLOOKUP(L12,Reporte!$N$5:$BN$133,51,FALSE)</f>
        <v>0</v>
      </c>
      <c r="M23" s="140">
        <f>VLOOKUP(L12,Reporte!$N$5:$BN$133,52,FALSE)</f>
        <v>0</v>
      </c>
      <c r="N23" s="141">
        <f>VLOOKUP(L12,Reporte!$N$5:$BN$133,53,FALSE)</f>
        <v>4</v>
      </c>
      <c r="O23" s="133">
        <f>SUM(C23:N23)</f>
        <v>14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14</v>
      </c>
      <c r="D26" s="161">
        <f>+C26*0.98</f>
        <v>13.719999999999999</v>
      </c>
      <c r="E26" s="147"/>
      <c r="F26" s="147"/>
      <c r="G26" s="685"/>
      <c r="H26" s="685"/>
      <c r="I26" s="699"/>
      <c r="J26" s="699"/>
      <c r="K26" s="699"/>
      <c r="L26" s="685"/>
      <c r="M26" s="685"/>
      <c r="N26" s="685"/>
      <c r="O26" s="701"/>
      <c r="P26" s="148"/>
      <c r="Q26" s="149"/>
    </row>
    <row r="27" spans="1:17" s="127" customFormat="1" ht="15">
      <c r="A27" s="145" t="s">
        <v>95</v>
      </c>
      <c r="B27" s="161">
        <f>+D22</f>
        <v>0</v>
      </c>
      <c r="C27" s="161">
        <f>+C26</f>
        <v>14</v>
      </c>
      <c r="D27" s="161">
        <f>+D26</f>
        <v>13.719999999999999</v>
      </c>
      <c r="E27" s="147"/>
      <c r="F27" s="147"/>
      <c r="G27" s="685"/>
      <c r="H27" s="685"/>
      <c r="I27" s="685"/>
      <c r="J27" s="685"/>
      <c r="K27" s="147"/>
      <c r="L27" s="685"/>
      <c r="M27" s="685"/>
      <c r="N27" s="685"/>
      <c r="O27" s="701"/>
      <c r="P27" s="148"/>
      <c r="Q27" s="149"/>
    </row>
    <row r="28" spans="1:17" s="127" customFormat="1" ht="15">
      <c r="A28" s="145" t="s">
        <v>96</v>
      </c>
      <c r="B28" s="161">
        <f>+E22</f>
        <v>4</v>
      </c>
      <c r="C28" s="161">
        <f t="shared" ref="C28:D37" si="0">+C27</f>
        <v>14</v>
      </c>
      <c r="D28" s="161">
        <f t="shared" si="0"/>
        <v>13.719999999999999</v>
      </c>
      <c r="E28" s="147"/>
      <c r="F28" s="147"/>
      <c r="G28" s="685"/>
      <c r="H28" s="685"/>
      <c r="I28" s="685"/>
      <c r="J28" s="685"/>
      <c r="K28" s="147"/>
      <c r="L28" s="685"/>
      <c r="M28" s="685"/>
      <c r="N28" s="685"/>
      <c r="O28" s="701"/>
      <c r="P28" s="148"/>
      <c r="Q28" s="149"/>
    </row>
    <row r="29" spans="1:17" s="127" customFormat="1" ht="15">
      <c r="A29" s="145" t="s">
        <v>97</v>
      </c>
      <c r="B29" s="161">
        <f>+F22</f>
        <v>0</v>
      </c>
      <c r="C29" s="161">
        <f t="shared" si="0"/>
        <v>14</v>
      </c>
      <c r="D29" s="161">
        <f t="shared" si="0"/>
        <v>13.719999999999999</v>
      </c>
      <c r="E29" s="147"/>
      <c r="F29" s="147"/>
      <c r="G29" s="685"/>
      <c r="H29" s="685"/>
      <c r="I29" s="685"/>
      <c r="J29" s="685"/>
      <c r="K29" s="147"/>
      <c r="L29" s="685"/>
      <c r="M29" s="685"/>
      <c r="N29" s="685"/>
      <c r="O29" s="701"/>
      <c r="P29" s="148"/>
      <c r="Q29" s="149"/>
    </row>
    <row r="30" spans="1:17" s="127" customFormat="1" ht="15">
      <c r="A30" s="145" t="s">
        <v>98</v>
      </c>
      <c r="B30" s="161">
        <f>+G22</f>
        <v>0</v>
      </c>
      <c r="C30" s="161">
        <f t="shared" si="0"/>
        <v>14</v>
      </c>
      <c r="D30" s="161">
        <f t="shared" si="0"/>
        <v>13.719999999999999</v>
      </c>
      <c r="E30" s="147"/>
      <c r="F30" s="147"/>
      <c r="G30" s="685"/>
      <c r="H30" s="685"/>
      <c r="I30" s="685"/>
      <c r="J30" s="685"/>
      <c r="K30" s="147"/>
      <c r="L30" s="685"/>
      <c r="M30" s="685"/>
      <c r="N30" s="685"/>
      <c r="O30" s="701"/>
      <c r="P30" s="148"/>
      <c r="Q30" s="149"/>
    </row>
    <row r="31" spans="1:17" s="127" customFormat="1" ht="15">
      <c r="A31" s="145" t="s">
        <v>99</v>
      </c>
      <c r="B31" s="161">
        <f>+H22</f>
        <v>3</v>
      </c>
      <c r="C31" s="161">
        <f t="shared" si="0"/>
        <v>14</v>
      </c>
      <c r="D31" s="161">
        <f t="shared" si="0"/>
        <v>13.719999999999999</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14</v>
      </c>
      <c r="D32" s="161">
        <f t="shared" si="0"/>
        <v>13.719999999999999</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14</v>
      </c>
      <c r="D33" s="161">
        <f t="shared" si="0"/>
        <v>13.719999999999999</v>
      </c>
      <c r="E33" s="147"/>
      <c r="F33" s="147"/>
      <c r="G33" s="685"/>
      <c r="H33" s="685"/>
      <c r="I33" s="685"/>
      <c r="J33" s="685"/>
      <c r="K33" s="147"/>
      <c r="L33" s="685"/>
      <c r="M33" s="685"/>
      <c r="N33" s="685"/>
      <c r="O33" s="701"/>
      <c r="P33" s="148"/>
      <c r="Q33" s="149"/>
    </row>
    <row r="34" spans="1:17" s="127" customFormat="1" ht="15">
      <c r="A34" s="145" t="s">
        <v>102</v>
      </c>
      <c r="B34" s="161">
        <f>+K22</f>
        <v>3</v>
      </c>
      <c r="C34" s="161">
        <f t="shared" si="0"/>
        <v>14</v>
      </c>
      <c r="D34" s="161">
        <f t="shared" si="0"/>
        <v>13.719999999999999</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14</v>
      </c>
      <c r="D35" s="161">
        <f t="shared" si="0"/>
        <v>13.719999999999999</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14</v>
      </c>
      <c r="D36" s="161">
        <f t="shared" si="0"/>
        <v>13.719999999999999</v>
      </c>
      <c r="E36" s="147"/>
      <c r="F36" s="147"/>
      <c r="G36" s="685"/>
      <c r="H36" s="685"/>
      <c r="I36" s="685"/>
      <c r="J36" s="685"/>
      <c r="K36" s="147"/>
      <c r="L36" s="685"/>
      <c r="M36" s="685"/>
      <c r="N36" s="685"/>
      <c r="O36" s="701"/>
      <c r="P36" s="148"/>
      <c r="Q36" s="149"/>
    </row>
    <row r="37" spans="1:17" s="127" customFormat="1" ht="15.75" thickBot="1">
      <c r="A37" s="150" t="s">
        <v>105</v>
      </c>
      <c r="B37" s="162">
        <f>+N22</f>
        <v>4</v>
      </c>
      <c r="C37" s="161">
        <f t="shared" si="0"/>
        <v>14</v>
      </c>
      <c r="D37" s="161">
        <f t="shared" si="0"/>
        <v>13.719999999999999</v>
      </c>
      <c r="E37" s="147"/>
      <c r="F37" s="147"/>
      <c r="G37" s="147"/>
      <c r="H37" s="147"/>
      <c r="I37" s="147"/>
      <c r="J37" s="147"/>
      <c r="K37" s="147"/>
      <c r="L37" s="685"/>
      <c r="M37" s="685"/>
      <c r="N37" s="685"/>
      <c r="O37" s="701"/>
      <c r="P37" s="148"/>
      <c r="Q37" s="149"/>
    </row>
    <row r="38" spans="1:17" s="127" customFormat="1" ht="15.75" thickBot="1">
      <c r="A38" s="152" t="s">
        <v>106</v>
      </c>
      <c r="B38" s="164">
        <f>+O22</f>
        <v>14</v>
      </c>
      <c r="C38" s="164">
        <f>+C37</f>
        <v>14</v>
      </c>
      <c r="D38" s="164">
        <f>+D37</f>
        <v>13.719999999999999</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175.5" customHeight="1" thickBot="1">
      <c r="A45" s="682" t="str">
        <f>VLOOKUP(L12,Reporte!$N$5:$BZ$133,56,FALSE)</f>
        <v xml:space="preserve">​Se llevó a cabo el cumplimiento de las 4 actividades programadas para el primer trimestre de la siguiente manera: 
Enero:
Actividad 1:
*Se envió el 4 de febrero de 2025 a través de correo electrónico institucional el Informe de la Ejecución Presupuestal a cada una de las Dependencias junto con los saldos de RP al corte de enero de 2025.
*Se realizó Mesa de trabajo el 6 de febrero de 2025 con los enlaces de las dependencias que tienen asignado recursos de funcionamiento e inversión en la vigencia 2025 abordar los siguientes temas:
1.Informar la Ejecución Presupuestal de la entidad y de las dependencias al 31 de Enero 2025
2.Informar la Ejecución de Tiquetes aéreos al 31 de Enero 2025
3.Reservas Presupuestales al 31 de Diciembre de 2024 (Ejecutar en 2025)
4.Lineamientos frente a trámites presupuestales
Febrero:
Actividad 2:
*Se envió el 3 de marzo de 2025 a través de correo electrónico institucional el Informe de la Ejecución Presupuestal a cada una de las Dependencias junto con los saldos de RP al corte de febrero de 2025.
*Se realizó Mesa de trabajo el 7 de marzo de 2025 con los enlaces de las dependencias que tienen asignado recursos de funcionamiento e inversión en la vigencia 2025 abordar los siguientes temas:
*Informar la Ejecución Presupuestal de la entidad y de las dependencias al 28 de Febrero 2025 
*Informar la Ejecución de Tiquetes aéreos al 28 de Febrero 2025 
*Reservas Presupuestales al 31 de Diciembre de 2024 (Ejecutadas en 2025) 
*Lineamientos frente a trámites presupuestales 
Marzo:
Actividad 3:
*Se envió el 2 de abril de 2025 a través de correo electrónico institucional el Informe de la Ejecución Presupuestal a cada una de las Dependencias junto con los saldos de RP al corte de marzo de 2025.
*Se realizó Mesa de trabajo el 7 de abril de 2025 con los enlaces de las dependencias que tienen asignado recursos de funcionamiento e inversión en la vigencia 2025 abordar los siguientes temas:
•Informar la Ejecución Presupuestal de la entidad y de las dependencias al 31 de marzo 2025
•Informar la Ejecución de Tiquetes aéreos al 31 de marzo 2025
•Reservas Presupuestales al 31 de diciembre de 2024 (Ejecutadas en 2025)
•Lineamientos frente a trámites presupuestales
Actividad 4:
Se realizó la primera capacitación a las dependencias que ejecutan el presupuesto sobre los procedimientos y trámites de gestión presupuestal en la cual se abordo temas como:
-Programación Presupuestal
-Ejecución Presupuestal (CDP, Registro Presupuestal, Reserva Presupuestal, (ezago Presupuestal)
-Traslados Presupuestales y Vigencias Futuras
-Seguimiento a la Ejecución Presupuestal
Se adjuntan carpetas con evidencias de las actividades realizadas.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80.75" customHeight="1" thickBot="1">
      <c r="A51" s="670" t="str">
        <f>VLOOKUP(L12,Reporte!$N$5:$BZ$133,59,FALSE)</f>
        <v xml:space="preserve">​Se realizaron las 3 actividades programadas durante el 2do trimestre de la vigencia, las cuales corresponden a la elaboración de informes de seguimiento a la ejecución presupuestal (mensual): 
Cierre Abril:
*Se realizó mesa de trabajo el 8 de mayo de 2025 con todas las dependencias, en el marco del seguimiento a la ejecución presupuestal y la socialización por parte de la Dirección Financiera y la Secretaría General. El objetivo de esta sesión fue abordar los siguientes temas:
1.Informar la Ejecución Presupuestal de la entidad y de las dependencias al 30 de Abril 2025
2.Informar la Ejecución de Tiquetes aéreos al 30 de Abril 2025
3.Reservas Presupuestales al 31 de Diciembre de 2024 (Ejecutadas en 2025)
4.Lineamientos frente a trámites presupuestales
Cierre Mayo:
*Se envió el 5 de junio de 2025 a través de correo electrónico institucional el Informe de la Ejecución Presupuestal a cada una de las Dependencias junto con los saldos de RP al corte de mayo de 2025.
*Se realizó Mesa de trabajo el 11 de junio de 2025 con los enlaces de las dependencias que tienen asignado recursos de funcionamiento e inversión en la vigencia 2025 abordar los siguientes temas:
1.Informar la Ejecución Presupuestal de la entidad y de las dependencias al 31 de Mayo 2025
2.Informar la Ejecución de Tiquetes aéreos al 31 de Mayo 2025
3.Reservas Presupuestales al 31 de Diciembre de 2024 (Ejecutadas en 2025)
4.Lineamientos frente a trámites presupuestales
Reunión que quedó soportada con acta GE-11584 yse envió correo al Director Financiero y a la Asesora de la Secretaría General del compromiso adquirido en dicha reunión.
Cierre Junio:
*Se envió el 4 y el 7 de julio de 2025 a través de correo electrónico institucional el Informe de la Ejecución Presupuestal a cada una de las Dependencias junto con los saldos de RP al corte de junio de 2025.
*Se realizó Mesa de trabajo el 8 de julio de 2025 con los enlaces de las dependencias que tienen asignado recursos de funcionamiento e inversión en la vigencia 2025 abordar los siguientes temas:
1. Informar la Ejecución Presupuestal de la entidad y de las dependencias al 30 de junio 2025
2. Informar la Ejecución de Tiquetes aéreos al 30 de junio 2025
3. Reservas Presupuestales al 31 de diciembre de 2024 (Ejecutadas en 2025)
4. Lineamientos frente a trámites presupuestales
De la mesa de trabajo se generó el acta GE-11667 del 8 de julio de 2025 por ITS Gestión, aplicativo de la entidad.
Es importante informar a las áreas sobre la ejecución presupuestal para que la corroboren contra el control que maneja cada uno de los enlaces y aclarar todas las dudas que puedan presentar sobre los trámites presupuestales.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​Se realizaron las 3 actividades programadas durante el tercer trimestre de la vigencia, las cuales corresponden a la elaboración de informes de seguimiento a la ejecución presupuestal (mensual): 
Cierre Julio:
*Se realizó mesa de trabajo el 8 de Agosto de 2025 con todas las dependencias, en el marco del seguimiento a la ejecución presupuestal y la socialización por parte de la Dirección Financiera y la Secretaría General. El objetivo de esta sesión fue abordar los siguientes temas:
1.Informar la Ejecución Presupuestal de la entidad y de las dependencias al 31 de Julio 2025
2.Reservas Presupuestales al 31 de Diciembre de 2024 (Ejecutadas en 2025)
3.Lineamientos frente a trámites presupuestales
De la mesa de trabajo se generó el acta GE-11798 del 8 de agosto de 2025 por ITS Gestión, aplicativo de la entidad.
Cierre Agosto:
*Se envió el 2 y el 3 de septiembre de 2025 a través de correo electrónico institucional el Informe de la Ejecución Presupuestal a cada una de las Dependencias junto con los saldos de RP al corte de agosto de 2025.
*Se realizó Mesa de trabajo el 9 de septiembre de 2025 con los enlaces de las dependencias que tienen asignado recursos de funcionamiento e inversión en la vigencia 2025 abordar los siguientes temas:
1. Informar la Ejecución Presupuestal de la entidad y de las dependencias al 31 de agosto 2025
2. Reservas Presupuestales al 31 de diciembre de 2024 (ejecutadas en 2025)
3. Lineamientos frente a trámites presupuestales
De la mesa de trabajo se generó el acta GE-11948 del 9 de septiembre de 2025 por ITS Gestión, aplicativo de la entidad.
Cierre Septiembre:
*Se envió el 3 y el 6 de Octubre de 2025 a través de correo electrónico institucional el Informe de la Ejecución Presupuestal a cada una de las Dependencias junto con los saldos de RP al corte de Septiembre de 2025.
*Se realizó Mesa de trabajo el 8 de Octubre de 2025 con los enlaces de las dependencias que tienen asignado recursos de funcionamiento e inversión en la vigencia 2025 abordar los siguientes temas:
1. Informar la Ejecución Presupuestal de la entidad y de las dependencias al 30 de septiembre 2025
2. Reservas Presupuestales al 31 de diciembre de 2024 (Ejecutadas en 2025)
3. Lineamientos y recomendaciones para las áreas en Octubre.
De la mesa de trabajo se generó el acta GE-12073 del 8 de Octubre de 2025 por ITS Gestión, aplicativo de la entidad.
Es importante informar a las áreas sobre la ejecución presupuestal para que la corroboren contra el control que maneja cada uno de los enlaces y aclarar todas las dudas que puedan presentar sobre los trámites presupuestales.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Se llevó a cabo el cumplimiento de las 4 actividades programadas para el cuarto trimestre de la siguiente manera:
Cierre de Septiembre 2025 - Octubre: 
Actividad 1:
*Se envió el 3 y el 6 de Octubre de 2025 a través de correo electrónico institucional el Informe de la Ejecución Presupuestal a cada una de las Dependencias junto con los saldos de RP al corte de Septiembre de 2025.
*Se realizó Mesa de trabajo el 8 de Octubre de 2025 con los enlaces de las dependencias que tienen asignado recursos de funcionamiento e inversión en la vigencia 2025 abordar los siguientes temas:
1. Informar la Ejecución Presupuestal de la entidad y de las dependencias al 30 de septiembre 2025
2. Reservas Presupuestales al 31 de diciembre de 2024 (Ejecutadas en 2025)
3. Lineamientos y recomendaciones para las áreas en Octubre.
De la mesa de trabajo se generó el acta GE-12073 del 8 de Octubre de 2025 por ITS Gestión, aplicativo de la entidad.
Cierre de Octubre 2025 - Noviembre:
Actividad 2:
*Se envió el 4 y 6 de noviembre de 2025 a través de correo electrónico institucional el Informe de la Ejecución Presupuestal a cada una de las Dependencias junto con los saldos de RP al corte de octubre de 2025.
*Se realizó Mesa de trabajo el 10 de noviembre de 2025 con los enlaces de las dependencias que tienen asignado recursos de funcionamiento e inversión en la vigencia 2025 abordando los siguientes temas:
1. Informar la Ejecución Presupuestal de la entidad y de las dependencias al 31 de octubre 2025.
2. Reservas Presupuestales al 31 de diciembre de 2024 (Ejecutadas en 2025).
3. Lineamientos frente a trámites presupuestales.
De la mesa de trabajo se genera el acta GE-12227 del 10-11-2025 por ITS Gestión, aplicativo de la entidad.
Es importante informar a las áreas sobre la ejecución presupuestal para que la corroboren contra el control que maneja cada uno de los enlaces y aclarar todas las dudas que puedan presentar sobre los trámites presupuestales.
Cierre de Noviembre 2025 - Diciembre:
Actividad 3:
*Se envió entre el 2 y 9 de diciembre de 2025 a través de correo electrónico institucional, el Informe de la Ejecución Presupuestal a cada una de las Dependencias junto con los saldos de RP al corte de noviembre de 2025.
*Se realizó Mesa de trabajo el 9 de diciembre de 2025 con los enlaces de las dependencias que tienen asignado recursos de funcionamiento e inversión en la vigencia 2025 abordando los siguientes temas:
1. Informar la Ejecución Presupuestal de la entidad y de las dependencias al 30 de noviembre 2025.
2. Reservas Presupuestales al 31 de diciembre de 2024 (Ejecutadas en 2025).
3. Lineamientos frente a trámites presupuestales.
De la mesa de trabajo se genera el acta mediante ITS Gestión, aplicativo de la entidad.
Es importante informar a las áreas sobre la ejecución presupuestal para que la corroboren contra el control que maneja cada uno de los enlaces y aclarar todas las dudas que puedan presentar sobre los trámites presupuestales.
Actividad 4 - Noviembre: Se realizó la segunda capacitación a las dependencias que ejecutan el presupuesto sobre los procedimientos y trámites de gestión presupuestal en la cual se abordo temas como:
-Programación Presupuestal
-Ejecución Presupuestal (CDP, Registro Presupuestal, Reserva Presupuestal, (ezago Presupuestal)
-Traslados Presupuestales y Vigencias Futuras
-Seguimiento a la Ejecución Presupuestal
Se adjuntan carpetas con evidencias de las actividades realizadas.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14 actividades para implementación de política PyEGP, con cumplimiento la meta de establecida para 2025.No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14AB2-94B7-491B-B314-50577FAF63DB}">
  <sheetPr codeName="Hoja13"/>
  <dimension ref="A1:I55"/>
  <sheetViews>
    <sheetView zoomScaleNormal="100" workbookViewId="0">
      <pane ySplit="9" topLeftCell="A10" activePane="bottomLeft" state="frozen"/>
      <selection activeCell="D16" sqref="D16"/>
      <selection pane="bottomLeft" activeCell="A10" sqref="A10"/>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58" t="s">
        <v>1588</v>
      </c>
      <c r="D7" s="658"/>
      <c r="E7" s="42"/>
      <c r="F7" s="36"/>
      <c r="G7" s="36"/>
    </row>
    <row r="8" spans="1:7" ht="20.25" customHeight="1">
      <c r="A8" s="36"/>
      <c r="B8" s="41"/>
      <c r="C8" s="658"/>
      <c r="D8" s="658"/>
      <c r="E8" s="42"/>
      <c r="F8" s="36"/>
      <c r="G8" s="36"/>
    </row>
    <row r="9" spans="1:7">
      <c r="A9" s="36"/>
      <c r="B9" s="41"/>
      <c r="C9" s="51"/>
      <c r="D9" s="36"/>
      <c r="E9" s="42"/>
      <c r="F9" s="36"/>
      <c r="G9" s="36"/>
    </row>
    <row r="10" spans="1:7" ht="28.5">
      <c r="A10" s="36"/>
      <c r="B10" s="41"/>
      <c r="C10" s="56" t="s">
        <v>266</v>
      </c>
      <c r="D10" s="60" t="s">
        <v>268</v>
      </c>
      <c r="E10" s="42"/>
      <c r="F10" s="36"/>
      <c r="G10" s="36"/>
    </row>
    <row r="11" spans="1:7">
      <c r="A11" s="36"/>
      <c r="B11" s="41"/>
      <c r="C11" s="56" t="s">
        <v>312</v>
      </c>
      <c r="D11" s="60" t="s">
        <v>314</v>
      </c>
      <c r="E11" s="42"/>
      <c r="F11" s="36"/>
      <c r="G11" s="36"/>
    </row>
    <row r="12" spans="1:7">
      <c r="A12" s="36"/>
      <c r="B12" s="41"/>
      <c r="C12" s="56" t="s">
        <v>1245</v>
      </c>
      <c r="D12" s="60" t="s">
        <v>1247</v>
      </c>
      <c r="E12" s="42"/>
      <c r="F12" s="36"/>
      <c r="G12" s="36"/>
    </row>
    <row r="13" spans="1:7" ht="15" thickBot="1">
      <c r="A13" s="36"/>
      <c r="B13" s="43"/>
      <c r="C13" s="54"/>
      <c r="D13" s="44"/>
      <c r="E13" s="45"/>
      <c r="F13" s="36"/>
    </row>
    <row r="14" spans="1:7">
      <c r="A14" s="36"/>
      <c r="B14" s="36"/>
      <c r="C14" s="51"/>
      <c r="D14" s="36"/>
      <c r="E14" s="36"/>
      <c r="F14" s="36"/>
    </row>
    <row r="15" spans="1:7"/>
    <row r="16" spans="1:7"/>
    <row r="17"/>
    <row r="18"/>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sheetData>
  <mergeCells count="1">
    <mergeCell ref="C7:D8"/>
  </mergeCells>
  <hyperlinks>
    <hyperlink ref="C10" location="'DI14'!Área_de_impresión" display="DI14" xr:uid="{F328C3EC-F64B-4D29-B600-C075F29A96D2}"/>
    <hyperlink ref="C11" location="'DI35'!Área_de_impresión" display="DI35" xr:uid="{BC837FE2-F24A-402F-B8B9-9866E441DF34}"/>
    <hyperlink ref="C12" location="'DI17'!Área_de_impresión" display="DI17" xr:uid="{D9D963F8-14D2-4FC1-A905-914266C879BF}"/>
  </hyperlinks>
  <pageMargins left="0.7" right="0.7" top="0.75" bottom="0.75" header="0.3" footer="0.3"/>
  <pageSetup paperSize="9" scale="76" orientation="portrait" r:id="rId1"/>
  <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3614A4-3CDF-48A5-B1F7-DBA05DAB3830}">
  <sheetPr codeName="Hoja139"/>
  <dimension ref="A1:Q67"/>
  <sheetViews>
    <sheetView view="pageBreakPreview" zoomScale="80" zoomScaleNormal="73" zoomScaleSheetLayoutView="80" zoomScalePageLayoutView="55" workbookViewId="0">
      <selection activeCell="Q25" sqref="Q25"/>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FINANCIERA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Ejecución total del presupuesto en Compromisos</v>
      </c>
      <c r="D6" s="711"/>
      <c r="E6" s="711"/>
      <c r="F6" s="711"/>
      <c r="G6" s="711"/>
      <c r="H6" s="711"/>
      <c r="I6" s="711"/>
      <c r="J6" s="711"/>
      <c r="K6" s="711"/>
      <c r="L6" s="711"/>
      <c r="M6" s="711"/>
      <c r="N6" s="711"/>
      <c r="O6" s="791"/>
      <c r="P6" s="128"/>
    </row>
    <row r="7" spans="1:17" ht="58.5" customHeight="1">
      <c r="A7" s="789" t="s">
        <v>10</v>
      </c>
      <c r="B7" s="790"/>
      <c r="C7" s="711" t="str">
        <f>VLOOKUP(L12,Reporte!A5:M133,10,FALSE)</f>
        <v>Administrar, gestionar, registrar y controlar  los recursos financieros de la Entidad a través de la aplicación de  las normas legales vigentes y la gestión organizacional, que permita la  disponibilidad de recursos económicos, con el fin de contribuir de forma eficiente y eficaz al cumplimiento de las metas institucionales propuestas.</v>
      </c>
      <c r="D7" s="711"/>
      <c r="E7" s="711"/>
      <c r="F7" s="711"/>
      <c r="G7" s="711"/>
      <c r="H7" s="711"/>
      <c r="I7" s="711"/>
      <c r="J7" s="711"/>
      <c r="K7" s="711"/>
      <c r="L7" s="711"/>
      <c r="M7" s="711"/>
      <c r="N7" s="711"/>
      <c r="O7" s="791"/>
      <c r="P7" s="128"/>
    </row>
    <row r="8" spans="1:17" ht="15.75">
      <c r="A8" s="792" t="s">
        <v>1594</v>
      </c>
      <c r="B8" s="774"/>
      <c r="C8" s="711" t="str">
        <f>VLOOKUP(L12,Reporte!$A$5:$N$133,13,FALSE)</f>
        <v>Medir y reportar la ejecución total del presupuesto en compromisos.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30" customHeight="1">
      <c r="A10" s="794"/>
      <c r="B10" s="795"/>
      <c r="C10" s="711" t="str">
        <f>VLOOKUP(L12,Reporte!$N$5:$BN$133,4,FALSE)</f>
        <v xml:space="preserve">Compromisos total </v>
      </c>
      <c r="D10" s="711"/>
      <c r="E10" s="711"/>
      <c r="F10" s="799" t="str">
        <f>VLOOKUP(L12,Reporte!$N$5:$BN$133,6,FALSE)</f>
        <v>Este indicador mide le ejecucion presupuestal en compromisos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30" customHeight="1" thickBot="1">
      <c r="A12" s="796"/>
      <c r="B12" s="768"/>
      <c r="C12" s="710" t="str">
        <f>VLOOKUP(L12,Reporte!$N$5:$BN$133,5,FALSE)</f>
        <v xml:space="preserve"> Apropiación total final*100</v>
      </c>
      <c r="D12" s="711"/>
      <c r="E12" s="711"/>
      <c r="F12" s="799"/>
      <c r="G12" s="799"/>
      <c r="H12" s="799"/>
      <c r="I12" s="799"/>
      <c r="J12" s="712" t="str">
        <f>VLOOKUP(L12,Reporte!$N$5:$BN$133,7,FALSE)</f>
        <v>Efectividad</v>
      </c>
      <c r="K12" s="712"/>
      <c r="L12" s="713" t="s">
        <v>231</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0.9</v>
      </c>
      <c r="D15" s="735"/>
      <c r="E15" s="729"/>
      <c r="F15" s="740" t="str">
        <f>VLOOKUP(L12,Reporte!$N$5:$BN$133,9,FALSE)</f>
        <v>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s="178" customFormat="1" ht="12.75">
      <c r="A22" s="850" t="s">
        <v>63</v>
      </c>
      <c r="B22" s="851"/>
      <c r="C22" s="216">
        <f>VLOOKUP(L12,Reporte!$N$5:$BN$133,30,FALSE)</f>
        <v>0</v>
      </c>
      <c r="D22" s="216">
        <f>VLOOKUP(L12,Reporte!$N$5:$BN$133,31,FALSE)</f>
        <v>0</v>
      </c>
      <c r="E22" s="216">
        <f>VLOOKUP(L12,Reporte!$N$5:$BN$133,32,FALSE)</f>
        <v>96859043620</v>
      </c>
      <c r="F22" s="217">
        <f>VLOOKUP(L12,Reporte!$N$5:$BN$133,33,FALSE)</f>
        <v>0</v>
      </c>
      <c r="G22" s="216">
        <f>VLOOKUP(L12,Reporte!$N$5:$BN$133,34,FALSE)</f>
        <v>0</v>
      </c>
      <c r="H22" s="217">
        <f>VLOOKUP(L12,Reporte!$N$5:$BN$133,35,FALSE)</f>
        <v>149357146852</v>
      </c>
      <c r="I22" s="216">
        <f>VLOOKUP(L12,Reporte!$N$5:$BN$133,36,FALSE)</f>
        <v>0</v>
      </c>
      <c r="J22" s="217">
        <f>VLOOKUP(L12,Reporte!$N$5:$BN$133,37,FALSE)</f>
        <v>0</v>
      </c>
      <c r="K22" s="217">
        <f>VLOOKUP(L12,Reporte!$N$5:$BN$133,38,FALSE)</f>
        <v>229777018957</v>
      </c>
      <c r="L22" s="217">
        <f>VLOOKUP(L12,Reporte!$N$5:$BN$133,39,FALSE)</f>
        <v>0</v>
      </c>
      <c r="M22" s="217">
        <f>VLOOKUP(L12,Reporte!$N$5:$BN$133,40,FALSE)</f>
        <v>0</v>
      </c>
      <c r="N22" s="218">
        <f>VLOOKUP(L12,Reporte!$N$5:$BN$133,41,FALSE)</f>
        <v>315358112464</v>
      </c>
      <c r="O22" s="218">
        <f>+N22</f>
        <v>315358112464</v>
      </c>
      <c r="P22" s="176"/>
      <c r="Q22" s="177"/>
    </row>
    <row r="23" spans="1:17" s="178" customFormat="1" ht="13.5" thickBot="1">
      <c r="A23" s="852" t="s">
        <v>76</v>
      </c>
      <c r="B23" s="853"/>
      <c r="C23" s="219">
        <f>VLOOKUP(L12,Reporte!$N$5:$BN$133,42,FALSE)</f>
        <v>0</v>
      </c>
      <c r="D23" s="219">
        <f>VLOOKUP(L12,Reporte!$N$5:$BN$133,43,FALSE)</f>
        <v>0</v>
      </c>
      <c r="E23" s="219">
        <f>VLOOKUP(L12,Reporte!$N$5:$BN$133,44,FALSE)</f>
        <v>326211744691</v>
      </c>
      <c r="F23" s="219">
        <f>VLOOKUP(L12,Reporte!$N$5:$BN$133,45,FALSE)</f>
        <v>0</v>
      </c>
      <c r="G23" s="219">
        <f>VLOOKUP(L12,Reporte!$N$5:$BN$133,46,FALSE)</f>
        <v>0</v>
      </c>
      <c r="H23" s="219">
        <f>VLOOKUP(L12,Reporte!$N$5:$BN$133,47,FALSE)</f>
        <v>326211744691</v>
      </c>
      <c r="I23" s="219">
        <f>VLOOKUP(L12,Reporte!$N$5:$BN$133,48,FALSE)</f>
        <v>0</v>
      </c>
      <c r="J23" s="219">
        <f>VLOOKUP(L12,Reporte!$N$5:$BN$133,49,FALSE)</f>
        <v>0</v>
      </c>
      <c r="K23" s="219">
        <f>VLOOKUP(L12,Reporte!$N$5:$BN$133,50,FALSE)</f>
        <v>326211744691</v>
      </c>
      <c r="L23" s="219">
        <f>VLOOKUP(L12,Reporte!$N$5:$BN$133,51,FALSE)</f>
        <v>0</v>
      </c>
      <c r="M23" s="219">
        <f>VLOOKUP(L12,Reporte!$N$5:$BN$133,52,FALSE)</f>
        <v>0</v>
      </c>
      <c r="N23" s="220">
        <f>VLOOKUP(L12,Reporte!$N$5:$BN$133,53,FALSE)</f>
        <v>316593914285</v>
      </c>
      <c r="O23" s="218">
        <f>N23</f>
        <v>316593914285</v>
      </c>
      <c r="P23" s="176"/>
      <c r="Q23" s="177"/>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v>
      </c>
      <c r="D26" s="146">
        <f>+C26*0.98</f>
        <v>0.88200000000000001</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v>
      </c>
      <c r="D27" s="146">
        <f>+D26</f>
        <v>0.88200000000000001</v>
      </c>
      <c r="E27" s="147"/>
      <c r="F27" s="147"/>
      <c r="G27" s="685"/>
      <c r="H27" s="685"/>
      <c r="I27" s="685"/>
      <c r="J27" s="685"/>
      <c r="K27" s="147"/>
      <c r="L27" s="685"/>
      <c r="M27" s="685"/>
      <c r="N27" s="685"/>
      <c r="O27" s="701"/>
      <c r="P27" s="148"/>
      <c r="Q27" s="149"/>
    </row>
    <row r="28" spans="1:17" s="127" customFormat="1" ht="15">
      <c r="A28" s="145" t="s">
        <v>96</v>
      </c>
      <c r="B28" s="146">
        <f>IF(ISERROR($E$22/$E$23),0,$E$22/$E$23)</f>
        <v>0.29692077368872333</v>
      </c>
      <c r="C28" s="146">
        <f t="shared" ref="C28:D37" si="0">+C27</f>
        <v>0.9</v>
      </c>
      <c r="D28" s="146">
        <f t="shared" si="0"/>
        <v>0.88200000000000001</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0.9</v>
      </c>
      <c r="D29" s="146">
        <f t="shared" si="0"/>
        <v>0.88200000000000001</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0.9</v>
      </c>
      <c r="D30" s="146">
        <f t="shared" si="0"/>
        <v>0.88200000000000001</v>
      </c>
      <c r="E30" s="147"/>
      <c r="F30" s="147"/>
      <c r="G30" s="685"/>
      <c r="H30" s="685"/>
      <c r="I30" s="685"/>
      <c r="J30" s="685"/>
      <c r="K30" s="147"/>
      <c r="L30" s="685"/>
      <c r="M30" s="685"/>
      <c r="N30" s="685"/>
      <c r="O30" s="701"/>
      <c r="P30" s="148"/>
      <c r="Q30" s="149"/>
    </row>
    <row r="31" spans="1:17" s="127" customFormat="1" ht="15">
      <c r="A31" s="145" t="s">
        <v>99</v>
      </c>
      <c r="B31" s="146">
        <f>IF(ISERROR($H$22/$H$23),0,$H$22/$H$23)</f>
        <v>0.45785337064879955</v>
      </c>
      <c r="C31" s="146">
        <f t="shared" si="0"/>
        <v>0.9</v>
      </c>
      <c r="D31" s="146">
        <f t="shared" si="0"/>
        <v>0.88200000000000001</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v>
      </c>
      <c r="D32" s="146">
        <f t="shared" si="0"/>
        <v>0.88200000000000001</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0.9</v>
      </c>
      <c r="D33" s="146">
        <f t="shared" si="0"/>
        <v>0.88200000000000001</v>
      </c>
      <c r="E33" s="147"/>
      <c r="F33" s="147"/>
      <c r="G33" s="685"/>
      <c r="H33" s="685"/>
      <c r="I33" s="685"/>
      <c r="J33" s="685"/>
      <c r="K33" s="147"/>
      <c r="L33" s="685"/>
      <c r="M33" s="685"/>
      <c r="N33" s="685"/>
      <c r="O33" s="701"/>
      <c r="P33" s="148"/>
      <c r="Q33" s="149"/>
    </row>
    <row r="34" spans="1:17" s="127" customFormat="1" ht="15">
      <c r="A34" s="145" t="s">
        <v>102</v>
      </c>
      <c r="B34" s="146">
        <f>IF(ISERROR($K$22/$K$23),0,$K$22/$K$23)</f>
        <v>0.70437997005488995</v>
      </c>
      <c r="C34" s="146">
        <f t="shared" si="0"/>
        <v>0.9</v>
      </c>
      <c r="D34" s="146">
        <f t="shared" si="0"/>
        <v>0.88200000000000001</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v>
      </c>
      <c r="D35" s="146">
        <f t="shared" si="0"/>
        <v>0.88200000000000001</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v>
      </c>
      <c r="D36" s="146">
        <f t="shared" si="0"/>
        <v>0.88200000000000001</v>
      </c>
      <c r="E36" s="147"/>
      <c r="F36" s="147"/>
      <c r="G36" s="685"/>
      <c r="H36" s="685"/>
      <c r="I36" s="685"/>
      <c r="J36" s="685"/>
      <c r="K36" s="147"/>
      <c r="L36" s="685"/>
      <c r="M36" s="685"/>
      <c r="N36" s="685"/>
      <c r="O36" s="701"/>
      <c r="P36" s="148"/>
      <c r="Q36" s="149"/>
    </row>
    <row r="37" spans="1:17" s="127" customFormat="1" ht="15.75" thickBot="1">
      <c r="A37" s="150" t="s">
        <v>105</v>
      </c>
      <c r="B37" s="151">
        <f>IF(ISERROR($N$22/$N$23),0,$N$22/$N$23)</f>
        <v>0.99609657114290728</v>
      </c>
      <c r="C37" s="146">
        <f t="shared" si="0"/>
        <v>0.9</v>
      </c>
      <c r="D37" s="146">
        <f t="shared" si="0"/>
        <v>0.88200000000000001</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0.99609657114290728</v>
      </c>
      <c r="C38" s="153">
        <f>+C37</f>
        <v>0.9</v>
      </c>
      <c r="D38" s="153">
        <f>+D37</f>
        <v>0.88200000000000001</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 La apropiación asignada a la Superintendencia Nacional de Salud (SNS) para la vigencia 2025 ascendió a $326.211.744.691. De este total, se ejecutaron compromisos por la suma de $96.859.043.620, lo que representa el 29,7% de la apropiación. Este resultado es mayor al 20% al programado en los indicadores de gestión, significa que se cumple a satisfacción el indicador.
En cuanto a la ejecución presupuestal de los recursos de funcionamiento e inversión, se presenta lo siguiente:
• Recursos de funcionamiento: $67.687.413.848,64, lo que representa el 28,3% de la apropiación vigente de $239.012.900.000.
• Recursos de inversión: $29.171.629.771,44, equivalente al 33,5% de la apropiación vigente de $87.198.844.691
 Es importante resaltar que la ejecución por obligaciones alcanzó los $49.670.956.864,92 lo que representa el 15,2%, y la ejecución por pagos fue de $49.626.084.256,92 equivalente al 15,2%.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63.75" customHeight="1" thickBot="1">
      <c r="A51" s="670" t="str">
        <f>VLOOKUP(L12,Reporte!$N$5:$BZ$133,59,FALSE)</f>
        <v xml:space="preserve">​La apropiación asignada a la Superintendencia Nacional de Salud (SNS) para la vigencia 2025 ascendió a $326.211.744.691. De este total, se ejecutaron compromisos por la suma de $149.357.146.852,02, lo que representa el 45,8% de la apropiación. Este resultado es mayor al 40% al programado en los indicadores de gestión, significa que se cumple a satisfacción el indicador.
En cuanto a la ejecución presupuestal de los recursos de funcionamiento e inversión, se presenta lo siguiente:
• Recursos de funcionamiento: $104.612.787.030,32, lo que representa el 43,8% de la apropiación vigente de $239.012.900.000.
• Recursos de inversión: $44.744.359.821,7, equivalente al 51,3% de la apropiación vigente de $87.198.844.691
Es importante resaltar que la ejecución por obligaciones alcanzó los $98.787.131.396,37 lo que representa el 30,3%, y la ejecución por pagos fue de $98.773.344.767,1 equivalente al 30,3%.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​La apropiación asignada a la Superintendencia Nacional de Salud (SNS) para la vigencia 2025 ascendió a $ 326.211.744.691. De este total, se ejecutaron compromisos por la suma de $ 229.777.018.957, lo que representa el 70,4% de la apropiación. Alcanzando la meta programada para el tercer trimestre del 70% en el indicador de gestión, significa que se cumple a satisfacción.
En cuanto a la ejecución presupuestal de los recursos de funcionamiento e inversión, se presenta lo siguiente:
- Recursos de funcionamiento: $163.021.262.623, lo que representa el 68,2% de la apropiación vigente de $ 239.012.900.000.
- Recursos de inversión: $ 66.755.756.334, equivalente al 76,6% de la apropiación vigente de $87.198.844.691.
Es importante resaltar que la ejecución por obligaciones alcanzó los $ 188.032.726.316 lo que representa el 57,6%, y la ejecución por pagos fue de $ 187.918.550.863 equivalente al 58%.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 La apropiación asignada a la Superintendencia Nacional de Salud (SNS) para la vigencia 2025 ascendió a $316.593.914.285. De este total, se ejecutaron compromisos por la suma de $315.358.112.464, lo que representa el 99,6% de la apropiación. Este resultado es mayor al 90% al programado en los indicadores de gestión, significa que se cumple a satisfacción el indicador.
En cuanto a la ejecución presupuestal de los recursos de funcionamiento e inversión, se presenta lo siguiente:
• Recursos de funcionamiento: $231.232.090.186, lo que representa el 99,6% de la apropiación vigente de $232.066.462.183.
• Recursos de inversión: $84.126.022.278, equivalente al 99,5% de la apropiación vigente de $84.527.452.102
Es importante resaltar que la ejecución por obligaciones alcanzó los $307.679.490.143 lo que representa el 97,2%, y la ejecución por pagos fue de $287.917.019.157 equivalente al 90,9%.
Se reporta el avance con corte al 31 de diciembre de 2025, según reporte del SIIF Nación del día 09 de enero de 2026. La información está sujeta a actualización en el marco del proceso de cierre presupuestal de la vigencia 2025 que finaliza el 20 de enero de 2026.​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comprometieron recursos por valor de $315.358.112.464 del total apropiado para 2025 por $316.593.914.285, es decir un compromiso presupuestal del 99,6%, con sobrecumplimiento de 111% con respecto de la meta porcentual establecida de 90%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B1178-A44C-4D85-A41B-61D7824B7273}">
  <sheetPr codeName="Hoja14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FINANCIERA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en la oportunidad en la gestión de pagos. </v>
      </c>
      <c r="D6" s="711"/>
      <c r="E6" s="711"/>
      <c r="F6" s="711"/>
      <c r="G6" s="711"/>
      <c r="H6" s="711"/>
      <c r="I6" s="711"/>
      <c r="J6" s="711"/>
      <c r="K6" s="711"/>
      <c r="L6" s="711"/>
      <c r="M6" s="711"/>
      <c r="N6" s="711"/>
      <c r="O6" s="791"/>
      <c r="P6" s="128"/>
    </row>
    <row r="7" spans="1:17" ht="58.5" customHeight="1">
      <c r="A7" s="789" t="s">
        <v>10</v>
      </c>
      <c r="B7" s="790"/>
      <c r="C7" s="711" t="str">
        <f>VLOOKUP(L12,Reporte!A5:M133,10,FALSE)</f>
        <v>Administrar, gestionar, registrar y controlar  los recursos financieros de la Entidad a través de la aplicación de  las normas legales vigentes y la gestión organizacional, que permita la  disponibilidad de recursos económicos, con el fin de contribuir de forma eficiente y eficaz al cumplimiento de las metas institucionales propuestas.</v>
      </c>
      <c r="D7" s="711"/>
      <c r="E7" s="711"/>
      <c r="F7" s="711"/>
      <c r="G7" s="711"/>
      <c r="H7" s="711"/>
      <c r="I7" s="711"/>
      <c r="J7" s="711"/>
      <c r="K7" s="711"/>
      <c r="L7" s="711"/>
      <c r="M7" s="711"/>
      <c r="N7" s="711"/>
      <c r="O7" s="791"/>
      <c r="P7" s="128"/>
    </row>
    <row r="8" spans="1:17" ht="15.75">
      <c r="A8" s="792" t="s">
        <v>1594</v>
      </c>
      <c r="B8" s="774"/>
      <c r="C8" s="711" t="str">
        <f>VLOOKUP(L12,Reporte!$A$5:$N$133,13,FALSE)</f>
        <v>Calcular el porcentaje de pagos realizados en los tiempos establecidos en la circular vigente.</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cuentas gestionadas en termino igual o menor a 5 días </v>
      </c>
      <c r="D10" s="711"/>
      <c r="E10" s="711"/>
      <c r="F10" s="799" t="str">
        <f>VLOOKUP(L12,Reporte!$N$5:$BN$133,6,FALSE)</f>
        <v>Este indicador mide el número de cuentas gestionadas en término igual o menor a 5 días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Numero de cuentas recibidas para pago en el mes</v>
      </c>
      <c r="D12" s="711"/>
      <c r="E12" s="711"/>
      <c r="F12" s="799"/>
      <c r="G12" s="799"/>
      <c r="H12" s="799"/>
      <c r="I12" s="799"/>
      <c r="J12" s="712" t="str">
        <f>VLOOKUP(L12,Reporte!$N$5:$BN$133,7,FALSE)</f>
        <v>Eficiencia</v>
      </c>
      <c r="K12" s="712"/>
      <c r="L12" s="713" t="s">
        <v>216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Mensual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42</v>
      </c>
      <c r="D22" s="132">
        <f>VLOOKUP(L12,Reporte!$N$5:$BN$133,31,FALSE)</f>
        <v>129</v>
      </c>
      <c r="E22" s="132">
        <f>VLOOKUP(L12,Reporte!$N$5:$BN$133,32,FALSE)</f>
        <v>122</v>
      </c>
      <c r="F22" s="139">
        <f>VLOOKUP(L12,Reporte!$N$5:$BN$133,33,FALSE)</f>
        <v>146</v>
      </c>
      <c r="G22" s="132">
        <f>VLOOKUP(L12,Reporte!$N$5:$BN$133,34,FALSE)</f>
        <v>140</v>
      </c>
      <c r="H22" s="139">
        <f>VLOOKUP(L12,Reporte!$N$5:$BN$133,35,FALSE)</f>
        <v>423</v>
      </c>
      <c r="I22" s="132">
        <f>VLOOKUP(L12,Reporte!$N$5:$BN$133,36,FALSE)</f>
        <v>211</v>
      </c>
      <c r="J22" s="139">
        <f>VLOOKUP(L12,Reporte!$N$5:$BN$133,37,FALSE)</f>
        <v>203</v>
      </c>
      <c r="K22" s="139">
        <f>VLOOKUP(L12,Reporte!$N$5:$BN$133,38,FALSE)</f>
        <v>436</v>
      </c>
      <c r="L22" s="139">
        <f>VLOOKUP(L12,Reporte!$N$5:$BN$133,39,FALSE)</f>
        <v>259</v>
      </c>
      <c r="M22" s="139">
        <f>VLOOKUP(L12,Reporte!$N$5:$BN$133,40,FALSE)</f>
        <v>302</v>
      </c>
      <c r="N22" s="133">
        <f>VLOOKUP(L12,Reporte!$N$5:$BN$133,41,FALSE)</f>
        <v>829</v>
      </c>
      <c r="O22" s="133">
        <f>SUM(C22:N22)</f>
        <v>3242</v>
      </c>
      <c r="P22" s="128"/>
    </row>
    <row r="23" spans="1:17" ht="16.5" thickBot="1">
      <c r="A23" s="690" t="s">
        <v>76</v>
      </c>
      <c r="B23" s="691"/>
      <c r="C23" s="140">
        <f>VLOOKUP(L12,Reporte!$N$5:$BN$133,42,FALSE)</f>
        <v>42</v>
      </c>
      <c r="D23" s="140">
        <f>VLOOKUP(L12,Reporte!$N$5:$BN$133,43,FALSE)</f>
        <v>129</v>
      </c>
      <c r="E23" s="140">
        <f>VLOOKUP(L12,Reporte!$N$5:$BN$133,44,FALSE)</f>
        <v>122</v>
      </c>
      <c r="F23" s="140">
        <f>VLOOKUP(L12,Reporte!$N$5:$BN$133,45,FALSE)</f>
        <v>146</v>
      </c>
      <c r="G23" s="140">
        <f>VLOOKUP(L12,Reporte!$N$5:$BN$133,46,FALSE)</f>
        <v>140</v>
      </c>
      <c r="H23" s="140">
        <f>VLOOKUP(L12,Reporte!$N$5:$BN$133,47,FALSE)</f>
        <v>423</v>
      </c>
      <c r="I23" s="140">
        <f>VLOOKUP(L12,Reporte!$N$5:$BN$133,48,FALSE)</f>
        <v>211</v>
      </c>
      <c r="J23" s="140">
        <f>VLOOKUP(L12,Reporte!$N$5:$BN$133,49,FALSE)</f>
        <v>203</v>
      </c>
      <c r="K23" s="140">
        <f>VLOOKUP(L12,Reporte!$N$5:$BN$133,50,FALSE)</f>
        <v>436</v>
      </c>
      <c r="L23" s="140">
        <f>VLOOKUP(L12,Reporte!$N$5:$BN$133,51,FALSE)</f>
        <v>259</v>
      </c>
      <c r="M23" s="140">
        <f>VLOOKUP(L12,Reporte!$N$5:$BN$133,52,FALSE)</f>
        <v>302</v>
      </c>
      <c r="N23" s="141">
        <f>VLOOKUP(L12,Reporte!$N$5:$BN$133,53,FALSE)</f>
        <v>829</v>
      </c>
      <c r="O23" s="133">
        <f>SUM(C23:N23)</f>
        <v>3242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1</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1</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1</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1</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1</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1</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1</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1</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 xml:space="preserve">​Durante el mes de Enero, se gestionaron  42 cuentas que fueron radicadas en los tiempos estipulados de acuerdo con la Circular Interna 2022920020000026-4 de 2022,asi mismo, los documentos radicados despues del dia 25 calendario se tramitaron en el siguiente mes. Por lo cual, se cumplió con la meta del indicador del 100%, (42/42) habiendo gestionado la totalidad de las cuentas radicadas con un tiempo de gestión de 1,1 dias hábiles. Se adjunta base con relación de cuentas radicadas y gestionadas, asi como el reporte del indicador con la correspondiente gráfica.
</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Durante el mes de Febrero, se gestionaron  129 cuentas que fueron radicadas en los tiempos estipulados de acuerdo con la Circular Interna 2022920020000026-4 de 2022,asi mismo, los documentos radicados despues del dia 25 calendario se tramitaron en el siguiente mes. Por lo cual, se cumplió con la meta del indicador del 100%, (129/129) habiendo gestionado la totalidad de las cuentas radicadas con un tiempo de gestión de 1,6 dias hábiles. Se adjunta base con relación de cuentas radicadas y gestionadas, asi como el reporte del indicador con la correspondiente gráfica.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Durante el mes de Marzo, se gestionaron  122 cuentas que fueron radicadas en los tiempos estipulados de acuerdo con la Circular Interna 2022920020000026-4 de 2022,asi mismo, los documentos radicados despues del dia 25 calendario se tramitaron en el siguiente mes. Por lo cual, se cumplió con la meta del indicador del 100%, (122/122) habiendo gestionado la totalidad de las cuentas radicadas con un tiempo de gestión de 1,5 dias hábiles. Se adjunta base con relación de cuentas radicadas y gestionadas, asi como el reporte del indicador con la correspondiente gráfica.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​Durante el mes de Abril, se gestionaron  146 cuentas que fueron radicadas en los tiempos estipulados de acuerdo con la Circular Interna 2022920020000026-4 de 2022,asi mismo, los documentos radicados despues del dia 25 calendario se tramitaron en el siguiente mes. Por lo cual, se cumplió con la meta del indicador del 100%, (146/146) habiendo gestionado la totalidad de las cuentas radicadas con un tiempo de gestión de 1,8 dias hábiles. Se adjunta base con relación de cuentas radicadas y gestionadas, asi como el reporte del indicador con la correspondiente gráfica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57" customHeight="1" thickBot="1">
      <c r="A49" s="670" t="str">
        <f>VLOOKUP(L12,Reporte!$N$5:$BZ$133,58,FALSE)</f>
        <v>Durante el mes de Mayo, se gestionaron 140 cuentas que fueron radicadas en los tiempos estipulados
de acuerdo con la Circular Interna 2022920020000026- 4 de 2022,asi mismo, los documentos radicados después del día 25 calendario se tramitaron en el siguiente mes. Por lo cual, se cumplió con la meta
del indicador del 100%, (140/140) habiendo gestionado la totalidad de las cuentas radicadas con un
tiempo de gestión de 1,8 días hábiles. Se adjunta base con relación de cuentas radicadas y gestionadas, así como el reporte del indicador con la correspondiente gráfica.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​Durante el mes de Junio, se gestionaron  423  cuentas que fueron radicadas en los tiempos estipulados de acuerdo con la Circular Interna 2022920020000026-4 de 2022,asi mismo, los documentos radicados despues del dia 25 calendario se tramitaron en el siguiente mes. Por lo cual, se cumplió con la meta del indicador del 100%, (423/423) habiendo gestionado la totalidad de las cuentas radicadas con un tiempo de gestión de 2,6 dias hábiles. Se adjunta base con relación de cuentas radicadas y gestionadas, asi como el reporte del indicador con la correspondiente gráfica.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Durante el mes de Julio, se gestionaron  211 cuentas que fueron radicadas en los tiempos estipulados de acuerdo con la Circular Interna 2022920020000026-4 de 2022,asi mismo, los documentos radicados despues del dia 25 calendario se tramitaron en el siguiente mes. Por lo cual, se cumplió con la meta del indicador del 100%, (211/211) habiendo gestionado la totalidad de las cuentas radicadas con un tiempo de gestión de 2,5 dias hábiles. Se adjunta base con relación de cuentas radicadas y gestionadas, asi como el reporte del indicador con la correspondiente gráfica.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​Durante el mes de Agosto, se gestionaron  203 cuentas que fueron radicadas en los tiempos estipulados de acuerdo con la Circular Interna 2022920020000026-4 de 2022,asi mismo, los documentos radicados despues del dia 25 calendario se tramitaron en el siguiente mes. Por lo cual, se cumplió con la meta del indicador del 100%, (203/203) habiendo gestionado la totalidad de las cuentas radicadas con un tiempo de gestión de 1,2 dias hábiles. Se adjunta base con relación de cuentas radicadas y gestionadas, asi como el reporte del indicador con la correspondiente gráfica.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​Durante el mes de Septiembre, se gestionaron  436 cuentas que fueron radicadas en los tiempos estipulados de acuerdo con la Circular Interna 2022920020000026-4 de 2022,asi mismo, los documentos radicados despues del dia 25 calendario se tramitaron en el siguiente mes. Por lo cual, se cumplió con la meta del indicador del 100%, (436/436) habiendo gestionado la totalidad de las cuentas radicadas con un tiempo de gestión de 1,9 dias hábiles. Se adjunta base con relación de cuentas radicadas y gestionadas, asi como el reporte del indicador con la correspondiente gráfica.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 xml:space="preserve">​Durante el mes de Octubre, se gestionaron  259 cuentas que fueron radicadas en los tiempos estipulados de acuerdo con la Circular Interna 2022920020000026-4 de 2022,asi mismo, los documentos radicados despues del dia 25 calendario se tramitaron en el siguiente mes. Por lo cual, se cumplió con la meta del indicador del 100%, (259/259) habiendo gestionado la totalidad de las cuentas radicadas con un tiempo de gestión de 2,2 dias hábiles. Se adjunta base con relación de cuentas radicadas y gestionadas, asi como el reporte del indicador con la correspondiente gráfica.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4.75" customHeight="1" thickBot="1">
      <c r="A63" s="673" t="str">
        <f>VLOOKUP(L12,Reporte!$N$5:$BZ$133,65,FALSE)</f>
        <v>Durante el mes de Diciembre, se gestionaron  829 cuentas que fueron radicadas en los tiempos estipulados de acuerdo con la Circular Interna 2022920020000026-4 de 2022, asi mismo, los documentos radicados despúes del dia 25 calendario se tramitaron en el siguiente mes (328 cuentas). Por lo cual, se cumplió con la meta del indicador del 100%, (829/829) habiendo gestionado la totalidad de las cuentas radicadas con un tiempo de gestión de 3,6 dias hábiles. Se adjunta base con relación de cuentas radicadas y gestionadas, asi como el reporte del indicador con la correspondiente gráfica.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gestionado la totalidad de las 3242 cuentas recibidas para pago en 2025, cumplimento con la meta establecida para la vigencia.
Se evidencian reportes de datos que no coinciden con las evidencias, sin embargo son errores de digitación que no afectan el análisis cualitativo realizado.</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52122-3A9C-4430-B747-D7733425FB7A}">
  <sheetPr codeName="Hoja149"/>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4" width="9.5" style="129" customWidth="1"/>
    <col min="15" max="15" width="11"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FINANCIERA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recaudo de cartera, frente al valor total de la cartera cobrable. </v>
      </c>
      <c r="D6" s="711"/>
      <c r="E6" s="711"/>
      <c r="F6" s="711"/>
      <c r="G6" s="711"/>
      <c r="H6" s="711"/>
      <c r="I6" s="711"/>
      <c r="J6" s="711"/>
      <c r="K6" s="711"/>
      <c r="L6" s="711"/>
      <c r="M6" s="711"/>
      <c r="N6" s="711"/>
      <c r="O6" s="791"/>
      <c r="P6" s="128"/>
    </row>
    <row r="7" spans="1:17" ht="58.5" customHeight="1">
      <c r="A7" s="789" t="s">
        <v>10</v>
      </c>
      <c r="B7" s="790"/>
      <c r="C7" s="711" t="str">
        <f>VLOOKUP(L12,Reporte!A5:M133,10,FALSE)</f>
        <v>Administrar, gestionar, registrar y controlar  los recursos financieros de la Entidad a través de la aplicación de  las normas legales vigentes y la gestión organizacional, que permita la  disponibilidad de recursos económicos, con el fin de contribuir de forma eficiente y eficaz al cumplimiento de las metas institucionales propuestas.</v>
      </c>
      <c r="D7" s="711"/>
      <c r="E7" s="711"/>
      <c r="F7" s="711"/>
      <c r="G7" s="711"/>
      <c r="H7" s="711"/>
      <c r="I7" s="711"/>
      <c r="J7" s="711"/>
      <c r="K7" s="711"/>
      <c r="L7" s="711"/>
      <c r="M7" s="711"/>
      <c r="N7" s="711"/>
      <c r="O7" s="791"/>
      <c r="P7" s="128"/>
    </row>
    <row r="8" spans="1:17" ht="35.25" customHeight="1">
      <c r="A8" s="792" t="s">
        <v>1594</v>
      </c>
      <c r="B8" s="774"/>
      <c r="C8" s="711" t="str">
        <f>VLOOKUP(L12,Reporte!$A$5:$N$133,13,FALSE)</f>
        <v xml:space="preserve">Optimizar el proceso de  recaudo de la cartera de obligaciones a cargo del Grupo de Cobro Persuasivo y Jurisdicción Coactiva a partir del impulso procesal.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6.75" customHeight="1">
      <c r="A10" s="794"/>
      <c r="B10" s="795"/>
      <c r="C10" s="711" t="str">
        <f>VLOOKUP(L12,Reporte!$N$5:$BN$133,4,FALSE)</f>
        <v>Valor de recaudo de cartera en el  periodo de seguimiento</v>
      </c>
      <c r="D10" s="711"/>
      <c r="E10" s="711"/>
      <c r="F10" s="799" t="str">
        <f>VLOOKUP(L12,Reporte!$N$5:$BN$133,6,FALSE)</f>
        <v xml:space="preserve">Mide el recaudo de cartera, frente al valor total de la cartera cobrable. </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6.5" customHeight="1" thickBot="1">
      <c r="A12" s="796"/>
      <c r="B12" s="768"/>
      <c r="C12" s="710" t="str">
        <f>VLOOKUP(L12,Reporte!$N$5:$BN$133,5,FALSE)</f>
        <v>Valor total de la cartera clasificada como cobrable
  con corte al cierre de la vigencia anterior * 0,2)) *100</v>
      </c>
      <c r="D12" s="711"/>
      <c r="E12" s="711"/>
      <c r="F12" s="799"/>
      <c r="G12" s="799"/>
      <c r="H12" s="799"/>
      <c r="I12" s="799"/>
      <c r="J12" s="712" t="str">
        <f>VLOOKUP(L12,Reporte!$N$5:$BN$133,7,FALSE)</f>
        <v>Efectividad</v>
      </c>
      <c r="K12" s="712"/>
      <c r="L12" s="713" t="s">
        <v>453</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452">
        <f>VLOOKUP(L12,Reporte!$N$5:$BN$133,30,FALSE)</f>
        <v>0</v>
      </c>
      <c r="D22" s="452">
        <f>VLOOKUP(L12,Reporte!$N$5:$BN$133,31,FALSE)</f>
        <v>0</v>
      </c>
      <c r="E22" s="452">
        <f>VLOOKUP(L12,Reporte!$N$5:$BN$133,32,FALSE)</f>
        <v>0</v>
      </c>
      <c r="F22" s="453">
        <f>VLOOKUP(L12,Reporte!$N$5:$BN$133,33,FALSE)</f>
        <v>0</v>
      </c>
      <c r="G22" s="452">
        <f>VLOOKUP(L12,Reporte!$N$5:$BN$133,34,FALSE)</f>
        <v>0</v>
      </c>
      <c r="H22" s="453">
        <f>VLOOKUP(L12,Reporte!$N$5:$BN$133,35,FALSE)</f>
        <v>12912549248</v>
      </c>
      <c r="I22" s="452">
        <f>VLOOKUP(L12,Reporte!$N$5:$BN$133,36,FALSE)</f>
        <v>0</v>
      </c>
      <c r="J22" s="453">
        <f>VLOOKUP(L12,Reporte!$N$5:$BN$133,37,FALSE)</f>
        <v>0</v>
      </c>
      <c r="K22" s="453">
        <f>VLOOKUP(L12,Reporte!$N$5:$BN$133,38,FALSE)</f>
        <v>0</v>
      </c>
      <c r="L22" s="453">
        <f>VLOOKUP(L12,Reporte!$N$5:$BN$133,39,FALSE)</f>
        <v>0</v>
      </c>
      <c r="M22" s="453">
        <f>VLOOKUP(L12,Reporte!$N$5:$BN$133,40,FALSE)</f>
        <v>0</v>
      </c>
      <c r="N22" s="454">
        <f>VLOOKUP(L12,Reporte!$N$5:$BN$133,41,FALSE)</f>
        <v>22676335912</v>
      </c>
      <c r="O22" s="454">
        <f>+N22</f>
        <v>22676335912</v>
      </c>
      <c r="P22" s="128"/>
    </row>
    <row r="23" spans="1:17" ht="16.5" thickBot="1">
      <c r="A23" s="690" t="s">
        <v>76</v>
      </c>
      <c r="B23" s="691"/>
      <c r="C23" s="455">
        <f>VLOOKUP(L12,Reporte!$N$5:$BN$133,42,FALSE)</f>
        <v>0</v>
      </c>
      <c r="D23" s="455">
        <f>VLOOKUP(L12,Reporte!$N$5:$BN$133,43,FALSE)</f>
        <v>0</v>
      </c>
      <c r="E23" s="455">
        <f>VLOOKUP(L12,Reporte!$N$5:$BN$133,44,FALSE)</f>
        <v>0</v>
      </c>
      <c r="F23" s="455">
        <f>VLOOKUP(L12,Reporte!$N$5:$BN$133,45,FALSE)</f>
        <v>0</v>
      </c>
      <c r="G23" s="455">
        <f>VLOOKUP(L12,Reporte!$N$5:$BN$133,46,FALSE)</f>
        <v>0</v>
      </c>
      <c r="H23" s="455">
        <f>VLOOKUP(L12,Reporte!$N$5:$BN$133,47,FALSE)</f>
        <v>26161920186</v>
      </c>
      <c r="I23" s="455">
        <f>VLOOKUP(L12,Reporte!$N$5:$BN$133,48,FALSE)</f>
        <v>0</v>
      </c>
      <c r="J23" s="455">
        <f>VLOOKUP(L12,Reporte!$N$5:$BN$133,49,FALSE)</f>
        <v>0</v>
      </c>
      <c r="K23" s="455">
        <f>VLOOKUP(L12,Reporte!$N$5:$BN$133,50,FALSE)</f>
        <v>0</v>
      </c>
      <c r="L23" s="455">
        <f>VLOOKUP(L12,Reporte!$N$5:$BN$133,51,FALSE)</f>
        <v>0</v>
      </c>
      <c r="M23" s="455">
        <f>VLOOKUP(L12,Reporte!$N$5:$BN$133,52,FALSE)</f>
        <v>0</v>
      </c>
      <c r="N23" s="456">
        <f>VLOOKUP(L12,Reporte!$N$5:$BN$133,53,FALSE)</f>
        <v>26161920186</v>
      </c>
      <c r="O23" s="454">
        <f>+N23</f>
        <v>26161920186</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0.49356274907183145</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0.86676879031741572</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0.86676879031741572</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​El Grupo de Cobro Persuasivo reporta el avance del recaudo hasta el mes de mayo de 2025 dado que  por los cierres financieros el archivo de recaudo lo envían los primeros 10 días hábiles del mes, y al reportarse el indicador PAG el 8 de julio, aún NO se tiene el mencionado informe. (Se anexa el detalle del recaudo hasta el mes de mayo) . Es importante aclarar que, de acuerdo con la formulación actual del  indicador la meta para la vigencia 2025 es igual a = $26.161.920.186, equivalente al 20% del valor total de cartera clasificada como cobrable con corte al cierre de la vigencia 2024 ($130.809.600.838)  y su proyección de metas durante la vigencia 2025, Junio 5% y Diciembre 15%, tomando como el 100% el valor de la meta $26.161.920.186 corresponden en realidad a proyección de metas Junio 25% ($ 6.540.480.042) y Diciembre 75% ($19.621.440.126). Por lo cual, durante este primer reporte, se ha superado la meta establecida, dado el resultado de $12.912.549.248, equivalente al 49,35% a corte del mes de Mayo.  Nota: Se debe realizar modificación en la fórmula del indicador, en el cual, se refleje como numerador el valor de recaudo del periodo / valor de recaudo establecido como meta, reflejando el avance.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49.25" customHeight="1" thickBot="1">
      <c r="A63" s="673" t="str">
        <f>VLOOKUP(L12,Reporte!$N$5:$BZ$133,65,FALSE)</f>
        <v xml:space="preserve"> El Grupo de Cobro Persuasivo reporta el avance del recaudo hasta los primeros días de enero de 2026 por valor de $22.676.335.912, sobre el 20% del valor total de cartera clasificada como cobrable con corte al cierre de la vigencia 2024 ($130.809.600.838) equivalente a = $26.161.920.186, con lo cual, se reporta un 87% de avance. Lo anterior, con motivo de dificultades y/o demoras  presentadas en  aspectos logísticos de alto nivel. El grupo de cobro persuasivo y jurisdicción coactiva obtiene recaudo por pago directo, autorización directa del deudor por impulsos de cobro y acceso a recursos por actividades de cobro coactivo que incluyen embargo de cuentas bancarias. Para estas dos últimas actividades se requiere de roles de preparador y autorizador , los cuales son avalados por el señor Superintendente Nacional de Salud, y confirmados por banco agrario, lo cual, es un trámite dispendioso. Con los cambios de personal por salida de provisionales, coordinador y directivos en el último semestre de 2025 se perdió la disponibilidad de roles para plenos de operación, roles para gestionar títulos y aspectos de transferencia de conocimiento que impactaron en la operación.
Se efectuó el trámite en tres oportunidades por cambios de funcionarios vinculados (octubre, noviembre y diciembre 2025), con las validaciones de formatos de despacho y de la entidad financiera, logrando una aplicación única a finales de Noviembre y solo hasta  el 19  Diciembre 2025, una estabilidad en disponibilidad de roles de autorización avalados por SNS y por Banco Agrario.
Con esta logramos gestionar alrededor de 900 millones en aplicación en noviembre 2025 y esperábamos en diciembre 2025 impulsar una adicional de liquidaciones de aproximadamente 1.800 millones, fruto de liquidaciones de crédito y de autorizaciones de deudores en comisiones de recíprocas, con las cuales a pesar de los inconvenientes se perseguía entrar en terreno positivo del indicador , superior al 90%.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buscaba recaudar en 2025 $26.161.920.186 por concepto de cartera clasificada como cobrable, sin embargo se el Grupo de cobro persuasivo logro un recaudo de $22.676.335.912, es decir un 87%, con incumplimiento de la meta porcentual de 100% establecida para la vigencia., por lo que se sugiere reducir la meta para 2026, hasta que se pueda mejorar las estrategias de recaudo, en total se recupero el 17,3% de la cartera de 131.809.600.838 a cierre de 2024.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46.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67:D67"/>
    <mergeCell ref="E67:F67"/>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ED7E-A8A9-4807-86BC-BD65763EE324}">
  <sheetPr codeName="Hoja141"/>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FINANCIERA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solicitudes de excepciones al mandamiento de pagos y facilidades de pago.</v>
      </c>
      <c r="D6" s="711"/>
      <c r="E6" s="711"/>
      <c r="F6" s="711"/>
      <c r="G6" s="711"/>
      <c r="H6" s="711"/>
      <c r="I6" s="711"/>
      <c r="J6" s="711"/>
      <c r="K6" s="711"/>
      <c r="L6" s="711"/>
      <c r="M6" s="711"/>
      <c r="N6" s="711"/>
      <c r="O6" s="791"/>
      <c r="P6" s="128"/>
    </row>
    <row r="7" spans="1:17" ht="58.5" customHeight="1">
      <c r="A7" s="789" t="s">
        <v>10</v>
      </c>
      <c r="B7" s="790"/>
      <c r="C7" s="711" t="str">
        <f>VLOOKUP(L12,Reporte!A5:M133,10,FALSE)</f>
        <v>Administrar, gestionar, registrar y controlar  los recursos financieros de la Entidad a través de la aplicación de  las normas legales vigentes y la gestión organizacional, que permita la  disponibilidad de recursos económicos, con el fin de contribuir de forma eficiente y eficaz al cumplimiento de las metas institucionales propuestas.</v>
      </c>
      <c r="D7" s="711"/>
      <c r="E7" s="711"/>
      <c r="F7" s="711"/>
      <c r="G7" s="711"/>
      <c r="H7" s="711"/>
      <c r="I7" s="711"/>
      <c r="J7" s="711"/>
      <c r="K7" s="711"/>
      <c r="L7" s="711"/>
      <c r="M7" s="711"/>
      <c r="N7" s="711"/>
      <c r="O7" s="791"/>
      <c r="P7" s="128"/>
    </row>
    <row r="8" spans="1:17" ht="15.75">
      <c r="A8" s="792" t="s">
        <v>1594</v>
      </c>
      <c r="B8" s="774"/>
      <c r="C8" s="711" t="str">
        <f>VLOOKUP(L12,Reporte!$A$5:$N$133,13,FALSE)</f>
        <v>Gestionar dentro del término legal establecido las excepciones al mandamiento de pago y las solicitudes de facilidades de pago que cumplan con los requisitos para su otorgamiento.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6" customHeight="1">
      <c r="A10" s="794"/>
      <c r="B10" s="795"/>
      <c r="C10" s="711" t="str">
        <f>VLOOKUP(L12,Reporte!$N$5:$BN$133,4,FALSE)</f>
        <v xml:space="preserve">número excepciones al mandamiento de pago y facilidades de pago resueltas oportunamente </v>
      </c>
      <c r="D10" s="711"/>
      <c r="E10" s="711"/>
      <c r="F10" s="799" t="str">
        <f>VLOOKUP(L12,Reporte!$N$5:$BN$133,6,FALSE)</f>
        <v>Este indicador mide el porcentaje de solicitudes al mandamiento de pagos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69" customHeight="1" thickBot="1">
      <c r="A12" s="796"/>
      <c r="B12" s="768"/>
      <c r="C12" s="710" t="str">
        <f>VLOOKUP(L12,Reporte!$N$5:$BN$133,5,FALSE)</f>
        <v xml:space="preserve"> número excepciones al mandamiento de pago y facilidades de pago solicitadas con cumplimiento de requisitos *100.</v>
      </c>
      <c r="D12" s="711"/>
      <c r="E12" s="711"/>
      <c r="F12" s="799"/>
      <c r="G12" s="799"/>
      <c r="H12" s="799"/>
      <c r="I12" s="799"/>
      <c r="J12" s="712" t="str">
        <f>VLOOKUP(L12,Reporte!$N$5:$BN$133,7,FALSE)</f>
        <v>Eficiencia</v>
      </c>
      <c r="K12" s="712"/>
      <c r="L12" s="713" t="s">
        <v>459</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Cuatrimestral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11</v>
      </c>
      <c r="G22" s="132">
        <f>VLOOKUP(L12,Reporte!$N$5:$BN$133,34,FALSE)</f>
        <v>0</v>
      </c>
      <c r="H22" s="139">
        <f>VLOOKUP(L12,Reporte!$N$5:$BN$133,35,FALSE)</f>
        <v>0</v>
      </c>
      <c r="I22" s="132">
        <f>VLOOKUP(L12,Reporte!$N$5:$BN$133,36,FALSE)</f>
        <v>0</v>
      </c>
      <c r="J22" s="139">
        <f>VLOOKUP(L12,Reporte!$N$5:$BN$133,37,FALSE)</f>
        <v>25</v>
      </c>
      <c r="K22" s="139">
        <f>VLOOKUP(L12,Reporte!$N$5:$BN$133,38,FALSE)</f>
        <v>0</v>
      </c>
      <c r="L22" s="139">
        <f>VLOOKUP(L12,Reporte!$N$5:$BN$133,39,FALSE)</f>
        <v>0</v>
      </c>
      <c r="M22" s="139">
        <f>VLOOKUP(L12,Reporte!$N$5:$BN$133,40,FALSE)</f>
        <v>0</v>
      </c>
      <c r="N22" s="133">
        <f>VLOOKUP(L12,Reporte!$N$5:$BN$133,41,FALSE)</f>
        <v>13</v>
      </c>
      <c r="O22" s="133">
        <f>SUM(C22:N22)</f>
        <v>49</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11</v>
      </c>
      <c r="G23" s="140">
        <f>VLOOKUP(L12,Reporte!$N$5:$BN$133,46,FALSE)</f>
        <v>0</v>
      </c>
      <c r="H23" s="140">
        <f>VLOOKUP(L12,Reporte!$N$5:$BN$133,47,FALSE)</f>
        <v>0</v>
      </c>
      <c r="I23" s="140">
        <f>VLOOKUP(L12,Reporte!$N$5:$BN$133,48,FALSE)</f>
        <v>0</v>
      </c>
      <c r="J23" s="140">
        <f>VLOOKUP(L12,Reporte!$N$5:$BN$133,49,FALSE)</f>
        <v>25</v>
      </c>
      <c r="K23" s="140">
        <f>VLOOKUP(L12,Reporte!$N$5:$BN$133,50,FALSE)</f>
        <v>0</v>
      </c>
      <c r="L23" s="140">
        <f>VLOOKUP(L12,Reporte!$N$5:$BN$133,51,FALSE)</f>
        <v>0</v>
      </c>
      <c r="M23" s="140">
        <f>VLOOKUP(L12,Reporte!$N$5:$BN$133,52,FALSE)</f>
        <v>0</v>
      </c>
      <c r="N23" s="141">
        <f>VLOOKUP(L12,Reporte!$N$5:$BN$133,53,FALSE)</f>
        <v>13</v>
      </c>
      <c r="O23" s="133">
        <f>SUM(C23:N23)</f>
        <v>49</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1</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1</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56.25" customHeight="1" thickBot="1">
      <c r="A47" s="670" t="str">
        <f>VLOOKUP(L12,Reporte!$N$5:$BZ$133,57,FALSE)</f>
        <v xml:space="preserve">​Teniendo en cuenta el indicador Plan Anual de Gestión (PAG) correspondiente al Grupo de Cobro Persuasivo y Jurisdicción Coactiva de cara a resolver en el término establecido por la Ley excepciones a Mandamientos de Pago y Facilidades de pago, cuya solicitud cumpla con las condiciones establecidas, se entiende que durante el primer cuatrimestre del año 2025, se recibieron 6 facilidades de pago y 5 excepciones a mandamiento de pago, todas estas solicitudes cumplían con las condiciones necesarias para iniciar el trámite correspondiente, por lo que las 11 fueron atendidas dentro del plazo legal, alcanzando así un cumplimiento del 100%.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Desde el grupo de cobro persuasivo y jurisdiccion coactiva, durante el segundo cuatrimestre del año 2025, se recibieron 10 facilidades de pago y 15 excepciones a mandamiento de pago, todas estas solicitudes cumplían con las condiciones necesarias para iniciar el trámite correspondiente, por lo cual,  el total de las 25 solicitudes fueron atendidas dentro del plazo legal, alcanzando así un cumplimiento del 100% del indicador. Se adjunta anexo soporte.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​Desde el grupo de cobro persuasivo y jurisdicción coactiva, durante el tercer cuatrimestre del año 2025, se recibieron 13 facilidades de pago y 3 excepciones a mandamiento de pago, para un total de 16 solicitudes, de las cuales 13 solicitudes cumplían con las condiciones necesarias para finalizar el trámite correspondiente al corte de Diciembre de 2025, por lo cual, estas  fueron atendidas dentro del plazo legal, alcanzando así un cumplimiento del 100% del indicador. Se adjunta anexo soporte.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resolvieron las 49 excepciones al mandamiento de pago y facilidades recibidas en la vigencia, con cumplimiento la meta porcentual de establecida de 100% para 2025.No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6E2BC-343C-4C81-B2D2-F174CED47379}">
  <sheetPr codeName="Hoja142"/>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FINANCIERA</v>
      </c>
      <c r="D5" s="787"/>
      <c r="E5" s="787"/>
      <c r="F5" s="787"/>
      <c r="G5" s="787"/>
      <c r="H5" s="787"/>
      <c r="I5" s="787"/>
      <c r="J5" s="787"/>
      <c r="K5" s="787"/>
      <c r="L5" s="787"/>
      <c r="M5" s="787"/>
      <c r="N5" s="787"/>
      <c r="O5" s="788"/>
      <c r="P5" s="130"/>
      <c r="Q5" s="131"/>
    </row>
    <row r="6" spans="1:17" ht="15.75">
      <c r="A6" s="789" t="s">
        <v>8</v>
      </c>
      <c r="B6" s="790"/>
      <c r="C6" s="711" t="str">
        <f>VLOOKUP(L12,Reporte!$N$5:$BN$133,2,FALSE)</f>
        <v xml:space="preserve">Porcentaje de conciliación de cartera y diferencias reciprocas de SNS con Entidades sin proceso concursal </v>
      </c>
      <c r="D6" s="711"/>
      <c r="E6" s="711"/>
      <c r="F6" s="711"/>
      <c r="G6" s="711"/>
      <c r="H6" s="711"/>
      <c r="I6" s="711"/>
      <c r="J6" s="711"/>
      <c r="K6" s="711"/>
      <c r="L6" s="711"/>
      <c r="M6" s="711"/>
      <c r="N6" s="711"/>
      <c r="O6" s="791"/>
      <c r="P6" s="128"/>
    </row>
    <row r="7" spans="1:17" ht="58.5" customHeight="1">
      <c r="A7" s="789" t="s">
        <v>10</v>
      </c>
      <c r="B7" s="790"/>
      <c r="C7" s="711" t="str">
        <f>VLOOKUP(L12,Reporte!A5:M133,10,FALSE)</f>
        <v>Administrar, gestionar, registrar y controlar  los recursos financieros de la Entidad a través de la aplicación de  las normas legales vigentes y la gestión organizacional, que permita la  disponibilidad de recursos económicos, con el fin de contribuir de forma eficiente y eficaz al cumplimiento de las metas institucionales propuestas.</v>
      </c>
      <c r="D7" s="711"/>
      <c r="E7" s="711"/>
      <c r="F7" s="711"/>
      <c r="G7" s="711"/>
      <c r="H7" s="711"/>
      <c r="I7" s="711"/>
      <c r="J7" s="711"/>
      <c r="K7" s="711"/>
      <c r="L7" s="711"/>
      <c r="M7" s="711"/>
      <c r="N7" s="711"/>
      <c r="O7" s="791"/>
      <c r="P7" s="128"/>
    </row>
    <row r="8" spans="1:17" ht="15.75">
      <c r="A8" s="792" t="s">
        <v>1594</v>
      </c>
      <c r="B8" s="774"/>
      <c r="C8" s="711" t="str">
        <f>VLOOKUP(L12,Reporte!$A$5:$N$133,13,FALSE)</f>
        <v>Medir la razonabilidad de la cartera sin proceso concursal de la SNS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21.75" customHeight="1">
      <c r="A10" s="794"/>
      <c r="B10" s="795"/>
      <c r="C10" s="711" t="str">
        <f>VLOOKUP(L12,Reporte!$N$5:$BN$133,4,FALSE)</f>
        <v xml:space="preserve">Total de Entidades conciliadas </v>
      </c>
      <c r="D10" s="711"/>
      <c r="E10" s="711"/>
      <c r="F10" s="799" t="str">
        <f>VLOOKUP(L12,Reporte!$N$5:$BN$133,6,FALSE)</f>
        <v>Este indicador mide el porcentaje de solicitudes al mandamiento de pagos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6.5" customHeight="1" thickBot="1">
      <c r="A12" s="796"/>
      <c r="B12" s="768"/>
      <c r="C12" s="710" t="str">
        <f>VLOOKUP(L12,Reporte!$N$5:$BN$133,5,FALSE)</f>
        <v xml:space="preserve"> total Entidades priorizadas de la cartera  y diferencias reciprocas reportadas al cierre del año inmediatamente anterior.</v>
      </c>
      <c r="D12" s="711"/>
      <c r="E12" s="711"/>
      <c r="F12" s="799"/>
      <c r="G12" s="799"/>
      <c r="H12" s="799"/>
      <c r="I12" s="799"/>
      <c r="J12" s="712" t="str">
        <f>VLOOKUP(L12,Reporte!$N$5:$BN$133,7,FALSE)</f>
        <v>Efectividad</v>
      </c>
      <c r="K12" s="712"/>
      <c r="L12" s="713" t="s">
        <v>465</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Cuatrimestral</v>
      </c>
      <c r="G15" s="741"/>
      <c r="H15" s="707" t="s">
        <v>37</v>
      </c>
      <c r="I15" s="707"/>
      <c r="J15" s="746" t="s">
        <v>1595</v>
      </c>
      <c r="K15" s="747"/>
      <c r="L15" s="748"/>
      <c r="M15" s="775" t="str">
        <f>VLOOKUP(L12,Reporte!$N$5:$BN$133,28,FALSE)</f>
        <v xml:space="preserve">Secretaria General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8</v>
      </c>
      <c r="G22" s="132">
        <f>VLOOKUP(L12,Reporte!$N$5:$BN$133,34,FALSE)</f>
        <v>0</v>
      </c>
      <c r="H22" s="139">
        <f>VLOOKUP(L12,Reporte!$N$5:$BN$133,35,FALSE)</f>
        <v>0</v>
      </c>
      <c r="I22" s="132">
        <f>VLOOKUP(L12,Reporte!$N$5:$BN$133,36,FALSE)</f>
        <v>0</v>
      </c>
      <c r="J22" s="139">
        <f>VLOOKUP(L12,Reporte!$N$5:$BN$133,37,FALSE)</f>
        <v>15</v>
      </c>
      <c r="K22" s="139">
        <f>VLOOKUP(L12,Reporte!$N$5:$BN$133,38,FALSE)</f>
        <v>0</v>
      </c>
      <c r="L22" s="139">
        <f>VLOOKUP(L12,Reporte!$N$5:$BN$133,39,FALSE)</f>
        <v>0</v>
      </c>
      <c r="M22" s="139">
        <f>VLOOKUP(L12,Reporte!$N$5:$BN$133,40,FALSE)</f>
        <v>0</v>
      </c>
      <c r="N22" s="133">
        <f>VLOOKUP(L12,Reporte!$N$5:$BN$133,41,FALSE)</f>
        <v>74</v>
      </c>
      <c r="O22" s="133">
        <f>SUM(C22:N22)</f>
        <v>97</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8</v>
      </c>
      <c r="G23" s="140">
        <f>VLOOKUP(L12,Reporte!$N$5:$BN$133,46,FALSE)</f>
        <v>0</v>
      </c>
      <c r="H23" s="140">
        <f>VLOOKUP(L12,Reporte!$N$5:$BN$133,47,FALSE)</f>
        <v>0</v>
      </c>
      <c r="I23" s="140">
        <f>VLOOKUP(L12,Reporte!$N$5:$BN$133,48,FALSE)</f>
        <v>0</v>
      </c>
      <c r="J23" s="140">
        <f>VLOOKUP(L12,Reporte!$N$5:$BN$133,49,FALSE)</f>
        <v>15</v>
      </c>
      <c r="K23" s="140">
        <f>VLOOKUP(L12,Reporte!$N$5:$BN$133,50,FALSE)</f>
        <v>0</v>
      </c>
      <c r="L23" s="140">
        <f>VLOOKUP(L12,Reporte!$N$5:$BN$133,51,FALSE)</f>
        <v>0</v>
      </c>
      <c r="M23" s="140">
        <f>VLOOKUP(L12,Reporte!$N$5:$BN$133,52,FALSE)</f>
        <v>0</v>
      </c>
      <c r="N23" s="141">
        <f>VLOOKUP(L12,Reporte!$N$5:$BN$133,53,FALSE)</f>
        <v>74</v>
      </c>
      <c r="O23" s="133">
        <f>SUM(C23:N23)</f>
        <v>97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1</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1</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​Durante el primer cuatrimestre de la vigencia 2025, se logró la conciliación de cartera con 8 entidades sin proceso concursal, enlistadas a continuación: Departamento del Cesar; Gobierno Departamental del Tolima; Municipio de Piedras; Empresa Social del Estado Hospital Sagrado Corazón; Dental Solution Limitada; Empresa Social del Estado Hospital San Juan de Dios Floridablanca; Municipio de Planeta Rica; Empresa Social del Estado Hospital de Ponedora. Logrando cumplir la meta del 100%.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​Durante el segundo cuatrimestre de la vigencia 2025, se logró la conciliación de cartera con 15 entidades sin proceso concursal, enlistadas a continuación: E.S.E. Centro de Salud Samuel Villanueva Valest - El Banco; Riosucio – Chocó; La Unión – Antioquia; E.S.E. Centro de Salud Con Camas – Córdoba; Nunchía; Villanueva – Santander; E.S.E. Hospital de Hatillo de Loba – Bolívar; E.S.E. Centro 1 - Piendamó; Pinchote; E.S.E. Hospital Felipe Arbeláez – Alejandría; E.S.E. Centro de Salud Señor del Mar; E.S.E. Hospital Local de Malambo; E.S.E. Hospital San Pedro del Piñón; SAN PABLO ANGEL S.A.S; DENTALIST S.A.S. Logrando cumplir la meta del indicador del 100%. Se anexan soportes.</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86.75" customHeight="1" thickBot="1">
      <c r="A63" s="673" t="str">
        <f>VLOOKUP(L12,Reporte!$N$5:$BZ$133,65,FALSE)</f>
        <v xml:space="preserve">​Durante el tercer cuatrimestre de la vigencia 2025, se logró la conciliación de cartera con 74 entidades sin proceso concursal, enlistadas a continuación: Gobernacion amazonas
Alcaldia de leticia, Alcaldia Salamina, Saludarte Domiciliaria S.A.S, Sinapsis-Centro, Municipio de Remolino, Fundación Grupo de estudio Barranquilla, Clinica Regional Inmaculada, Cardiocenter Barraquilla, Departamento Atlantico, Universidad del Atlantico
City Optica Sas, Salud Ocupacional Horizonte, Asociación para la salud mental, Bingos Codere, Codere Colombia SA, Familia IPS Salud intergral SAS, Intersare SA, Sociedad Estetic Dent, SUBRED INTEGRADA CENTRO ORIENTE E.S.E, DENTIX COLOMBIA SAS, Keep Salud Ocupacional SAS, LUIS GUILLERMO VELEZ ATEHORTUA, Urgencias Clave 911 Ambulancias EU Asoder consultores S.A.S, Servitraumax SAS, Casa la viña LTDA, GUIAR SALUD IPS Y HSEQS EN CS, CLINICA DE ESTETICA ORAL Y ORTODONCIA ORTOESTETICA CON SIGLA ORTOESTETICA, Secretaria de salud Bogota, Fondo financiero distrital de salud, Imagenes Diagnosticas, Linda flor chavez_fusionado, COVINAL IPS TRASTORNOS SOMOS, Acer servicios_liquidada, Ambulancias Unidad Soporte Asistencial, Asmet Salud, Asociacion indigena del Cauca AIC EPS, BIO PREVENAR, COMFENALCO VALLE, Centro Neuropsiquiatrico limitada, Centro de salud Indigena del resguardo de males, Christus Sinergia salud SAS, Clinica Salud Proteccion IPS, Clinica el Treblol SAS, Cuerpo de bomberos voluntarios de Yumbo, EMPRESA SOCIAL DEL ESTADO NORTE 3, Municipio de Florencia, Fundacion Innovagen, Herrota y Asociados SAS, Homecare de la mano, Unidad Respiratoria Respirar SAS, Sinergia, Clinica Palma Real SAS, MALLAMAS, MERCADERES, Municipio Valledupar,  Asociacion cabildos indigenas guajira DUSAKAWI, Departamento Caqueta, SOS Medical Services SAS, Gobernacion Vichada, IPS DIPOSALUD, FUNDACION PARA EL DESARROLLO SOCIAL EN SALUD, EDUCACION Y VIVIENDA, Alcaldia de Nobsa, MINISTERIO DE DEFENSA, UNIVERSIDAD DEL VALLE, ESE CENTRO DE SALUD SAN PEDRO CABRERA, Fabrica de Licores y Alcoholes de Antioquia, ESE San Vicente de Paul - Salento, Departamento del Meta, HOSPITAL SAN ANTONIO DE SOATÁ, Distrito Especial de Ciencia, Tecnología e Innovación de Medellín, EMPRESA SOCIAL DEL ESTADO HOSPITAL SAN JULIAN, Logrando cumplir la meta del 100%. Se adjuntan los debidos soportes.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realización las 97 conciliaciones programadas para la vigencia. con cumplimiento de la meta porcentual del 100%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8931C-4C49-4825-BA65-EE08FC9AA09D}">
  <sheetPr codeName="Hoja144"/>
  <dimension ref="A1:Q67"/>
  <sheetViews>
    <sheetView view="pageBreakPreview" zoomScale="80" zoomScaleNormal="73" zoomScaleSheetLayoutView="80" zoomScalePageLayoutView="55" workbookViewId="0">
      <selection sqref="A1:P67"/>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Visitas de seguimiento de las liquidaciones Ordenadas por la Superintendencia Nacional de Salud </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6" customHeight="1">
      <c r="A8" s="792" t="s">
        <v>1594</v>
      </c>
      <c r="B8" s="774"/>
      <c r="C8" s="711" t="str">
        <f>VLOOKUP(L12,Reporte!$A$5:$N$133,13,FALSE)</f>
        <v>Realizar las acciones para el  seguimiento y monitoreo a los vigilados de las liquidaciones Ordenadas por la Superintendencia Nacional de Salud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5" customHeight="1">
      <c r="A10" s="794"/>
      <c r="B10" s="795"/>
      <c r="C10" s="711" t="str">
        <f>VLOOKUP(L12,Reporte!$N$5:$BN$133,4,FALSE)</f>
        <v>Número de visitas generadas por la adopción, seguimiento y monitoreo a vigilados en proceso de liquidación  en el periodo</v>
      </c>
      <c r="D10" s="711"/>
      <c r="E10" s="711"/>
      <c r="F10" s="799" t="str">
        <f>VLOOKUP(L12,Reporte!$N$5:$BN$133,6,FALSE)</f>
        <v>Número de visitas de seguimiento a las liquidaciones ordendas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288</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10</v>
      </c>
      <c r="D15" s="826"/>
      <c r="E15" s="827"/>
      <c r="F15" s="740" t="str">
        <f>VLOOKUP(L12,Reporte!$N$5:$BN$133,9,FALSE)</f>
        <v>Semestral</v>
      </c>
      <c r="G15" s="741"/>
      <c r="H15" s="707" t="s">
        <v>37</v>
      </c>
      <c r="I15" s="707"/>
      <c r="J15" s="746" t="s">
        <v>1595</v>
      </c>
      <c r="K15" s="747"/>
      <c r="L15" s="748"/>
      <c r="M15" s="775" t="str">
        <f>VLOOKUP(L12,Reporte!$N$5:$BN$133,28,FALSE)</f>
        <v>Oficina de Liquidaciones</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1</v>
      </c>
      <c r="G22" s="132">
        <f>VLOOKUP(L12,Reporte!$N$5:$BN$133,34,FALSE)</f>
        <v>0</v>
      </c>
      <c r="H22" s="139">
        <f>VLOOKUP(L12,Reporte!$N$5:$BN$133,35,FALSE)</f>
        <v>0</v>
      </c>
      <c r="I22" s="132">
        <f>VLOOKUP(L12,Reporte!$N$5:$BN$133,36,FALSE)</f>
        <v>0</v>
      </c>
      <c r="J22" s="139">
        <f>VLOOKUP(L12,Reporte!$N$5:$BN$133,37,FALSE)</f>
        <v>0</v>
      </c>
      <c r="K22" s="139">
        <f>VLOOKUP(L12,Reporte!$N$5:$BN$133,38,FALSE)</f>
        <v>0</v>
      </c>
      <c r="L22" s="139">
        <f>VLOOKUP(L12,Reporte!$N$5:$BN$133,39,FALSE)</f>
        <v>0</v>
      </c>
      <c r="M22" s="139">
        <f>VLOOKUP(L12,Reporte!$N$5:$BN$133,40,FALSE)</f>
        <v>9</v>
      </c>
      <c r="N22" s="133">
        <f>VLOOKUP(L12,Reporte!$N$5:$BN$133,41,FALSE)</f>
        <v>0</v>
      </c>
      <c r="O22" s="133">
        <f>SUM(C22:N22)</f>
        <v>10</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1</v>
      </c>
      <c r="G23" s="140">
        <f>VLOOKUP(L12,Reporte!$N$5:$BN$133,46,FALSE)</f>
        <v>0</v>
      </c>
      <c r="H23" s="140">
        <f>VLOOKUP(L12,Reporte!$N$5:$BN$133,47,FALSE)</f>
        <v>0</v>
      </c>
      <c r="I23" s="140">
        <f>VLOOKUP(L12,Reporte!$N$5:$BN$133,48,FALSE)</f>
        <v>0</v>
      </c>
      <c r="J23" s="140">
        <f>VLOOKUP(L12,Reporte!$N$5:$BN$133,49,FALSE)</f>
        <v>0</v>
      </c>
      <c r="K23" s="140">
        <f>VLOOKUP(L12,Reporte!$N$5:$BN$133,50,FALSE)</f>
        <v>0</v>
      </c>
      <c r="L23" s="140">
        <f>VLOOKUP(L12,Reporte!$N$5:$BN$133,51,FALSE)</f>
        <v>0</v>
      </c>
      <c r="M23" s="140">
        <f>VLOOKUP(L12,Reporte!$N$5:$BN$133,52,FALSE)</f>
        <v>9</v>
      </c>
      <c r="N23" s="141">
        <f>VLOOKUP(L12,Reporte!$N$5:$BN$133,53,FALSE)</f>
        <v>0</v>
      </c>
      <c r="O23" s="133">
        <f>SUM(C23:N23)</f>
        <v>10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10</v>
      </c>
      <c r="D26" s="161">
        <f>+C26*0.98</f>
        <v>9.8000000000000007</v>
      </c>
      <c r="E26" s="147"/>
      <c r="F26" s="147"/>
      <c r="G26" s="685"/>
      <c r="H26" s="685"/>
      <c r="I26" s="699"/>
      <c r="J26" s="699"/>
      <c r="K26" s="699"/>
      <c r="L26" s="685"/>
      <c r="M26" s="685"/>
      <c r="N26" s="685"/>
      <c r="O26" s="701"/>
      <c r="P26" s="148"/>
      <c r="Q26" s="149"/>
    </row>
    <row r="27" spans="1:17" s="127" customFormat="1" ht="15">
      <c r="A27" s="145" t="s">
        <v>95</v>
      </c>
      <c r="B27" s="161">
        <f>+D22</f>
        <v>0</v>
      </c>
      <c r="C27" s="161">
        <f>+C26</f>
        <v>10</v>
      </c>
      <c r="D27" s="161">
        <f>+D26</f>
        <v>9.8000000000000007</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10</v>
      </c>
      <c r="D28" s="161">
        <f t="shared" si="0"/>
        <v>9.8000000000000007</v>
      </c>
      <c r="E28" s="147"/>
      <c r="F28" s="147"/>
      <c r="G28" s="685"/>
      <c r="H28" s="685"/>
      <c r="I28" s="685"/>
      <c r="J28" s="685"/>
      <c r="K28" s="147"/>
      <c r="L28" s="685"/>
      <c r="M28" s="685"/>
      <c r="N28" s="685"/>
      <c r="O28" s="701"/>
      <c r="P28" s="148"/>
      <c r="Q28" s="149"/>
    </row>
    <row r="29" spans="1:17" s="127" customFormat="1" ht="15">
      <c r="A29" s="145" t="s">
        <v>97</v>
      </c>
      <c r="B29" s="161">
        <f>+F22</f>
        <v>1</v>
      </c>
      <c r="C29" s="161">
        <f t="shared" si="0"/>
        <v>10</v>
      </c>
      <c r="D29" s="161">
        <f t="shared" si="0"/>
        <v>9.8000000000000007</v>
      </c>
      <c r="E29" s="147"/>
      <c r="F29" s="147"/>
      <c r="G29" s="685"/>
      <c r="H29" s="685"/>
      <c r="I29" s="685"/>
      <c r="J29" s="685"/>
      <c r="K29" s="147"/>
      <c r="L29" s="685"/>
      <c r="M29" s="685"/>
      <c r="N29" s="685"/>
      <c r="O29" s="701"/>
      <c r="P29" s="148"/>
      <c r="Q29" s="149"/>
    </row>
    <row r="30" spans="1:17" s="127" customFormat="1" ht="15">
      <c r="A30" s="145" t="s">
        <v>98</v>
      </c>
      <c r="B30" s="161">
        <f>+G22</f>
        <v>0</v>
      </c>
      <c r="C30" s="161">
        <f t="shared" si="0"/>
        <v>10</v>
      </c>
      <c r="D30" s="161">
        <f t="shared" si="0"/>
        <v>9.8000000000000007</v>
      </c>
      <c r="E30" s="147"/>
      <c r="F30" s="147"/>
      <c r="G30" s="685"/>
      <c r="H30" s="685"/>
      <c r="I30" s="685"/>
      <c r="J30" s="685"/>
      <c r="K30" s="147"/>
      <c r="L30" s="685"/>
      <c r="M30" s="685"/>
      <c r="N30" s="685"/>
      <c r="O30" s="701"/>
      <c r="P30" s="148"/>
      <c r="Q30" s="149"/>
    </row>
    <row r="31" spans="1:17" s="127" customFormat="1" ht="15">
      <c r="A31" s="145" t="s">
        <v>99</v>
      </c>
      <c r="B31" s="161">
        <f>+H22</f>
        <v>0</v>
      </c>
      <c r="C31" s="161">
        <f t="shared" si="0"/>
        <v>10</v>
      </c>
      <c r="D31" s="161">
        <f t="shared" si="0"/>
        <v>9.8000000000000007</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10</v>
      </c>
      <c r="D32" s="161">
        <f t="shared" si="0"/>
        <v>9.8000000000000007</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10</v>
      </c>
      <c r="D33" s="161">
        <f t="shared" si="0"/>
        <v>9.8000000000000007</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10</v>
      </c>
      <c r="D34" s="161">
        <f t="shared" si="0"/>
        <v>9.8000000000000007</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10</v>
      </c>
      <c r="D35" s="161">
        <f t="shared" si="0"/>
        <v>9.8000000000000007</v>
      </c>
      <c r="E35" s="147"/>
      <c r="F35" s="147"/>
      <c r="G35" s="685"/>
      <c r="H35" s="685"/>
      <c r="I35" s="685"/>
      <c r="J35" s="685"/>
      <c r="K35" s="147"/>
      <c r="L35" s="685"/>
      <c r="M35" s="685"/>
      <c r="N35" s="685"/>
      <c r="O35" s="701"/>
      <c r="P35" s="148"/>
      <c r="Q35" s="149"/>
    </row>
    <row r="36" spans="1:17" s="127" customFormat="1" ht="15">
      <c r="A36" s="145" t="s">
        <v>104</v>
      </c>
      <c r="B36" s="161">
        <f>+M22</f>
        <v>9</v>
      </c>
      <c r="C36" s="161">
        <f t="shared" si="0"/>
        <v>10</v>
      </c>
      <c r="D36" s="161">
        <f t="shared" si="0"/>
        <v>9.8000000000000007</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10</v>
      </c>
      <c r="D37" s="161">
        <f t="shared" si="0"/>
        <v>9.8000000000000007</v>
      </c>
      <c r="E37" s="147"/>
      <c r="F37" s="147"/>
      <c r="G37" s="147"/>
      <c r="H37" s="147"/>
      <c r="I37" s="147"/>
      <c r="J37" s="147"/>
      <c r="K37" s="147"/>
      <c r="L37" s="685"/>
      <c r="M37" s="685"/>
      <c r="N37" s="685"/>
      <c r="O37" s="701"/>
      <c r="P37" s="148"/>
      <c r="Q37" s="149"/>
    </row>
    <row r="38" spans="1:17" s="127" customFormat="1" ht="15.75" thickBot="1">
      <c r="A38" s="152" t="s">
        <v>106</v>
      </c>
      <c r="B38" s="164">
        <f>+O22</f>
        <v>10</v>
      </c>
      <c r="C38" s="164">
        <f>+C37</f>
        <v>10</v>
      </c>
      <c r="D38" s="164">
        <f>+D37</f>
        <v>9.8000000000000007</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Mediante AUTO N° 2025130000000090-7 DE 27-01-2025 se ordenó realizar el  seguimiento en campo a la EMPRESA PROMOTORA DE SALUD EPSS CONVIDA EN LIQUIDACIÓN, identificada con NIT 899.999.107-9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 xml:space="preserve">​Se logro la cobertura de los sujetos vigilados mediante visitas de seguimiento y monitoreo cimpliendo con el 100% 
</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 realizaron 10 visitas de seguimiento a entidades en liquidación ordenada de la SNS, con cumplimiento de la meta de 10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E2BC5-CA19-4789-982F-31EDB063C92F}">
  <sheetPr codeName="Hoja14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0.25"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Visitas de seguimiento de las liquidaciones No Ordenadas por la Superintendencia Nacional de Salud.  </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8.25" customHeight="1">
      <c r="A8" s="792" t="s">
        <v>1594</v>
      </c>
      <c r="B8" s="774"/>
      <c r="C8" s="711" t="str">
        <f>VLOOKUP(L12,Reporte!$A$5:$N$133,13,FALSE)</f>
        <v>Realizar las acciones para el  seguimiento y monitoreo a las vigilados  de las liquidaciones no Ordenadas por la Superintendencia Nacional de Salud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8" customHeight="1">
      <c r="A10" s="794"/>
      <c r="B10" s="795"/>
      <c r="C10" s="711" t="str">
        <f>VLOOKUP(L12,Reporte!$N$5:$BN$133,4,FALSE)</f>
        <v>Número de visitas generadas por la adopción, seguimiento y monitoreo a vigilados en proceso de liquidación  en el periodo</v>
      </c>
      <c r="D10" s="711"/>
      <c r="E10" s="711"/>
      <c r="F10" s="799" t="str">
        <f>VLOOKUP(L12,Reporte!$N$5:$BN$133,6,FALSE)</f>
        <v>Número de tomas de posesión a las entidades vigiladas.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611</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3</v>
      </c>
      <c r="D15" s="826"/>
      <c r="E15" s="827"/>
      <c r="F15" s="740" t="str">
        <f>VLOOKUP(L12,Reporte!$N$5:$BN$133,9,FALSE)</f>
        <v>Semestral</v>
      </c>
      <c r="G15" s="741"/>
      <c r="H15" s="707" t="s">
        <v>37</v>
      </c>
      <c r="I15" s="707"/>
      <c r="J15" s="746" t="s">
        <v>1595</v>
      </c>
      <c r="K15" s="747"/>
      <c r="L15" s="748"/>
      <c r="M15" s="775" t="str">
        <f>VLOOKUP(L12,Reporte!$N$5:$BN$133,28,FALSE)</f>
        <v>Oficina de Liquidaciones</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0</v>
      </c>
      <c r="I22" s="132">
        <f>VLOOKUP(L12,Reporte!$N$5:$BN$133,36,FALSE)</f>
        <v>0</v>
      </c>
      <c r="J22" s="139">
        <f>VLOOKUP(L12,Reporte!$N$5:$BN$133,37,FALSE)</f>
        <v>0</v>
      </c>
      <c r="K22" s="139">
        <f>VLOOKUP(L12,Reporte!$N$5:$BN$133,38,FALSE)</f>
        <v>0</v>
      </c>
      <c r="L22" s="139">
        <f>VLOOKUP(L12,Reporte!$N$5:$BN$133,39,FALSE)</f>
        <v>0</v>
      </c>
      <c r="M22" s="139">
        <f>VLOOKUP(L12,Reporte!$N$5:$BN$133,40,FALSE)</f>
        <v>3</v>
      </c>
      <c r="N22" s="133">
        <f>VLOOKUP(L12,Reporte!$N$5:$BN$133,41,FALSE)</f>
        <v>0</v>
      </c>
      <c r="O22" s="133">
        <f>SUM(C22:N22)</f>
        <v>3</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0</v>
      </c>
      <c r="I23" s="140">
        <f>VLOOKUP(L12,Reporte!$N$5:$BN$133,48,FALSE)</f>
        <v>0</v>
      </c>
      <c r="J23" s="140">
        <f>VLOOKUP(L12,Reporte!$N$5:$BN$133,49,FALSE)</f>
        <v>0</v>
      </c>
      <c r="K23" s="140">
        <f>VLOOKUP(L12,Reporte!$N$5:$BN$133,50,FALSE)</f>
        <v>0</v>
      </c>
      <c r="L23" s="140">
        <f>VLOOKUP(L12,Reporte!$N$5:$BN$133,51,FALSE)</f>
        <v>0</v>
      </c>
      <c r="M23" s="140">
        <f>VLOOKUP(L12,Reporte!$N$5:$BN$133,52,FALSE)</f>
        <v>3</v>
      </c>
      <c r="N23" s="141">
        <f>VLOOKUP(L12,Reporte!$N$5:$BN$133,53,FALSE)</f>
        <v>0</v>
      </c>
      <c r="O23" s="133">
        <f>SUM(C23:N23)</f>
        <v>3</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86">
        <f>IF(ISERROR($C$22/$C$23),0,$C$22/$C$23)</f>
        <v>0</v>
      </c>
      <c r="C26" s="186">
        <f>+C15</f>
        <v>3</v>
      </c>
      <c r="D26" s="186">
        <f>+C26*0.98</f>
        <v>2.94</v>
      </c>
      <c r="E26" s="147"/>
      <c r="F26" s="147"/>
      <c r="G26" s="685"/>
      <c r="H26" s="685"/>
      <c r="I26" s="699"/>
      <c r="J26" s="699"/>
      <c r="K26" s="699"/>
      <c r="L26" s="685"/>
      <c r="M26" s="685"/>
      <c r="N26" s="685"/>
      <c r="O26" s="701"/>
      <c r="P26" s="148"/>
      <c r="Q26" s="149"/>
    </row>
    <row r="27" spans="1:17" s="127" customFormat="1" ht="15">
      <c r="A27" s="145" t="s">
        <v>95</v>
      </c>
      <c r="B27" s="186">
        <f>IF(ISERROR($D$22/$D$23),0,$D$22/$D$23)</f>
        <v>0</v>
      </c>
      <c r="C27" s="186">
        <f>+C26</f>
        <v>3</v>
      </c>
      <c r="D27" s="186">
        <f>+D26</f>
        <v>2.94</v>
      </c>
      <c r="E27" s="147"/>
      <c r="F27" s="147"/>
      <c r="G27" s="685"/>
      <c r="H27" s="685"/>
      <c r="I27" s="685"/>
      <c r="J27" s="685"/>
      <c r="K27" s="147"/>
      <c r="L27" s="685"/>
      <c r="M27" s="685"/>
      <c r="N27" s="685"/>
      <c r="O27" s="701"/>
      <c r="P27" s="148"/>
      <c r="Q27" s="149"/>
    </row>
    <row r="28" spans="1:17" s="127" customFormat="1" ht="15">
      <c r="A28" s="145" t="s">
        <v>96</v>
      </c>
      <c r="B28" s="186">
        <f>IF(ISERROR($E$22/$E$23),0,$E$22/$E$23)</f>
        <v>0</v>
      </c>
      <c r="C28" s="186">
        <f t="shared" ref="C28:D37" si="0">+C27</f>
        <v>3</v>
      </c>
      <c r="D28" s="186">
        <f t="shared" si="0"/>
        <v>2.94</v>
      </c>
      <c r="E28" s="147"/>
      <c r="F28" s="147"/>
      <c r="G28" s="685"/>
      <c r="H28" s="685"/>
      <c r="I28" s="685"/>
      <c r="J28" s="685"/>
      <c r="K28" s="147"/>
      <c r="L28" s="685"/>
      <c r="M28" s="685"/>
      <c r="N28" s="685"/>
      <c r="O28" s="701"/>
      <c r="P28" s="148"/>
      <c r="Q28" s="149"/>
    </row>
    <row r="29" spans="1:17" s="127" customFormat="1" ht="15">
      <c r="A29" s="145" t="s">
        <v>97</v>
      </c>
      <c r="B29" s="186">
        <f>IF(ISERROR($F$22/$F$23),0,$F$22/$F$23)</f>
        <v>0</v>
      </c>
      <c r="C29" s="186">
        <f t="shared" si="0"/>
        <v>3</v>
      </c>
      <c r="D29" s="186">
        <f t="shared" si="0"/>
        <v>2.94</v>
      </c>
      <c r="E29" s="147"/>
      <c r="F29" s="147"/>
      <c r="G29" s="685"/>
      <c r="H29" s="685"/>
      <c r="I29" s="685"/>
      <c r="J29" s="685"/>
      <c r="K29" s="147"/>
      <c r="L29" s="685"/>
      <c r="M29" s="685"/>
      <c r="N29" s="685"/>
      <c r="O29" s="701"/>
      <c r="P29" s="148"/>
      <c r="Q29" s="149"/>
    </row>
    <row r="30" spans="1:17" s="127" customFormat="1" ht="15">
      <c r="A30" s="145" t="s">
        <v>98</v>
      </c>
      <c r="B30" s="186">
        <f>IF(ISERROR($G$22/$G$23),0,$G$22/$G$23)</f>
        <v>0</v>
      </c>
      <c r="C30" s="186">
        <f t="shared" si="0"/>
        <v>3</v>
      </c>
      <c r="D30" s="186">
        <f t="shared" si="0"/>
        <v>2.94</v>
      </c>
      <c r="E30" s="147"/>
      <c r="F30" s="147"/>
      <c r="G30" s="685"/>
      <c r="H30" s="685"/>
      <c r="I30" s="685"/>
      <c r="J30" s="685"/>
      <c r="K30" s="147"/>
      <c r="L30" s="685"/>
      <c r="M30" s="685"/>
      <c r="N30" s="685"/>
      <c r="O30" s="701"/>
      <c r="P30" s="148"/>
      <c r="Q30" s="149"/>
    </row>
    <row r="31" spans="1:17" s="127" customFormat="1" ht="15">
      <c r="A31" s="145" t="s">
        <v>99</v>
      </c>
      <c r="B31" s="186">
        <f>IF(ISERROR($H$22/$H$23),0,$H$22/$H$23)</f>
        <v>0</v>
      </c>
      <c r="C31" s="186">
        <f t="shared" si="0"/>
        <v>3</v>
      </c>
      <c r="D31" s="186">
        <f t="shared" si="0"/>
        <v>2.94</v>
      </c>
      <c r="E31" s="147"/>
      <c r="F31" s="147"/>
      <c r="G31" s="685"/>
      <c r="H31" s="685"/>
      <c r="I31" s="685"/>
      <c r="J31" s="685"/>
      <c r="K31" s="147"/>
      <c r="L31" s="685"/>
      <c r="M31" s="685"/>
      <c r="N31" s="685"/>
      <c r="O31" s="701"/>
      <c r="P31" s="148"/>
      <c r="Q31" s="149"/>
    </row>
    <row r="32" spans="1:17" s="127" customFormat="1" ht="15">
      <c r="A32" s="145" t="s">
        <v>100</v>
      </c>
      <c r="B32" s="186">
        <f>IF(ISERROR($I$22/$I$23),0,$I$22/$I$23)</f>
        <v>0</v>
      </c>
      <c r="C32" s="186">
        <f t="shared" si="0"/>
        <v>3</v>
      </c>
      <c r="D32" s="186">
        <f t="shared" si="0"/>
        <v>2.94</v>
      </c>
      <c r="E32" s="147"/>
      <c r="F32" s="147"/>
      <c r="G32" s="685"/>
      <c r="H32" s="685"/>
      <c r="I32" s="685"/>
      <c r="J32" s="685"/>
      <c r="K32" s="147"/>
      <c r="L32" s="685"/>
      <c r="M32" s="685"/>
      <c r="N32" s="685"/>
      <c r="O32" s="701"/>
      <c r="P32" s="148"/>
      <c r="Q32" s="149"/>
    </row>
    <row r="33" spans="1:17" s="127" customFormat="1" ht="15">
      <c r="A33" s="145" t="s">
        <v>101</v>
      </c>
      <c r="B33" s="186">
        <f>IF(ISERROR($J$22/$J$23),0,$J$22/$J$23)</f>
        <v>0</v>
      </c>
      <c r="C33" s="186">
        <f t="shared" si="0"/>
        <v>3</v>
      </c>
      <c r="D33" s="186">
        <f t="shared" si="0"/>
        <v>2.94</v>
      </c>
      <c r="E33" s="147"/>
      <c r="F33" s="147"/>
      <c r="G33" s="685"/>
      <c r="H33" s="685"/>
      <c r="I33" s="685"/>
      <c r="J33" s="685"/>
      <c r="K33" s="147"/>
      <c r="L33" s="685"/>
      <c r="M33" s="685"/>
      <c r="N33" s="685"/>
      <c r="O33" s="701"/>
      <c r="P33" s="148"/>
      <c r="Q33" s="149"/>
    </row>
    <row r="34" spans="1:17" s="127" customFormat="1" ht="15">
      <c r="A34" s="145" t="s">
        <v>102</v>
      </c>
      <c r="B34" s="186">
        <f>IF(ISERROR($K$22/$K$23),0,$K$22/$K$23)</f>
        <v>0</v>
      </c>
      <c r="C34" s="186">
        <f t="shared" si="0"/>
        <v>3</v>
      </c>
      <c r="D34" s="186">
        <f t="shared" si="0"/>
        <v>2.94</v>
      </c>
      <c r="E34" s="147"/>
      <c r="F34" s="147"/>
      <c r="G34" s="685"/>
      <c r="H34" s="685"/>
      <c r="I34" s="685"/>
      <c r="J34" s="685"/>
      <c r="K34" s="147"/>
      <c r="L34" s="685"/>
      <c r="M34" s="685"/>
      <c r="N34" s="685"/>
      <c r="O34" s="701"/>
      <c r="P34" s="148"/>
      <c r="Q34" s="149"/>
    </row>
    <row r="35" spans="1:17" s="127" customFormat="1" ht="15">
      <c r="A35" s="145" t="s">
        <v>103</v>
      </c>
      <c r="B35" s="186">
        <f>IF(ISERROR($L$22/$L$23),0,$L$22/$L$23)</f>
        <v>0</v>
      </c>
      <c r="C35" s="186">
        <f t="shared" si="0"/>
        <v>3</v>
      </c>
      <c r="D35" s="186">
        <f t="shared" si="0"/>
        <v>2.94</v>
      </c>
      <c r="E35" s="147"/>
      <c r="F35" s="147"/>
      <c r="G35" s="685"/>
      <c r="H35" s="685"/>
      <c r="I35" s="685"/>
      <c r="J35" s="685"/>
      <c r="K35" s="147"/>
      <c r="L35" s="685"/>
      <c r="M35" s="685"/>
      <c r="N35" s="685"/>
      <c r="O35" s="701"/>
      <c r="P35" s="148"/>
      <c r="Q35" s="149"/>
    </row>
    <row r="36" spans="1:17" s="127" customFormat="1" ht="15">
      <c r="A36" s="145" t="s">
        <v>104</v>
      </c>
      <c r="B36" s="186">
        <f>IF(ISERROR($M$22/$M$23),0,$M$22/$M$23)</f>
        <v>1</v>
      </c>
      <c r="C36" s="186">
        <f t="shared" si="0"/>
        <v>3</v>
      </c>
      <c r="D36" s="186">
        <f t="shared" si="0"/>
        <v>2.94</v>
      </c>
      <c r="E36" s="147"/>
      <c r="F36" s="147"/>
      <c r="G36" s="685"/>
      <c r="H36" s="685"/>
      <c r="I36" s="685"/>
      <c r="J36" s="685"/>
      <c r="K36" s="147"/>
      <c r="L36" s="685"/>
      <c r="M36" s="685"/>
      <c r="N36" s="685"/>
      <c r="O36" s="701"/>
      <c r="P36" s="148"/>
      <c r="Q36" s="149"/>
    </row>
    <row r="37" spans="1:17" s="127" customFormat="1" ht="15.75" thickBot="1">
      <c r="A37" s="150" t="s">
        <v>105</v>
      </c>
      <c r="B37" s="187">
        <f>IF(ISERROR($N$22/$N$23),0,$N$22/$N$23)</f>
        <v>0</v>
      </c>
      <c r="C37" s="186">
        <f t="shared" si="0"/>
        <v>3</v>
      </c>
      <c r="D37" s="186">
        <f t="shared" si="0"/>
        <v>2.94</v>
      </c>
      <c r="E37" s="147"/>
      <c r="F37" s="147"/>
      <c r="G37" s="147"/>
      <c r="H37" s="147"/>
      <c r="I37" s="147"/>
      <c r="J37" s="147"/>
      <c r="K37" s="147"/>
      <c r="L37" s="685"/>
      <c r="M37" s="685"/>
      <c r="N37" s="685"/>
      <c r="O37" s="701"/>
      <c r="P37" s="148"/>
      <c r="Q37" s="149"/>
    </row>
    <row r="38" spans="1:17" s="127" customFormat="1" ht="15.75" thickBot="1">
      <c r="A38" s="152" t="s">
        <v>106</v>
      </c>
      <c r="B38" s="163">
        <f>IF(ISERROR($O$22/$O$23),0,$O$22/$O$23)</f>
        <v>1</v>
      </c>
      <c r="C38" s="163">
        <f>+C37</f>
        <v>3</v>
      </c>
      <c r="D38" s="163">
        <f>+D37</f>
        <v>2.94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​Debido al cambio de personal de la OL y la prioridad de las visitas de seguimiento y monitoreo de las entidades en liquidación , las visitas programadas en el año se realizaran en el segundo semestre.Se modificará este indicador .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 xml:space="preserve">​Mediante visita de Seguimiento t monitoreo se logro la cobertura del 100% de las entidades programadas a vigilados no ordenados por la SNS 
</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3 visitas a entidades en liquidación no ordenadas por la SNS, con cumplimiento de la meta para 2025. Pese a la inconsistencia en el reporte en el SharePoint, se pudo verificar en las evidencias que se cumplió el indicador en el segundo semestre, optimizando la única resolución.</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CA8DC-6536-400C-B8C0-70F1FA6981B8}">
  <sheetPr codeName="Hoja146"/>
  <dimension ref="A1:Q67"/>
  <sheetViews>
    <sheetView view="pageBreakPreview" zoomScale="80" zoomScaleNormal="73" zoomScaleSheetLayoutView="80" zoomScalePageLayoutView="55" workbookViewId="0">
      <selection activeCell="R30" sqref="R30"/>
    </sheetView>
  </sheetViews>
  <sheetFormatPr baseColWidth="10" defaultColWidth="21.625" defaultRowHeight="0" customHeight="1" zeroHeight="1"/>
  <cols>
    <col min="1" max="1" width="12.625" style="129" customWidth="1"/>
    <col min="2" max="2" width="11.75" style="129" customWidth="1"/>
    <col min="3" max="3" width="9.625" style="129" customWidth="1"/>
    <col min="4"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3.75" customHeight="1">
      <c r="A6" s="789" t="s">
        <v>8</v>
      </c>
      <c r="B6" s="790"/>
      <c r="C6" s="711" t="str">
        <f>VLOOKUP(L12,Reporte!$N$5:$BN$133,2,FALSE)</f>
        <v xml:space="preserve">Documentos radicados efectivos de salida en la herramienta Superargo  de los  procesos de respuesta a los usuarios o entidades del SGSSS y traslados a órganos de control  </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6.75" customHeight="1">
      <c r="A8" s="792" t="s">
        <v>1594</v>
      </c>
      <c r="B8" s="774"/>
      <c r="C8" s="711" t="str">
        <f>VLOOKUP(L12,Reporte!$A$5:$N$133,13,FALSE)</f>
        <v xml:space="preserve">Brindar apoyo técnico científico, jurídico, financiero y admistrativo para el seguimiento y monitoreo de los vigilados a cargo de la Oficina de Liquidaciones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39.75" customHeight="1">
      <c r="A10" s="794"/>
      <c r="B10" s="795"/>
      <c r="C10" s="711" t="str">
        <f>VLOOKUP(L12,Reporte!$N$5:$BN$133,4,FALSE)</f>
        <v xml:space="preserve">Número de documentos radicados de salida </v>
      </c>
      <c r="D10" s="711"/>
      <c r="E10" s="711"/>
      <c r="F10" s="799" t="str">
        <f>VLOOKUP(L12,Reporte!$N$5:$BN$133,6,FALSE)</f>
        <v>Número de documentos radicados efectivos de salida en el superargo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39.75" customHeight="1" thickBot="1">
      <c r="A12" s="796"/>
      <c r="B12" s="768"/>
      <c r="C12" s="710" t="str">
        <f>VLOOKUP(L12,Reporte!$N$5:$BN$133,5,FALSE)</f>
        <v>-</v>
      </c>
      <c r="D12" s="711"/>
      <c r="E12" s="711"/>
      <c r="F12" s="799"/>
      <c r="G12" s="799"/>
      <c r="H12" s="799"/>
      <c r="I12" s="799"/>
      <c r="J12" s="712" t="str">
        <f>VLOOKUP(L12,Reporte!$N$5:$BN$133,7,FALSE)</f>
        <v>Eficacia</v>
      </c>
      <c r="K12" s="712"/>
      <c r="L12" s="713" t="s">
        <v>646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1600</v>
      </c>
      <c r="D15" s="826"/>
      <c r="E15" s="827"/>
      <c r="F15" s="740" t="str">
        <f>VLOOKUP(L12,Reporte!$N$5:$BN$133,9,FALSE)</f>
        <v>Semestral</v>
      </c>
      <c r="G15" s="741"/>
      <c r="H15" s="707" t="s">
        <v>37</v>
      </c>
      <c r="I15" s="707"/>
      <c r="J15" s="746" t="s">
        <v>1595</v>
      </c>
      <c r="K15" s="747"/>
      <c r="L15" s="748"/>
      <c r="M15" s="775" t="str">
        <f>VLOOKUP(L12,Reporte!$N$5:$BN$133,28,FALSE)</f>
        <v>Oficina de Liquidaciones</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400</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1240</v>
      </c>
      <c r="O22" s="133">
        <f>SUM(C22:N22)</f>
        <v>1640</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400</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1200</v>
      </c>
      <c r="O23" s="133">
        <f>SUM(C23:N23)</f>
        <v>1600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1600</v>
      </c>
      <c r="D26" s="161">
        <f>+C26*0.98</f>
        <v>1568</v>
      </c>
      <c r="E26" s="147"/>
      <c r="F26" s="147"/>
      <c r="G26" s="685"/>
      <c r="H26" s="685"/>
      <c r="I26" s="699"/>
      <c r="J26" s="699"/>
      <c r="K26" s="699"/>
      <c r="L26" s="685"/>
      <c r="M26" s="685"/>
      <c r="N26" s="685"/>
      <c r="O26" s="701"/>
      <c r="P26" s="148"/>
      <c r="Q26" s="149"/>
    </row>
    <row r="27" spans="1:17" s="127" customFormat="1" ht="15">
      <c r="A27" s="145" t="s">
        <v>95</v>
      </c>
      <c r="B27" s="161">
        <f>+D22</f>
        <v>0</v>
      </c>
      <c r="C27" s="161">
        <f>+C26</f>
        <v>1600</v>
      </c>
      <c r="D27" s="161">
        <f>+D26</f>
        <v>1568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1600</v>
      </c>
      <c r="D28" s="161">
        <f t="shared" si="0"/>
        <v>1568</v>
      </c>
      <c r="E28" s="147"/>
      <c r="F28" s="147"/>
      <c r="G28" s="685"/>
      <c r="H28" s="685"/>
      <c r="I28" s="685"/>
      <c r="J28" s="685"/>
      <c r="K28" s="147"/>
      <c r="L28" s="685"/>
      <c r="M28" s="685"/>
      <c r="N28" s="685"/>
      <c r="O28" s="701"/>
      <c r="P28" s="148"/>
      <c r="Q28" s="149"/>
    </row>
    <row r="29" spans="1:17" s="127" customFormat="1" ht="15">
      <c r="A29" s="145" t="s">
        <v>97</v>
      </c>
      <c r="B29" s="161">
        <f>+F22</f>
        <v>0</v>
      </c>
      <c r="C29" s="161">
        <f t="shared" si="0"/>
        <v>1600</v>
      </c>
      <c r="D29" s="161">
        <f t="shared" si="0"/>
        <v>1568</v>
      </c>
      <c r="E29" s="147"/>
      <c r="F29" s="147"/>
      <c r="G29" s="685"/>
      <c r="H29" s="685"/>
      <c r="I29" s="685"/>
      <c r="J29" s="685"/>
      <c r="K29" s="147"/>
      <c r="L29" s="685"/>
      <c r="M29" s="685"/>
      <c r="N29" s="685"/>
      <c r="O29" s="701"/>
      <c r="P29" s="148"/>
      <c r="Q29" s="149"/>
    </row>
    <row r="30" spans="1:17" s="127" customFormat="1" ht="15">
      <c r="A30" s="145" t="s">
        <v>98</v>
      </c>
      <c r="B30" s="161">
        <f>+G22</f>
        <v>0</v>
      </c>
      <c r="C30" s="161">
        <f t="shared" si="0"/>
        <v>1600</v>
      </c>
      <c r="D30" s="161">
        <f t="shared" si="0"/>
        <v>1568</v>
      </c>
      <c r="E30" s="147"/>
      <c r="F30" s="147"/>
      <c r="G30" s="685"/>
      <c r="H30" s="685"/>
      <c r="I30" s="685"/>
      <c r="J30" s="685"/>
      <c r="K30" s="147"/>
      <c r="L30" s="685"/>
      <c r="M30" s="685"/>
      <c r="N30" s="685"/>
      <c r="O30" s="701"/>
      <c r="P30" s="148"/>
      <c r="Q30" s="149"/>
    </row>
    <row r="31" spans="1:17" s="127" customFormat="1" ht="15">
      <c r="A31" s="145" t="s">
        <v>99</v>
      </c>
      <c r="B31" s="161">
        <f>+H22</f>
        <v>400</v>
      </c>
      <c r="C31" s="161">
        <f t="shared" si="0"/>
        <v>1600</v>
      </c>
      <c r="D31" s="161">
        <f t="shared" si="0"/>
        <v>1568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1600</v>
      </c>
      <c r="D32" s="161">
        <f t="shared" si="0"/>
        <v>1568</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1600</v>
      </c>
      <c r="D33" s="161">
        <f t="shared" si="0"/>
        <v>1568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1600</v>
      </c>
      <c r="D34" s="161">
        <f t="shared" si="0"/>
        <v>1568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1600</v>
      </c>
      <c r="D35" s="161">
        <f t="shared" si="0"/>
        <v>1568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1600</v>
      </c>
      <c r="D36" s="161">
        <f t="shared" si="0"/>
        <v>1568</v>
      </c>
      <c r="E36" s="147"/>
      <c r="F36" s="147"/>
      <c r="G36" s="685"/>
      <c r="H36" s="685"/>
      <c r="I36" s="685"/>
      <c r="J36" s="685"/>
      <c r="K36" s="147"/>
      <c r="L36" s="685"/>
      <c r="M36" s="685"/>
      <c r="N36" s="685"/>
      <c r="O36" s="701"/>
      <c r="P36" s="148"/>
      <c r="Q36" s="149"/>
    </row>
    <row r="37" spans="1:17" s="127" customFormat="1" ht="15.75" thickBot="1">
      <c r="A37" s="150" t="s">
        <v>105</v>
      </c>
      <c r="B37" s="162">
        <f>+N22</f>
        <v>1240</v>
      </c>
      <c r="C37" s="161">
        <f t="shared" si="0"/>
        <v>1600</v>
      </c>
      <c r="D37" s="161">
        <f t="shared" si="0"/>
        <v>1568</v>
      </c>
      <c r="E37" s="147"/>
      <c r="F37" s="147"/>
      <c r="G37" s="147"/>
      <c r="H37" s="147"/>
      <c r="I37" s="147"/>
      <c r="J37" s="147"/>
      <c r="K37" s="147"/>
      <c r="L37" s="685"/>
      <c r="M37" s="685"/>
      <c r="N37" s="685"/>
      <c r="O37" s="701"/>
      <c r="P37" s="148"/>
      <c r="Q37" s="149"/>
    </row>
    <row r="38" spans="1:17" s="127" customFormat="1" ht="15.75" thickBot="1">
      <c r="A38" s="152" t="s">
        <v>106</v>
      </c>
      <c r="B38" s="164">
        <f>+O22</f>
        <v>1640</v>
      </c>
      <c r="C38" s="164">
        <f>+C37</f>
        <v>1600</v>
      </c>
      <c r="D38" s="164">
        <f>+D37</f>
        <v>1568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53.25" customHeight="1" thickBot="1">
      <c r="A51" s="673" t="str">
        <f>VLOOKUP(L12,Reporte!$N$5:$BZ$133,59,FALSE)</f>
        <v xml:space="preserve">​Mediante la contratación de 2 profesionales del area jurídica  se esta haciendo el  seguimiento y monitoreo de los vigilados a cargo de la Oficina de Liquidaciones la evidencia son los documentos documentos radicados efectivos de salida en la herramienta Superargo de los procesos de respuesta a los usuarios o entidades del SGSSS y traslados a órganos de control que para el caso del primer semestre fueron 322 de salida efectivos . El incumplimiento del indicador a que se retrazó el tiempo en la oficina de contratación para realizar los contratos y la fecha de inicio fué diferente a la programada.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​Los contratistas efectuaron mas apoyo jurídico y financiero durante el periodo ya que llegaron mas PQRD en el mes de diciembre exediendo en 25 radicados mas . Se cumplio con la meta establecida . Se anexan los resultados arrojados por el Superargo que da fe de las actividades tramitadas por los profesionales y su apoyo a la Oficina de Liquidaciones .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generado 1640 radicados de salida en SuperArgo, con sobrecumplimiento la meta de 1600 de establecida para 2025. Se presentaron observaciones desde la OAP sobre el reporte de datos realizado en el SharePoint de PAG 2025, sin embargo el área informa de ajustes en el reporte,</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21D3-F8E2-4DDF-B1E2-0BD0383447CD}">
  <sheetPr codeName="Hoja147"/>
  <dimension ref="A1:AU197"/>
  <sheetViews>
    <sheetView workbookViewId="0">
      <selection activeCell="C13" sqref="C13"/>
    </sheetView>
  </sheetViews>
  <sheetFormatPr baseColWidth="10" defaultColWidth="11" defaultRowHeight="14.25"/>
  <cols>
    <col min="1" max="47" width="17" style="14" customWidth="1"/>
    <col min="48" max="16384" width="11" style="14"/>
  </cols>
  <sheetData>
    <row r="1" spans="1:47" s="13" customFormat="1" ht="27" customHeight="1">
      <c r="A1" s="13" t="s">
        <v>1601</v>
      </c>
      <c r="B1" s="13" t="s">
        <v>1602</v>
      </c>
      <c r="C1" s="13" t="s">
        <v>1603</v>
      </c>
      <c r="D1" s="13" t="s">
        <v>1604</v>
      </c>
      <c r="E1" s="13" t="s">
        <v>1605</v>
      </c>
      <c r="F1" s="13" t="s">
        <v>1606</v>
      </c>
      <c r="G1" s="13" t="s">
        <v>1607</v>
      </c>
      <c r="H1" s="13" t="s">
        <v>1608</v>
      </c>
      <c r="I1" s="13" t="s">
        <v>1609</v>
      </c>
      <c r="J1" s="13" t="s">
        <v>1610</v>
      </c>
      <c r="K1" s="13" t="s">
        <v>1611</v>
      </c>
      <c r="L1" s="13" t="s">
        <v>1612</v>
      </c>
      <c r="M1" s="13" t="s">
        <v>1613</v>
      </c>
      <c r="N1" s="13" t="s">
        <v>1614</v>
      </c>
      <c r="O1" s="13" t="s">
        <v>1615</v>
      </c>
      <c r="P1" s="13" t="s">
        <v>1616</v>
      </c>
      <c r="Q1" s="13" t="s">
        <v>1617</v>
      </c>
      <c r="R1" s="13" t="s">
        <v>1618</v>
      </c>
      <c r="S1" s="13" t="s">
        <v>1619</v>
      </c>
      <c r="T1" s="13" t="s">
        <v>1620</v>
      </c>
      <c r="U1" s="13" t="s">
        <v>1621</v>
      </c>
      <c r="V1" s="13" t="s">
        <v>1622</v>
      </c>
      <c r="W1" s="13" t="s">
        <v>1623</v>
      </c>
      <c r="X1" s="13" t="s">
        <v>1624</v>
      </c>
      <c r="Y1" s="13" t="s">
        <v>1625</v>
      </c>
      <c r="Z1" s="13" t="s">
        <v>1626</v>
      </c>
      <c r="AA1" s="13" t="s">
        <v>1627</v>
      </c>
      <c r="AB1" s="13" t="s">
        <v>1628</v>
      </c>
      <c r="AC1" s="13" t="s">
        <v>1629</v>
      </c>
      <c r="AD1" s="13" t="s">
        <v>1630</v>
      </c>
      <c r="AE1" s="13" t="s">
        <v>1631</v>
      </c>
      <c r="AF1" s="13" t="s">
        <v>1632</v>
      </c>
      <c r="AG1" s="13" t="s">
        <v>1633</v>
      </c>
      <c r="AH1" s="13" t="s">
        <v>1634</v>
      </c>
      <c r="AI1" s="13" t="s">
        <v>1635</v>
      </c>
      <c r="AJ1" s="13" t="s">
        <v>1636</v>
      </c>
      <c r="AK1" s="13" t="s">
        <v>1637</v>
      </c>
      <c r="AL1" s="13" t="s">
        <v>1638</v>
      </c>
      <c r="AM1" s="13" t="s">
        <v>1639</v>
      </c>
      <c r="AN1" s="13" t="s">
        <v>1640</v>
      </c>
      <c r="AO1" s="13" t="s">
        <v>1641</v>
      </c>
      <c r="AP1" s="13" t="s">
        <v>1642</v>
      </c>
      <c r="AQ1" s="13" t="s">
        <v>1643</v>
      </c>
      <c r="AR1" s="13" t="s">
        <v>1644</v>
      </c>
      <c r="AS1" s="13" t="s">
        <v>1645</v>
      </c>
      <c r="AT1" s="13" t="s">
        <v>1646</v>
      </c>
      <c r="AU1" s="13" t="s">
        <v>1647</v>
      </c>
    </row>
    <row r="2" spans="1:47">
      <c r="A2" s="14" t="s">
        <v>1648</v>
      </c>
      <c r="B2" s="14" t="s">
        <v>1649</v>
      </c>
      <c r="C2" s="14" t="s">
        <v>1650</v>
      </c>
      <c r="D2" s="14" t="s">
        <v>1651</v>
      </c>
      <c r="F2" s="14" t="s">
        <v>1652</v>
      </c>
      <c r="I2" s="14" t="s">
        <v>1653</v>
      </c>
      <c r="K2" s="14" t="s">
        <v>1654</v>
      </c>
      <c r="L2" s="14" t="s">
        <v>870</v>
      </c>
      <c r="M2" s="14" t="s">
        <v>1655</v>
      </c>
      <c r="N2" s="14">
        <v>2</v>
      </c>
      <c r="O2" s="14" t="s">
        <v>1656</v>
      </c>
      <c r="P2" s="14">
        <v>1</v>
      </c>
      <c r="Q2" s="14">
        <v>0.9</v>
      </c>
      <c r="R2" s="14" t="s">
        <v>910</v>
      </c>
      <c r="S2" s="14" t="s">
        <v>1657</v>
      </c>
      <c r="T2" s="14" t="s">
        <v>1658</v>
      </c>
      <c r="U2" s="14" t="s">
        <v>1659</v>
      </c>
      <c r="V2" s="14" t="s">
        <v>874</v>
      </c>
      <c r="AC2" s="14">
        <v>75</v>
      </c>
      <c r="AD2" s="14">
        <v>71</v>
      </c>
      <c r="AK2" s="14">
        <v>71</v>
      </c>
      <c r="AL2" s="14">
        <v>71</v>
      </c>
      <c r="AS2" s="14">
        <v>71</v>
      </c>
      <c r="AT2" s="14">
        <v>71</v>
      </c>
      <c r="AU2" s="14" t="s">
        <v>1654</v>
      </c>
    </row>
    <row r="3" spans="1:47">
      <c r="A3" s="14" t="s">
        <v>1648</v>
      </c>
      <c r="B3" s="14" t="s">
        <v>1660</v>
      </c>
      <c r="C3" s="14" t="s">
        <v>1650</v>
      </c>
      <c r="D3" s="14" t="s">
        <v>1651</v>
      </c>
      <c r="F3" s="14" t="s">
        <v>1661</v>
      </c>
      <c r="I3" s="14" t="s">
        <v>1662</v>
      </c>
      <c r="J3" s="14" t="s">
        <v>1663</v>
      </c>
      <c r="K3" s="14" t="s">
        <v>1664</v>
      </c>
      <c r="L3" s="14" t="s">
        <v>870</v>
      </c>
      <c r="M3" s="14" t="s">
        <v>1665</v>
      </c>
      <c r="N3" s="14">
        <v>2</v>
      </c>
      <c r="O3" s="14" t="s">
        <v>1656</v>
      </c>
      <c r="P3" s="14">
        <v>1</v>
      </c>
      <c r="Q3" s="14">
        <v>0.9</v>
      </c>
      <c r="R3" s="14" t="s">
        <v>910</v>
      </c>
      <c r="S3" s="14" t="s">
        <v>1657</v>
      </c>
      <c r="T3" s="14" t="s">
        <v>1658</v>
      </c>
      <c r="U3" s="14" t="s">
        <v>1659</v>
      </c>
      <c r="V3" s="14" t="s">
        <v>874</v>
      </c>
      <c r="AC3" s="14">
        <v>237</v>
      </c>
      <c r="AD3" s="14">
        <v>236</v>
      </c>
      <c r="AK3" s="14">
        <v>184</v>
      </c>
      <c r="AL3" s="14">
        <v>184</v>
      </c>
      <c r="AS3" s="14">
        <v>54</v>
      </c>
      <c r="AT3" s="14">
        <v>54</v>
      </c>
      <c r="AU3" s="14" t="s">
        <v>1664</v>
      </c>
    </row>
    <row r="4" spans="1:47">
      <c r="A4" s="14" t="s">
        <v>1648</v>
      </c>
      <c r="B4" s="14" t="s">
        <v>1666</v>
      </c>
      <c r="C4" s="14" t="s">
        <v>1650</v>
      </c>
      <c r="D4" s="14" t="s">
        <v>1651</v>
      </c>
      <c r="F4" s="14" t="s">
        <v>1667</v>
      </c>
      <c r="I4" s="14" t="s">
        <v>1668</v>
      </c>
      <c r="K4" s="14" t="s">
        <v>1669</v>
      </c>
      <c r="L4" s="14" t="s">
        <v>870</v>
      </c>
      <c r="M4" s="14" t="s">
        <v>1670</v>
      </c>
      <c r="N4" s="14">
        <v>2</v>
      </c>
      <c r="O4" s="14" t="s">
        <v>1656</v>
      </c>
      <c r="P4" s="14">
        <v>1</v>
      </c>
      <c r="Q4" s="14">
        <v>0.9</v>
      </c>
      <c r="R4" s="14" t="s">
        <v>910</v>
      </c>
      <c r="S4" s="14" t="s">
        <v>1657</v>
      </c>
      <c r="T4" s="14" t="s">
        <v>1658</v>
      </c>
      <c r="U4" s="14" t="s">
        <v>1659</v>
      </c>
      <c r="V4" s="14" t="s">
        <v>874</v>
      </c>
      <c r="AC4" s="14">
        <v>0</v>
      </c>
      <c r="AD4" s="14">
        <v>1</v>
      </c>
      <c r="AK4" s="14">
        <v>1</v>
      </c>
      <c r="AL4" s="14">
        <v>1</v>
      </c>
      <c r="AS4" s="14">
        <v>2</v>
      </c>
      <c r="AT4" s="14">
        <v>1</v>
      </c>
      <c r="AU4" s="14" t="s">
        <v>1669</v>
      </c>
    </row>
    <row r="5" spans="1:47">
      <c r="A5" s="14" t="s">
        <v>1648</v>
      </c>
      <c r="B5" s="14" t="s">
        <v>1671</v>
      </c>
      <c r="C5" s="14" t="s">
        <v>1650</v>
      </c>
      <c r="D5" s="14" t="s">
        <v>1651</v>
      </c>
      <c r="F5" s="14" t="s">
        <v>1672</v>
      </c>
      <c r="I5" s="14" t="s">
        <v>1673</v>
      </c>
      <c r="K5" s="14" t="s">
        <v>1674</v>
      </c>
      <c r="L5" s="14" t="s">
        <v>870</v>
      </c>
      <c r="M5" s="14" t="s">
        <v>1675</v>
      </c>
      <c r="N5" s="14">
        <v>2</v>
      </c>
      <c r="O5" s="14" t="s">
        <v>1656</v>
      </c>
      <c r="P5" s="14">
        <v>1</v>
      </c>
      <c r="Q5" s="14">
        <v>0.9</v>
      </c>
      <c r="R5" s="14" t="s">
        <v>910</v>
      </c>
      <c r="S5" s="14" t="s">
        <v>1657</v>
      </c>
      <c r="T5" s="14" t="s">
        <v>1658</v>
      </c>
      <c r="U5" s="14" t="s">
        <v>1659</v>
      </c>
      <c r="V5" s="14" t="s">
        <v>874</v>
      </c>
      <c r="AC5" s="14">
        <v>0</v>
      </c>
      <c r="AD5" s="14">
        <v>4</v>
      </c>
      <c r="AK5" s="14">
        <v>5</v>
      </c>
      <c r="AL5" s="14">
        <v>1</v>
      </c>
      <c r="AS5" s="14">
        <v>1</v>
      </c>
      <c r="AT5" s="14">
        <v>1</v>
      </c>
      <c r="AU5" s="14" t="s">
        <v>1674</v>
      </c>
    </row>
    <row r="6" spans="1:47">
      <c r="A6" s="14" t="s">
        <v>1676</v>
      </c>
      <c r="B6" s="14" t="s">
        <v>1677</v>
      </c>
      <c r="C6" s="14" t="s">
        <v>1678</v>
      </c>
      <c r="D6" s="14" t="s">
        <v>1679</v>
      </c>
      <c r="E6" s="14" t="s">
        <v>1680</v>
      </c>
      <c r="F6" s="14" t="s">
        <v>1681</v>
      </c>
      <c r="I6" s="14" t="s">
        <v>1682</v>
      </c>
      <c r="J6" s="14" t="s">
        <v>1683</v>
      </c>
      <c r="K6" s="14" t="s">
        <v>1684</v>
      </c>
      <c r="L6" s="14" t="s">
        <v>892</v>
      </c>
      <c r="M6" s="14" t="s">
        <v>1685</v>
      </c>
      <c r="N6" s="14">
        <v>2</v>
      </c>
      <c r="O6" s="14" t="s">
        <v>871</v>
      </c>
      <c r="P6" s="14">
        <v>1</v>
      </c>
      <c r="Q6" s="14">
        <v>0.9</v>
      </c>
      <c r="R6" s="14" t="s">
        <v>910</v>
      </c>
      <c r="S6" s="14" t="s">
        <v>1657</v>
      </c>
      <c r="T6" s="14" t="s">
        <v>1658</v>
      </c>
      <c r="U6" s="14" t="s">
        <v>1659</v>
      </c>
      <c r="V6" s="14" t="s">
        <v>874</v>
      </c>
      <c r="AC6" s="14">
        <v>31</v>
      </c>
      <c r="AD6" s="14">
        <v>31</v>
      </c>
      <c r="AK6" s="14">
        <v>2</v>
      </c>
      <c r="AL6" s="14">
        <v>2</v>
      </c>
      <c r="AS6" s="14">
        <v>34</v>
      </c>
      <c r="AT6" s="14">
        <v>34</v>
      </c>
      <c r="AU6" s="14" t="s">
        <v>1684</v>
      </c>
    </row>
    <row r="7" spans="1:47">
      <c r="A7" s="14" t="s">
        <v>1676</v>
      </c>
      <c r="B7" s="14" t="s">
        <v>1686</v>
      </c>
      <c r="C7" s="14" t="s">
        <v>1678</v>
      </c>
      <c r="D7" s="14" t="s">
        <v>1679</v>
      </c>
      <c r="E7" s="14" t="s">
        <v>1680</v>
      </c>
      <c r="F7" s="14" t="s">
        <v>1687</v>
      </c>
      <c r="I7" s="14" t="s">
        <v>1688</v>
      </c>
      <c r="J7" s="14" t="s">
        <v>1689</v>
      </c>
      <c r="K7" s="14" t="s">
        <v>1690</v>
      </c>
      <c r="L7" s="14" t="s">
        <v>892</v>
      </c>
      <c r="M7" s="14" t="s">
        <v>1691</v>
      </c>
      <c r="N7" s="14">
        <v>2</v>
      </c>
      <c r="O7" s="14" t="s">
        <v>871</v>
      </c>
      <c r="P7" s="14">
        <v>1</v>
      </c>
      <c r="Q7" s="14">
        <v>0.9</v>
      </c>
      <c r="R7" s="14" t="s">
        <v>910</v>
      </c>
      <c r="S7" s="14" t="s">
        <v>1657</v>
      </c>
      <c r="T7" s="14" t="s">
        <v>1658</v>
      </c>
      <c r="U7" s="14" t="s">
        <v>1659</v>
      </c>
      <c r="V7" s="14" t="s">
        <v>874</v>
      </c>
      <c r="AC7" s="14">
        <v>58</v>
      </c>
      <c r="AD7" s="14">
        <v>58</v>
      </c>
      <c r="AK7" s="14">
        <v>192</v>
      </c>
      <c r="AL7" s="14">
        <v>192</v>
      </c>
      <c r="AS7" s="14">
        <v>280</v>
      </c>
      <c r="AT7" s="14">
        <v>280</v>
      </c>
      <c r="AU7" s="14" t="s">
        <v>1690</v>
      </c>
    </row>
    <row r="8" spans="1:47">
      <c r="A8" s="14" t="s">
        <v>1676</v>
      </c>
      <c r="B8" s="14" t="s">
        <v>1692</v>
      </c>
      <c r="C8" s="14" t="s">
        <v>1678</v>
      </c>
      <c r="D8" s="14" t="s">
        <v>1679</v>
      </c>
      <c r="E8" s="14" t="s">
        <v>1680</v>
      </c>
      <c r="F8" s="14" t="s">
        <v>1693</v>
      </c>
      <c r="I8" s="14" t="s">
        <v>1694</v>
      </c>
      <c r="K8" s="14" t="s">
        <v>1695</v>
      </c>
      <c r="L8" s="14" t="s">
        <v>870</v>
      </c>
      <c r="M8" s="14" t="s">
        <v>1696</v>
      </c>
      <c r="N8" s="14">
        <v>2</v>
      </c>
      <c r="O8" s="14" t="s">
        <v>1656</v>
      </c>
      <c r="P8" s="14">
        <v>1</v>
      </c>
      <c r="Q8" s="14">
        <v>0.9</v>
      </c>
      <c r="R8" s="14" t="s">
        <v>910</v>
      </c>
      <c r="S8" s="14" t="s">
        <v>1657</v>
      </c>
      <c r="T8" s="14" t="s">
        <v>1658</v>
      </c>
      <c r="U8" s="14" t="s">
        <v>1659</v>
      </c>
      <c r="V8" s="14" t="s">
        <v>874</v>
      </c>
      <c r="AC8" s="14">
        <v>5</v>
      </c>
      <c r="AD8" s="14">
        <v>5</v>
      </c>
      <c r="AK8" s="14">
        <v>5</v>
      </c>
      <c r="AL8" s="14">
        <v>5</v>
      </c>
      <c r="AS8" s="14">
        <v>6</v>
      </c>
      <c r="AT8" s="14">
        <v>6</v>
      </c>
      <c r="AU8" s="14" t="s">
        <v>1695</v>
      </c>
    </row>
    <row r="9" spans="1:47">
      <c r="A9" s="14" t="s">
        <v>1676</v>
      </c>
      <c r="B9" s="14" t="s">
        <v>1697</v>
      </c>
      <c r="C9" s="14" t="s">
        <v>1678</v>
      </c>
      <c r="D9" s="14" t="s">
        <v>1679</v>
      </c>
      <c r="E9" s="14" t="s">
        <v>1680</v>
      </c>
      <c r="F9" s="14" t="s">
        <v>1698</v>
      </c>
      <c r="I9" s="14" t="s">
        <v>1699</v>
      </c>
      <c r="K9" s="14" t="s">
        <v>1700</v>
      </c>
      <c r="L9" s="14" t="s">
        <v>892</v>
      </c>
      <c r="M9" s="14" t="s">
        <v>1701</v>
      </c>
      <c r="N9" s="14">
        <v>2</v>
      </c>
      <c r="O9" s="14" t="s">
        <v>1656</v>
      </c>
      <c r="P9" s="14">
        <v>1</v>
      </c>
      <c r="Q9" s="14">
        <v>0.9</v>
      </c>
      <c r="R9" s="14" t="s">
        <v>872</v>
      </c>
      <c r="S9" s="14" t="s">
        <v>1657</v>
      </c>
      <c r="T9" s="14" t="s">
        <v>1658</v>
      </c>
      <c r="U9" s="14" t="s">
        <v>1659</v>
      </c>
      <c r="V9" s="14" t="s">
        <v>874</v>
      </c>
      <c r="AA9" s="14">
        <v>2</v>
      </c>
      <c r="AB9" s="14">
        <v>9</v>
      </c>
      <c r="AG9" s="14">
        <v>1</v>
      </c>
      <c r="AH9" s="14">
        <v>9</v>
      </c>
      <c r="AM9" s="14">
        <v>0</v>
      </c>
      <c r="AN9" s="14">
        <v>9</v>
      </c>
      <c r="AS9" s="14">
        <v>25</v>
      </c>
      <c r="AT9" s="14">
        <v>1</v>
      </c>
      <c r="AU9" s="14" t="s">
        <v>1700</v>
      </c>
    </row>
    <row r="10" spans="1:47">
      <c r="A10" s="14" t="s">
        <v>1676</v>
      </c>
      <c r="B10" s="14" t="s">
        <v>1702</v>
      </c>
      <c r="C10" s="14" t="s">
        <v>1678</v>
      </c>
      <c r="D10" s="14" t="s">
        <v>1679</v>
      </c>
      <c r="E10" s="14" t="s">
        <v>1680</v>
      </c>
      <c r="F10" s="14" t="s">
        <v>1703</v>
      </c>
      <c r="I10" s="14" t="s">
        <v>1704</v>
      </c>
      <c r="K10" s="14" t="s">
        <v>1705</v>
      </c>
      <c r="L10" s="14" t="s">
        <v>870</v>
      </c>
      <c r="M10" s="14" t="s">
        <v>1706</v>
      </c>
      <c r="N10" s="14">
        <v>1</v>
      </c>
      <c r="O10" s="14" t="s">
        <v>1656</v>
      </c>
      <c r="P10" s="14">
        <v>1</v>
      </c>
      <c r="Q10" s="14">
        <v>0.9</v>
      </c>
      <c r="R10" s="14" t="s">
        <v>872</v>
      </c>
      <c r="S10" s="14" t="s">
        <v>1657</v>
      </c>
      <c r="T10" s="14" t="s">
        <v>1658</v>
      </c>
      <c r="U10" s="14" t="s">
        <v>1659</v>
      </c>
      <c r="V10" s="14" t="s">
        <v>874</v>
      </c>
      <c r="AA10" s="14">
        <v>13</v>
      </c>
      <c r="AB10" s="14">
        <v>10</v>
      </c>
      <c r="AG10" s="14">
        <v>4</v>
      </c>
      <c r="AH10" s="14">
        <v>10</v>
      </c>
      <c r="AM10" s="14">
        <v>5</v>
      </c>
      <c r="AN10" s="14">
        <v>2</v>
      </c>
      <c r="AS10" s="14">
        <v>0</v>
      </c>
      <c r="AT10" s="14">
        <v>0</v>
      </c>
      <c r="AU10" s="14" t="s">
        <v>1705</v>
      </c>
    </row>
    <row r="11" spans="1:47">
      <c r="A11" s="14" t="s">
        <v>1676</v>
      </c>
      <c r="B11" s="14" t="s">
        <v>1707</v>
      </c>
      <c r="C11" s="14" t="s">
        <v>1678</v>
      </c>
      <c r="D11" s="14" t="s">
        <v>1679</v>
      </c>
      <c r="E11" s="14" t="s">
        <v>1680</v>
      </c>
      <c r="F11" s="14" t="s">
        <v>1708</v>
      </c>
      <c r="I11" s="14" t="s">
        <v>1709</v>
      </c>
      <c r="J11" s="14" t="s">
        <v>1710</v>
      </c>
      <c r="K11" s="14" t="s">
        <v>1711</v>
      </c>
      <c r="L11" s="14" t="s">
        <v>892</v>
      </c>
      <c r="M11" s="14" t="s">
        <v>1712</v>
      </c>
      <c r="N11" s="14">
        <v>3</v>
      </c>
      <c r="O11" s="14" t="s">
        <v>871</v>
      </c>
      <c r="P11" s="14">
        <v>0.95</v>
      </c>
      <c r="Q11" s="14" t="s">
        <v>1713</v>
      </c>
      <c r="R11" s="14" t="s">
        <v>872</v>
      </c>
      <c r="S11" s="14" t="s">
        <v>1714</v>
      </c>
      <c r="T11" s="14" t="s">
        <v>1715</v>
      </c>
      <c r="U11" s="14" t="s">
        <v>1716</v>
      </c>
      <c r="V11" s="14" t="s">
        <v>1717</v>
      </c>
      <c r="AA11" s="14">
        <v>738</v>
      </c>
      <c r="AB11" s="14">
        <v>7336</v>
      </c>
      <c r="AG11" s="14">
        <v>13857</v>
      </c>
      <c r="AH11" s="14">
        <v>11304</v>
      </c>
      <c r="AM11" s="14">
        <v>11169</v>
      </c>
      <c r="AN11" s="14">
        <v>11763</v>
      </c>
      <c r="AS11" s="14">
        <v>9441</v>
      </c>
      <c r="AT11" s="14">
        <v>10221</v>
      </c>
      <c r="AU11" s="14" t="s">
        <v>1711</v>
      </c>
    </row>
    <row r="12" spans="1:47">
      <c r="A12" s="14" t="s">
        <v>1676</v>
      </c>
      <c r="B12" s="14" t="s">
        <v>1718</v>
      </c>
      <c r="C12" s="14" t="s">
        <v>1678</v>
      </c>
      <c r="D12" s="14" t="s">
        <v>1679</v>
      </c>
      <c r="E12" s="14" t="s">
        <v>1680</v>
      </c>
      <c r="F12" s="14" t="s">
        <v>1719</v>
      </c>
      <c r="I12" s="14" t="s">
        <v>1720</v>
      </c>
      <c r="K12" s="14" t="s">
        <v>1721</v>
      </c>
      <c r="L12" s="14" t="s">
        <v>870</v>
      </c>
      <c r="M12" s="14" t="s">
        <v>1722</v>
      </c>
      <c r="N12" s="14">
        <v>3</v>
      </c>
      <c r="O12" s="14" t="s">
        <v>1656</v>
      </c>
      <c r="P12" s="14">
        <v>1</v>
      </c>
      <c r="Q12" s="14">
        <v>0.9</v>
      </c>
      <c r="R12" s="14" t="s">
        <v>872</v>
      </c>
      <c r="S12" s="14" t="s">
        <v>1657</v>
      </c>
      <c r="T12" s="14" t="s">
        <v>1658</v>
      </c>
      <c r="U12" s="14" t="s">
        <v>1659</v>
      </c>
      <c r="V12" s="14" t="s">
        <v>1717</v>
      </c>
      <c r="AA12" s="14">
        <v>0</v>
      </c>
      <c r="AB12" s="14">
        <v>2</v>
      </c>
      <c r="AG12" s="14">
        <v>2</v>
      </c>
      <c r="AH12" s="14">
        <v>2</v>
      </c>
      <c r="AM12" s="14">
        <v>0</v>
      </c>
      <c r="AN12" s="14">
        <v>1</v>
      </c>
      <c r="AS12" s="14">
        <v>4</v>
      </c>
      <c r="AT12" s="14">
        <v>1</v>
      </c>
      <c r="AU12" s="14" t="s">
        <v>1721</v>
      </c>
    </row>
    <row r="13" spans="1:47">
      <c r="A13" s="14" t="s">
        <v>1676</v>
      </c>
      <c r="B13" s="14" t="s">
        <v>1723</v>
      </c>
      <c r="C13" s="14" t="s">
        <v>1678</v>
      </c>
      <c r="D13" s="14" t="s">
        <v>1679</v>
      </c>
      <c r="E13" s="14" t="s">
        <v>1680</v>
      </c>
      <c r="F13" s="14" t="s">
        <v>1724</v>
      </c>
      <c r="I13" s="14" t="s">
        <v>1725</v>
      </c>
      <c r="J13" s="14" t="s">
        <v>1726</v>
      </c>
      <c r="K13" s="14" t="s">
        <v>1727</v>
      </c>
      <c r="L13" s="14" t="s">
        <v>892</v>
      </c>
      <c r="M13" s="14" t="s">
        <v>1728</v>
      </c>
      <c r="N13" s="14">
        <v>2</v>
      </c>
      <c r="O13" s="14" t="s">
        <v>871</v>
      </c>
      <c r="P13" s="14">
        <v>1</v>
      </c>
      <c r="Q13" s="14">
        <v>0.9</v>
      </c>
      <c r="R13" s="14" t="s">
        <v>910</v>
      </c>
      <c r="S13" s="14" t="s">
        <v>1657</v>
      </c>
      <c r="T13" s="14" t="s">
        <v>1658</v>
      </c>
      <c r="U13" s="14" t="s">
        <v>1659</v>
      </c>
      <c r="V13" s="14" t="s">
        <v>1729</v>
      </c>
      <c r="AC13" s="14">
        <v>24</v>
      </c>
      <c r="AD13" s="14">
        <v>24</v>
      </c>
      <c r="AK13" s="14">
        <v>14</v>
      </c>
      <c r="AL13" s="14">
        <v>14</v>
      </c>
      <c r="AS13" s="14">
        <v>1</v>
      </c>
      <c r="AT13" s="14">
        <v>1</v>
      </c>
      <c r="AU13" s="14" t="s">
        <v>1727</v>
      </c>
    </row>
    <row r="14" spans="1:47">
      <c r="A14" s="14" t="s">
        <v>1676</v>
      </c>
      <c r="B14" s="14" t="s">
        <v>1723</v>
      </c>
      <c r="C14" s="14" t="s">
        <v>1678</v>
      </c>
      <c r="D14" s="14" t="s">
        <v>1679</v>
      </c>
      <c r="E14" s="14" t="s">
        <v>1680</v>
      </c>
      <c r="F14" s="14" t="s">
        <v>1730</v>
      </c>
      <c r="I14" s="14" t="s">
        <v>1725</v>
      </c>
      <c r="J14" s="14" t="s">
        <v>1726</v>
      </c>
      <c r="K14" s="14" t="s">
        <v>1727</v>
      </c>
      <c r="L14" s="14" t="s">
        <v>892</v>
      </c>
      <c r="M14" s="14" t="s">
        <v>1731</v>
      </c>
      <c r="N14" s="14">
        <v>2</v>
      </c>
      <c r="O14" s="14" t="s">
        <v>871</v>
      </c>
      <c r="P14" s="14">
        <v>1</v>
      </c>
      <c r="Q14" s="14">
        <v>0.9</v>
      </c>
      <c r="R14" s="14" t="s">
        <v>910</v>
      </c>
      <c r="S14" s="14" t="s">
        <v>1657</v>
      </c>
      <c r="T14" s="14" t="s">
        <v>1658</v>
      </c>
      <c r="U14" s="14" t="s">
        <v>1659</v>
      </c>
      <c r="V14" s="14" t="s">
        <v>1729</v>
      </c>
      <c r="AC14" s="14">
        <v>24</v>
      </c>
      <c r="AD14" s="14">
        <v>24</v>
      </c>
      <c r="AK14" s="14">
        <v>14</v>
      </c>
      <c r="AL14" s="14">
        <v>14</v>
      </c>
      <c r="AS14" s="14">
        <v>1</v>
      </c>
      <c r="AT14" s="14">
        <v>1</v>
      </c>
      <c r="AU14" s="14" t="s">
        <v>1727</v>
      </c>
    </row>
    <row r="15" spans="1:47">
      <c r="A15" s="14" t="s">
        <v>1676</v>
      </c>
      <c r="B15" s="14" t="s">
        <v>545</v>
      </c>
      <c r="C15" s="14" t="s">
        <v>1678</v>
      </c>
      <c r="D15" s="14" t="s">
        <v>1679</v>
      </c>
      <c r="E15" s="14" t="s">
        <v>1680</v>
      </c>
      <c r="F15" s="14" t="s">
        <v>1732</v>
      </c>
      <c r="I15" s="14" t="s">
        <v>1733</v>
      </c>
      <c r="K15" s="14" t="s">
        <v>1734</v>
      </c>
      <c r="L15" s="14" t="s">
        <v>870</v>
      </c>
      <c r="M15" s="14" t="s">
        <v>1735</v>
      </c>
      <c r="N15" s="14">
        <v>1</v>
      </c>
      <c r="O15" s="14" t="s">
        <v>1656</v>
      </c>
      <c r="P15" s="14">
        <v>1</v>
      </c>
      <c r="Q15" s="14">
        <v>0.9</v>
      </c>
      <c r="R15" s="14" t="s">
        <v>910</v>
      </c>
      <c r="S15" s="14" t="s">
        <v>1657</v>
      </c>
      <c r="T15" s="14" t="s">
        <v>1658</v>
      </c>
      <c r="U15" s="14" t="s">
        <v>1659</v>
      </c>
      <c r="V15" s="14" t="s">
        <v>874</v>
      </c>
      <c r="AC15" s="14">
        <v>1</v>
      </c>
      <c r="AD15" s="14">
        <v>2</v>
      </c>
      <c r="AK15" s="14">
        <v>3</v>
      </c>
      <c r="AL15" s="14">
        <v>2</v>
      </c>
      <c r="AS15" s="14">
        <v>2</v>
      </c>
      <c r="AT15" s="14">
        <v>2</v>
      </c>
      <c r="AU15" s="14" t="s">
        <v>1734</v>
      </c>
    </row>
    <row r="16" spans="1:47">
      <c r="A16" s="14" t="s">
        <v>1676</v>
      </c>
      <c r="B16" s="14" t="s">
        <v>1736</v>
      </c>
      <c r="C16" s="14" t="s">
        <v>1678</v>
      </c>
      <c r="D16" s="14" t="s">
        <v>1679</v>
      </c>
      <c r="E16" s="14" t="s">
        <v>1680</v>
      </c>
      <c r="F16" s="14" t="s">
        <v>1737</v>
      </c>
      <c r="I16" s="14" t="s">
        <v>1738</v>
      </c>
      <c r="K16" s="14" t="s">
        <v>1739</v>
      </c>
      <c r="L16" s="14" t="s">
        <v>884</v>
      </c>
      <c r="M16" s="14" t="s">
        <v>1740</v>
      </c>
      <c r="N16" s="14">
        <v>2</v>
      </c>
      <c r="O16" s="14" t="s">
        <v>1741</v>
      </c>
      <c r="P16" s="14">
        <v>1</v>
      </c>
      <c r="Q16" s="14">
        <v>0.9</v>
      </c>
      <c r="R16" s="14" t="s">
        <v>988</v>
      </c>
      <c r="S16" s="14" t="s">
        <v>1657</v>
      </c>
      <c r="T16" s="14" t="s">
        <v>1658</v>
      </c>
      <c r="U16" s="14" t="s">
        <v>1659</v>
      </c>
      <c r="V16" s="14" t="s">
        <v>874</v>
      </c>
      <c r="X16" s="14" t="s">
        <v>1057</v>
      </c>
      <c r="Z16" s="14" t="s">
        <v>1057</v>
      </c>
      <c r="AB16" s="14" t="s">
        <v>1057</v>
      </c>
      <c r="AF16" s="14" t="s">
        <v>1057</v>
      </c>
      <c r="AH16" s="14" t="s">
        <v>1057</v>
      </c>
      <c r="AI16" s="14">
        <v>20</v>
      </c>
      <c r="AJ16" s="14">
        <v>20</v>
      </c>
      <c r="AN16" s="14" t="s">
        <v>1057</v>
      </c>
      <c r="AP16" s="14" t="s">
        <v>1057</v>
      </c>
      <c r="AR16" s="14" t="s">
        <v>1057</v>
      </c>
      <c r="AS16" s="14">
        <v>20</v>
      </c>
      <c r="AT16" s="14">
        <v>20</v>
      </c>
      <c r="AU16" s="14" t="s">
        <v>1739</v>
      </c>
    </row>
    <row r="17" spans="1:47">
      <c r="A17" s="14" t="s">
        <v>1676</v>
      </c>
      <c r="B17" s="14" t="s">
        <v>1742</v>
      </c>
      <c r="C17" s="14" t="s">
        <v>1678</v>
      </c>
      <c r="D17" s="14" t="s">
        <v>1679</v>
      </c>
      <c r="E17" s="14" t="s">
        <v>1680</v>
      </c>
      <c r="F17" s="14" t="s">
        <v>1743</v>
      </c>
      <c r="I17" s="14" t="s">
        <v>1744</v>
      </c>
      <c r="K17" s="14" t="s">
        <v>1745</v>
      </c>
      <c r="L17" s="14" t="s">
        <v>892</v>
      </c>
      <c r="M17" s="14" t="s">
        <v>1746</v>
      </c>
      <c r="N17" s="14">
        <v>1</v>
      </c>
      <c r="O17" s="14" t="s">
        <v>1656</v>
      </c>
      <c r="P17" s="14">
        <v>1</v>
      </c>
      <c r="Q17" s="14">
        <v>0.9</v>
      </c>
      <c r="R17" s="14" t="s">
        <v>910</v>
      </c>
      <c r="S17" s="14" t="s">
        <v>1657</v>
      </c>
      <c r="T17" s="14" t="s">
        <v>1658</v>
      </c>
      <c r="U17" s="14" t="s">
        <v>1659</v>
      </c>
      <c r="V17" s="14" t="s">
        <v>874</v>
      </c>
      <c r="AC17" s="14">
        <v>2</v>
      </c>
      <c r="AD17" s="14">
        <v>2</v>
      </c>
      <c r="AK17" s="14">
        <v>2</v>
      </c>
      <c r="AL17" s="14">
        <v>2</v>
      </c>
      <c r="AS17" s="14">
        <v>3</v>
      </c>
      <c r="AT17" s="14">
        <v>3</v>
      </c>
      <c r="AU17" s="14" t="s">
        <v>1745</v>
      </c>
    </row>
    <row r="18" spans="1:47">
      <c r="A18" s="14" t="s">
        <v>1676</v>
      </c>
      <c r="B18" s="14" t="s">
        <v>1747</v>
      </c>
      <c r="C18" s="14" t="s">
        <v>1678</v>
      </c>
      <c r="D18" s="14" t="s">
        <v>1679</v>
      </c>
      <c r="E18" s="14" t="s">
        <v>1680</v>
      </c>
      <c r="F18" s="14" t="s">
        <v>1748</v>
      </c>
      <c r="I18" s="14" t="s">
        <v>1749</v>
      </c>
      <c r="K18" s="14" t="s">
        <v>1750</v>
      </c>
      <c r="L18" s="14" t="s">
        <v>870</v>
      </c>
      <c r="M18" s="14" t="s">
        <v>1751</v>
      </c>
      <c r="N18" s="14">
        <v>1</v>
      </c>
      <c r="O18" s="14" t="s">
        <v>1656</v>
      </c>
      <c r="P18" s="14">
        <v>1</v>
      </c>
      <c r="Q18" s="14">
        <v>0.9</v>
      </c>
      <c r="R18" s="14" t="s">
        <v>872</v>
      </c>
      <c r="S18" s="14" t="s">
        <v>1657</v>
      </c>
      <c r="T18" s="14" t="s">
        <v>1658</v>
      </c>
      <c r="U18" s="14" t="s">
        <v>1659</v>
      </c>
      <c r="V18" s="14" t="s">
        <v>1752</v>
      </c>
      <c r="AA18" s="14">
        <v>1</v>
      </c>
      <c r="AB18" s="14">
        <v>1</v>
      </c>
      <c r="AG18" s="14">
        <v>1</v>
      </c>
      <c r="AH18" s="14">
        <v>1</v>
      </c>
      <c r="AM18" s="14">
        <v>2</v>
      </c>
      <c r="AN18" s="14">
        <v>2</v>
      </c>
      <c r="AS18" s="14">
        <v>2</v>
      </c>
      <c r="AT18" s="14">
        <v>2</v>
      </c>
      <c r="AU18" s="14" t="s">
        <v>1750</v>
      </c>
    </row>
    <row r="19" spans="1:47">
      <c r="A19" s="14" t="s">
        <v>1753</v>
      </c>
      <c r="B19" s="14" t="s">
        <v>1754</v>
      </c>
      <c r="C19" s="14" t="s">
        <v>1755</v>
      </c>
      <c r="D19" s="14" t="s">
        <v>1756</v>
      </c>
      <c r="F19" s="14" t="s">
        <v>1757</v>
      </c>
      <c r="I19" s="14" t="s">
        <v>1758</v>
      </c>
      <c r="J19" s="14" t="s">
        <v>1759</v>
      </c>
      <c r="K19" s="14" t="s">
        <v>1760</v>
      </c>
      <c r="L19" s="14" t="s">
        <v>892</v>
      </c>
      <c r="M19" s="14" t="s">
        <v>1761</v>
      </c>
      <c r="N19" s="14">
        <v>1</v>
      </c>
      <c r="O19" s="14" t="s">
        <v>871</v>
      </c>
      <c r="P19" s="14">
        <v>1</v>
      </c>
      <c r="Q19" s="14">
        <v>0.9</v>
      </c>
      <c r="R19" s="14" t="s">
        <v>872</v>
      </c>
      <c r="S19" s="14" t="s">
        <v>1657</v>
      </c>
      <c r="T19" s="14" t="s">
        <v>1658</v>
      </c>
      <c r="U19" s="14" t="s">
        <v>1659</v>
      </c>
      <c r="V19" s="14" t="s">
        <v>1717</v>
      </c>
      <c r="AA19" s="14">
        <v>807</v>
      </c>
      <c r="AB19" s="14">
        <v>807</v>
      </c>
      <c r="AG19" s="14">
        <v>900</v>
      </c>
      <c r="AH19" s="14">
        <v>900</v>
      </c>
      <c r="AM19" s="14">
        <v>1696</v>
      </c>
      <c r="AN19" s="14">
        <v>1696</v>
      </c>
      <c r="AS19" s="14">
        <v>1</v>
      </c>
      <c r="AT19" s="14">
        <v>1</v>
      </c>
      <c r="AU19" s="14" t="s">
        <v>1760</v>
      </c>
    </row>
    <row r="20" spans="1:47">
      <c r="A20" s="14" t="s">
        <v>1762</v>
      </c>
      <c r="B20" s="14" t="s">
        <v>1763</v>
      </c>
      <c r="C20" s="14" t="s">
        <v>1764</v>
      </c>
      <c r="D20" s="14" t="s">
        <v>1765</v>
      </c>
      <c r="F20" s="14" t="s">
        <v>1766</v>
      </c>
      <c r="I20" s="14" t="s">
        <v>1767</v>
      </c>
      <c r="K20" s="14" t="s">
        <v>1768</v>
      </c>
      <c r="L20" s="14" t="s">
        <v>892</v>
      </c>
      <c r="M20" s="14" t="s">
        <v>1769</v>
      </c>
      <c r="N20" s="14">
        <v>2</v>
      </c>
      <c r="O20" s="14" t="s">
        <v>1656</v>
      </c>
      <c r="P20" s="14">
        <v>1</v>
      </c>
      <c r="Q20" s="14">
        <v>0.9</v>
      </c>
      <c r="R20" s="14" t="s">
        <v>872</v>
      </c>
      <c r="S20" s="14" t="s">
        <v>1657</v>
      </c>
      <c r="T20" s="14" t="s">
        <v>1658</v>
      </c>
      <c r="U20" s="14" t="s">
        <v>1659</v>
      </c>
      <c r="V20" s="14" t="s">
        <v>1752</v>
      </c>
      <c r="AC20" s="14">
        <v>1</v>
      </c>
      <c r="AD20" s="14">
        <v>1</v>
      </c>
      <c r="AG20" s="14">
        <v>1</v>
      </c>
      <c r="AH20" s="14">
        <v>1</v>
      </c>
      <c r="AM20" s="14">
        <v>0</v>
      </c>
      <c r="AN20" s="14">
        <v>1</v>
      </c>
      <c r="AS20" s="14">
        <v>0</v>
      </c>
      <c r="AT20" s="14">
        <v>0</v>
      </c>
      <c r="AU20" s="14" t="s">
        <v>1768</v>
      </c>
    </row>
    <row r="21" spans="1:47">
      <c r="A21" s="14" t="s">
        <v>1762</v>
      </c>
      <c r="B21" s="14" t="s">
        <v>1770</v>
      </c>
      <c r="C21" s="14" t="s">
        <v>1764</v>
      </c>
      <c r="D21" s="14" t="s">
        <v>1765</v>
      </c>
      <c r="F21" s="14" t="s">
        <v>1771</v>
      </c>
      <c r="I21" s="14" t="s">
        <v>1772</v>
      </c>
      <c r="K21" s="14" t="s">
        <v>1773</v>
      </c>
      <c r="L21" s="14" t="s">
        <v>870</v>
      </c>
      <c r="M21" s="14" t="s">
        <v>1774</v>
      </c>
      <c r="N21" s="14">
        <v>1</v>
      </c>
      <c r="O21" s="14" t="s">
        <v>1656</v>
      </c>
      <c r="P21" s="14">
        <v>1</v>
      </c>
      <c r="Q21" s="14">
        <v>0.9</v>
      </c>
      <c r="R21" s="14" t="s">
        <v>988</v>
      </c>
      <c r="S21" s="14" t="s">
        <v>1657</v>
      </c>
      <c r="T21" s="14" t="s">
        <v>1658</v>
      </c>
      <c r="U21" s="14" t="s">
        <v>1659</v>
      </c>
      <c r="V21" s="14" t="s">
        <v>874</v>
      </c>
      <c r="AG21" s="14">
        <v>16</v>
      </c>
      <c r="AH21" s="14">
        <v>16</v>
      </c>
      <c r="AS21" s="14">
        <v>16</v>
      </c>
      <c r="AT21" s="14">
        <v>16</v>
      </c>
      <c r="AU21" s="14" t="s">
        <v>1773</v>
      </c>
    </row>
    <row r="22" spans="1:47">
      <c r="A22" s="14" t="s">
        <v>1762</v>
      </c>
      <c r="B22" s="14" t="s">
        <v>1775</v>
      </c>
      <c r="C22" s="14" t="s">
        <v>1764</v>
      </c>
      <c r="D22" s="14" t="s">
        <v>1765</v>
      </c>
      <c r="F22" s="14" t="s">
        <v>1776</v>
      </c>
      <c r="G22" s="14" t="s">
        <v>1777</v>
      </c>
      <c r="H22" s="14" t="s">
        <v>1778</v>
      </c>
      <c r="I22" s="14" t="s">
        <v>1779</v>
      </c>
      <c r="K22" s="14" t="s">
        <v>1780</v>
      </c>
      <c r="L22" s="14" t="s">
        <v>892</v>
      </c>
      <c r="M22" s="14" t="s">
        <v>1781</v>
      </c>
      <c r="N22" s="14">
        <v>1</v>
      </c>
      <c r="O22" s="14" t="s">
        <v>1656</v>
      </c>
      <c r="P22" s="14">
        <v>1</v>
      </c>
      <c r="Q22" s="14">
        <v>0.9</v>
      </c>
      <c r="R22" s="14" t="s">
        <v>988</v>
      </c>
      <c r="S22" s="14" t="s">
        <v>1657</v>
      </c>
      <c r="T22" s="14" t="s">
        <v>1658</v>
      </c>
      <c r="U22" s="14" t="s">
        <v>1659</v>
      </c>
      <c r="V22" s="14" t="s">
        <v>1579</v>
      </c>
      <c r="AG22" s="14">
        <v>1</v>
      </c>
      <c r="AH22" s="14">
        <v>1</v>
      </c>
      <c r="AS22" s="14">
        <v>1</v>
      </c>
      <c r="AT22" s="14">
        <v>1</v>
      </c>
      <c r="AU22" s="14" t="s">
        <v>1780</v>
      </c>
    </row>
    <row r="23" spans="1:47">
      <c r="A23" s="14" t="s">
        <v>1762</v>
      </c>
      <c r="B23" s="14" t="s">
        <v>1782</v>
      </c>
      <c r="C23" s="14" t="s">
        <v>1764</v>
      </c>
      <c r="D23" s="14" t="s">
        <v>1765</v>
      </c>
      <c r="F23" s="14" t="s">
        <v>1783</v>
      </c>
      <c r="G23" s="14" t="s">
        <v>1784</v>
      </c>
      <c r="H23" s="14" t="s">
        <v>1785</v>
      </c>
      <c r="I23" s="14" t="s">
        <v>1779</v>
      </c>
      <c r="K23" s="14" t="s">
        <v>1780</v>
      </c>
      <c r="L23" s="14" t="s">
        <v>892</v>
      </c>
      <c r="M23" s="14" t="s">
        <v>1786</v>
      </c>
      <c r="N23" s="14">
        <v>1</v>
      </c>
      <c r="O23" s="14" t="s">
        <v>1656</v>
      </c>
      <c r="P23" s="14">
        <v>1</v>
      </c>
      <c r="Q23" s="14">
        <v>0.9</v>
      </c>
      <c r="R23" s="14" t="s">
        <v>988</v>
      </c>
      <c r="S23" s="14" t="s">
        <v>1657</v>
      </c>
      <c r="T23" s="14" t="s">
        <v>1658</v>
      </c>
      <c r="U23" s="14" t="s">
        <v>1659</v>
      </c>
      <c r="V23" s="14" t="s">
        <v>1580</v>
      </c>
      <c r="AG23" s="14">
        <v>1</v>
      </c>
      <c r="AH23" s="14">
        <v>1</v>
      </c>
      <c r="AS23" s="14">
        <v>1</v>
      </c>
      <c r="AT23" s="14">
        <v>1</v>
      </c>
      <c r="AU23" s="14" t="s">
        <v>1780</v>
      </c>
    </row>
    <row r="24" spans="1:47">
      <c r="A24" s="14" t="s">
        <v>1762</v>
      </c>
      <c r="B24" s="14" t="s">
        <v>1787</v>
      </c>
      <c r="C24" s="14" t="s">
        <v>1764</v>
      </c>
      <c r="D24" s="14" t="s">
        <v>1765</v>
      </c>
      <c r="F24" s="14" t="s">
        <v>1788</v>
      </c>
      <c r="G24" s="14" t="s">
        <v>1789</v>
      </c>
      <c r="H24" s="14" t="s">
        <v>1790</v>
      </c>
      <c r="I24" s="14" t="s">
        <v>1779</v>
      </c>
      <c r="K24" s="14" t="s">
        <v>1791</v>
      </c>
      <c r="L24" s="14" t="s">
        <v>892</v>
      </c>
      <c r="M24" s="14" t="s">
        <v>1792</v>
      </c>
      <c r="N24" s="14">
        <v>1</v>
      </c>
      <c r="O24" s="14" t="s">
        <v>1656</v>
      </c>
      <c r="P24" s="14">
        <v>1</v>
      </c>
      <c r="Q24" s="14">
        <v>0.9</v>
      </c>
      <c r="R24" s="14" t="s">
        <v>988</v>
      </c>
      <c r="S24" s="14" t="s">
        <v>1657</v>
      </c>
      <c r="T24" s="14" t="s">
        <v>1658</v>
      </c>
      <c r="U24" s="14" t="s">
        <v>1659</v>
      </c>
      <c r="V24" s="14" t="s">
        <v>874</v>
      </c>
      <c r="AG24" s="14">
        <v>1</v>
      </c>
      <c r="AH24" s="14">
        <v>1</v>
      </c>
      <c r="AS24" s="14">
        <v>1</v>
      </c>
      <c r="AT24" s="14">
        <v>1</v>
      </c>
      <c r="AU24" s="14" t="s">
        <v>1791</v>
      </c>
    </row>
    <row r="25" spans="1:47">
      <c r="A25" s="14" t="s">
        <v>1762</v>
      </c>
      <c r="B25" s="14" t="s">
        <v>1793</v>
      </c>
      <c r="C25" s="14" t="s">
        <v>1764</v>
      </c>
      <c r="D25" s="14" t="s">
        <v>1765</v>
      </c>
      <c r="F25" s="14" t="s">
        <v>1794</v>
      </c>
      <c r="I25" s="14" t="s">
        <v>1795</v>
      </c>
      <c r="J25" s="14" t="s">
        <v>1796</v>
      </c>
      <c r="K25" s="14" t="s">
        <v>1797</v>
      </c>
      <c r="L25" s="14" t="s">
        <v>884</v>
      </c>
      <c r="M25" s="14" t="s">
        <v>1798</v>
      </c>
      <c r="N25" s="14">
        <v>1</v>
      </c>
      <c r="O25" s="14" t="s">
        <v>871</v>
      </c>
      <c r="P25" s="14">
        <v>0.8</v>
      </c>
      <c r="Q25" s="14">
        <v>0.9</v>
      </c>
      <c r="R25" s="14" t="s">
        <v>910</v>
      </c>
      <c r="S25" s="14" t="s">
        <v>1657</v>
      </c>
      <c r="T25" s="14" t="s">
        <v>1658</v>
      </c>
      <c r="U25" s="14" t="s">
        <v>1659</v>
      </c>
      <c r="V25" s="14" t="s">
        <v>874</v>
      </c>
      <c r="AC25" s="14">
        <v>1906354</v>
      </c>
      <c r="AD25" s="14">
        <v>2269728</v>
      </c>
      <c r="AI25" s="14">
        <v>88</v>
      </c>
      <c r="AJ25" s="14">
        <v>65</v>
      </c>
      <c r="AO25" s="14">
        <v>1409</v>
      </c>
      <c r="AP25" s="14">
        <v>1829</v>
      </c>
      <c r="AU25" s="14" t="s">
        <v>1797</v>
      </c>
    </row>
    <row r="26" spans="1:47">
      <c r="A26" s="14" t="s">
        <v>1762</v>
      </c>
      <c r="B26" s="14" t="s">
        <v>1799</v>
      </c>
      <c r="C26" s="14" t="s">
        <v>1764</v>
      </c>
      <c r="D26" s="14" t="s">
        <v>1765</v>
      </c>
      <c r="F26" s="14" t="s">
        <v>1800</v>
      </c>
      <c r="I26" s="14" t="s">
        <v>1801</v>
      </c>
      <c r="K26" s="14" t="s">
        <v>1802</v>
      </c>
      <c r="L26" s="14" t="s">
        <v>892</v>
      </c>
      <c r="M26" s="14" t="s">
        <v>1803</v>
      </c>
      <c r="O26" s="14" t="s">
        <v>1656</v>
      </c>
      <c r="P26" s="14">
        <v>1</v>
      </c>
      <c r="Q26" s="14">
        <v>0.9</v>
      </c>
      <c r="R26" s="14" t="s">
        <v>988</v>
      </c>
      <c r="S26" s="14" t="s">
        <v>1657</v>
      </c>
      <c r="T26" s="14" t="s">
        <v>1658</v>
      </c>
      <c r="U26" s="14" t="s">
        <v>1659</v>
      </c>
      <c r="V26" s="14" t="s">
        <v>1581</v>
      </c>
      <c r="AG26" s="14">
        <v>1</v>
      </c>
      <c r="AH26" s="14">
        <v>1</v>
      </c>
      <c r="AS26" s="14">
        <v>1</v>
      </c>
      <c r="AT26" s="14">
        <v>1</v>
      </c>
      <c r="AU26" s="14" t="s">
        <v>1802</v>
      </c>
    </row>
    <row r="27" spans="1:47">
      <c r="A27" s="14" t="s">
        <v>1762</v>
      </c>
      <c r="B27" s="14" t="s">
        <v>1804</v>
      </c>
      <c r="C27" s="14" t="s">
        <v>1764</v>
      </c>
      <c r="D27" s="14" t="s">
        <v>1765</v>
      </c>
      <c r="F27" s="14" t="s">
        <v>1805</v>
      </c>
      <c r="I27" s="14" t="s">
        <v>1806</v>
      </c>
      <c r="K27" s="14" t="s">
        <v>1807</v>
      </c>
      <c r="L27" s="14" t="s">
        <v>892</v>
      </c>
      <c r="M27" s="14" t="s">
        <v>1808</v>
      </c>
      <c r="N27" s="14">
        <v>2</v>
      </c>
      <c r="O27" s="14" t="s">
        <v>1656</v>
      </c>
      <c r="P27" s="14">
        <v>1</v>
      </c>
      <c r="Q27" s="14">
        <v>0.9</v>
      </c>
      <c r="R27" s="14" t="s">
        <v>872</v>
      </c>
      <c r="S27" s="14" t="s">
        <v>1657</v>
      </c>
      <c r="T27" s="14" t="s">
        <v>1658</v>
      </c>
      <c r="U27" s="14" t="s">
        <v>1659</v>
      </c>
      <c r="V27" s="14" t="s">
        <v>1579</v>
      </c>
      <c r="AA27" s="14">
        <v>1</v>
      </c>
      <c r="AB27" s="14">
        <v>1</v>
      </c>
      <c r="AG27" s="14">
        <v>3</v>
      </c>
      <c r="AH27" s="14">
        <v>3</v>
      </c>
      <c r="AM27" s="14">
        <v>3</v>
      </c>
      <c r="AN27" s="14">
        <v>3</v>
      </c>
      <c r="AS27" s="14">
        <v>6</v>
      </c>
      <c r="AT27" s="14">
        <v>17</v>
      </c>
      <c r="AU27" s="14" t="s">
        <v>1807</v>
      </c>
    </row>
    <row r="28" spans="1:47">
      <c r="A28" s="14" t="s">
        <v>1762</v>
      </c>
      <c r="B28" s="14" t="s">
        <v>1809</v>
      </c>
      <c r="C28" s="14" t="s">
        <v>1764</v>
      </c>
      <c r="D28" s="14" t="s">
        <v>1765</v>
      </c>
      <c r="F28" s="14" t="s">
        <v>1810</v>
      </c>
      <c r="I28" s="14" t="s">
        <v>1811</v>
      </c>
      <c r="K28" s="14" t="s">
        <v>1812</v>
      </c>
      <c r="L28" s="14" t="s">
        <v>892</v>
      </c>
      <c r="M28" s="14" t="s">
        <v>1813</v>
      </c>
      <c r="N28" s="14">
        <v>2</v>
      </c>
      <c r="O28" s="14" t="s">
        <v>1656</v>
      </c>
      <c r="P28" s="14">
        <v>1</v>
      </c>
      <c r="Q28" s="14">
        <v>0.9</v>
      </c>
      <c r="R28" s="14" t="s">
        <v>988</v>
      </c>
      <c r="S28" s="14" t="s">
        <v>1657</v>
      </c>
      <c r="T28" s="14" t="s">
        <v>1658</v>
      </c>
      <c r="U28" s="14" t="s">
        <v>1659</v>
      </c>
      <c r="V28" s="14" t="s">
        <v>1579</v>
      </c>
      <c r="AG28" s="14">
        <v>2</v>
      </c>
      <c r="AH28" s="14">
        <v>2</v>
      </c>
      <c r="AS28" s="14">
        <v>6</v>
      </c>
      <c r="AT28" s="14">
        <v>6</v>
      </c>
      <c r="AU28" s="14" t="s">
        <v>1812</v>
      </c>
    </row>
    <row r="29" spans="1:47">
      <c r="A29" s="14" t="s">
        <v>1762</v>
      </c>
      <c r="B29" s="14" t="s">
        <v>1814</v>
      </c>
      <c r="C29" s="14" t="s">
        <v>1764</v>
      </c>
      <c r="D29" s="14" t="s">
        <v>1765</v>
      </c>
      <c r="F29" s="14" t="s">
        <v>1815</v>
      </c>
      <c r="I29" s="14" t="s">
        <v>1816</v>
      </c>
      <c r="K29" s="14" t="s">
        <v>1817</v>
      </c>
      <c r="L29" s="14" t="s">
        <v>892</v>
      </c>
      <c r="M29" s="14" t="s">
        <v>1818</v>
      </c>
      <c r="N29" s="14">
        <v>1</v>
      </c>
      <c r="O29" s="14" t="s">
        <v>1656</v>
      </c>
      <c r="P29" s="14">
        <v>1</v>
      </c>
      <c r="Q29" s="14">
        <v>0.9</v>
      </c>
      <c r="R29" s="14" t="s">
        <v>988</v>
      </c>
      <c r="S29" s="14" t="s">
        <v>1657</v>
      </c>
      <c r="T29" s="14" t="s">
        <v>1658</v>
      </c>
      <c r="U29" s="14" t="s">
        <v>1659</v>
      </c>
      <c r="V29" s="14" t="s">
        <v>1579</v>
      </c>
      <c r="AG29" s="14">
        <v>1</v>
      </c>
      <c r="AH29" s="14">
        <v>1</v>
      </c>
      <c r="AS29" s="14">
        <v>1</v>
      </c>
      <c r="AT29" s="14">
        <v>1</v>
      </c>
      <c r="AU29" s="14" t="s">
        <v>1817</v>
      </c>
    </row>
    <row r="30" spans="1:47">
      <c r="A30" s="14" t="s">
        <v>1762</v>
      </c>
      <c r="B30" s="14" t="s">
        <v>1819</v>
      </c>
      <c r="C30" s="14" t="s">
        <v>1764</v>
      </c>
      <c r="D30" s="14" t="s">
        <v>1765</v>
      </c>
      <c r="F30" s="14" t="s">
        <v>1820</v>
      </c>
      <c r="I30" s="14" t="s">
        <v>1821</v>
      </c>
      <c r="K30" s="14" t="s">
        <v>1822</v>
      </c>
      <c r="L30" s="14" t="s">
        <v>884</v>
      </c>
      <c r="M30" s="14" t="s">
        <v>1823</v>
      </c>
      <c r="N30" s="14">
        <v>2</v>
      </c>
      <c r="O30" s="14" t="s">
        <v>1656</v>
      </c>
      <c r="P30" s="14">
        <v>1</v>
      </c>
      <c r="Q30" s="14">
        <v>0.9</v>
      </c>
      <c r="R30" s="14" t="s">
        <v>988</v>
      </c>
      <c r="S30" s="14" t="s">
        <v>1657</v>
      </c>
      <c r="T30" s="14" t="s">
        <v>1658</v>
      </c>
      <c r="U30" s="14" t="s">
        <v>1659</v>
      </c>
      <c r="V30" s="14" t="s">
        <v>1579</v>
      </c>
      <c r="AI30" s="14">
        <v>21</v>
      </c>
      <c r="AJ30" s="14">
        <v>21</v>
      </c>
      <c r="AS30" s="14">
        <v>12</v>
      </c>
      <c r="AT30" s="14">
        <v>21</v>
      </c>
      <c r="AU30" s="14" t="s">
        <v>1822</v>
      </c>
    </row>
    <row r="31" spans="1:47">
      <c r="A31" s="14" t="s">
        <v>1762</v>
      </c>
      <c r="B31" s="14" t="s">
        <v>1824</v>
      </c>
      <c r="C31" s="14" t="s">
        <v>1764</v>
      </c>
      <c r="D31" s="14" t="s">
        <v>1765</v>
      </c>
      <c r="F31" s="14" t="s">
        <v>1825</v>
      </c>
      <c r="I31" s="14" t="s">
        <v>1826</v>
      </c>
      <c r="K31" s="14" t="s">
        <v>1827</v>
      </c>
      <c r="L31" s="14" t="s">
        <v>892</v>
      </c>
      <c r="M31" s="14" t="s">
        <v>1828</v>
      </c>
      <c r="N31" s="14">
        <v>2</v>
      </c>
      <c r="O31" s="14" t="s">
        <v>1656</v>
      </c>
      <c r="P31" s="14">
        <v>1</v>
      </c>
      <c r="Q31" s="14">
        <v>0.9</v>
      </c>
      <c r="R31" s="14" t="s">
        <v>988</v>
      </c>
      <c r="S31" s="14" t="s">
        <v>1657</v>
      </c>
      <c r="T31" s="14" t="s">
        <v>1658</v>
      </c>
      <c r="U31" s="14" t="s">
        <v>1659</v>
      </c>
      <c r="V31" s="14" t="s">
        <v>1579</v>
      </c>
      <c r="AK31" s="14">
        <v>15</v>
      </c>
      <c r="AL31" s="14">
        <v>15</v>
      </c>
      <c r="AS31" s="14">
        <v>12</v>
      </c>
      <c r="AT31" s="14">
        <v>12</v>
      </c>
      <c r="AU31" s="14" t="s">
        <v>1827</v>
      </c>
    </row>
    <row r="32" spans="1:47">
      <c r="A32" s="14" t="s">
        <v>1762</v>
      </c>
      <c r="B32" s="14" t="s">
        <v>1829</v>
      </c>
      <c r="C32" s="14" t="s">
        <v>1764</v>
      </c>
      <c r="D32" s="14" t="s">
        <v>1765</v>
      </c>
      <c r="F32" s="14" t="s">
        <v>1830</v>
      </c>
      <c r="I32" s="14" t="s">
        <v>1831</v>
      </c>
      <c r="K32" s="14" t="s">
        <v>1832</v>
      </c>
      <c r="L32" s="14" t="s">
        <v>884</v>
      </c>
      <c r="M32" s="14" t="s">
        <v>1833</v>
      </c>
      <c r="N32" s="14">
        <v>1</v>
      </c>
      <c r="O32" s="14" t="s">
        <v>1656</v>
      </c>
      <c r="P32" s="14">
        <v>1</v>
      </c>
      <c r="Q32" s="14">
        <v>0.9</v>
      </c>
      <c r="R32" s="14" t="s">
        <v>988</v>
      </c>
      <c r="S32" s="14" t="s">
        <v>1657</v>
      </c>
      <c r="T32" s="14" t="s">
        <v>1658</v>
      </c>
      <c r="U32" s="14" t="s">
        <v>1659</v>
      </c>
      <c r="V32" s="14" t="s">
        <v>1579</v>
      </c>
      <c r="AC32" s="14">
        <v>4</v>
      </c>
      <c r="AD32" s="14">
        <v>4</v>
      </c>
      <c r="AS32" s="14">
        <v>2</v>
      </c>
      <c r="AT32" s="14">
        <v>2</v>
      </c>
      <c r="AU32" s="14" t="s">
        <v>1832</v>
      </c>
    </row>
    <row r="33" spans="1:47">
      <c r="A33" s="14" t="s">
        <v>1762</v>
      </c>
      <c r="B33" s="14" t="s">
        <v>1834</v>
      </c>
      <c r="C33" s="14" t="s">
        <v>1764</v>
      </c>
      <c r="D33" s="14" t="s">
        <v>1765</v>
      </c>
      <c r="F33" s="14" t="s">
        <v>1835</v>
      </c>
      <c r="I33" s="14" t="s">
        <v>1836</v>
      </c>
      <c r="K33" s="14" t="s">
        <v>1837</v>
      </c>
      <c r="L33" s="14" t="s">
        <v>884</v>
      </c>
      <c r="M33" s="14" t="s">
        <v>1838</v>
      </c>
      <c r="N33" s="14">
        <v>1</v>
      </c>
      <c r="O33" s="14" t="s">
        <v>1656</v>
      </c>
      <c r="P33" s="14">
        <v>1</v>
      </c>
      <c r="Q33" s="14">
        <v>0.9</v>
      </c>
      <c r="R33" s="14" t="s">
        <v>988</v>
      </c>
      <c r="S33" s="14" t="s">
        <v>1657</v>
      </c>
      <c r="T33" s="14" t="s">
        <v>1658</v>
      </c>
      <c r="U33" s="14" t="s">
        <v>1659</v>
      </c>
      <c r="V33" s="14" t="s">
        <v>1579</v>
      </c>
      <c r="AI33" s="14">
        <v>5</v>
      </c>
      <c r="AJ33" s="14">
        <v>5</v>
      </c>
      <c r="AS33" s="14">
        <v>5</v>
      </c>
      <c r="AT33" s="14">
        <v>5</v>
      </c>
      <c r="AU33" s="14" t="s">
        <v>1837</v>
      </c>
    </row>
    <row r="34" spans="1:47">
      <c r="A34" s="14" t="s">
        <v>1762</v>
      </c>
      <c r="B34" s="14" t="s">
        <v>1839</v>
      </c>
      <c r="C34" s="14" t="s">
        <v>1764</v>
      </c>
      <c r="D34" s="14" t="s">
        <v>1765</v>
      </c>
      <c r="F34" s="14" t="s">
        <v>1840</v>
      </c>
      <c r="I34" s="14" t="s">
        <v>1841</v>
      </c>
      <c r="K34" s="14" t="s">
        <v>1842</v>
      </c>
      <c r="L34" s="14" t="s">
        <v>884</v>
      </c>
      <c r="M34" s="14" t="s">
        <v>1843</v>
      </c>
      <c r="N34" s="14">
        <v>1</v>
      </c>
      <c r="O34" s="14" t="s">
        <v>1656</v>
      </c>
      <c r="P34" s="14">
        <v>1</v>
      </c>
      <c r="Q34" s="14">
        <v>0.9</v>
      </c>
      <c r="R34" s="14" t="s">
        <v>988</v>
      </c>
      <c r="S34" s="14" t="s">
        <v>1657</v>
      </c>
      <c r="T34" s="14" t="s">
        <v>1658</v>
      </c>
      <c r="U34" s="14" t="s">
        <v>1659</v>
      </c>
      <c r="V34" s="14" t="s">
        <v>1579</v>
      </c>
      <c r="AI34" s="14">
        <v>1</v>
      </c>
      <c r="AJ34" s="14">
        <v>1</v>
      </c>
      <c r="AS34" s="14">
        <v>2</v>
      </c>
      <c r="AT34" s="14">
        <v>2</v>
      </c>
      <c r="AU34" s="14" t="s">
        <v>1842</v>
      </c>
    </row>
    <row r="35" spans="1:47">
      <c r="A35" s="14" t="s">
        <v>1762</v>
      </c>
      <c r="B35" s="14" t="s">
        <v>1844</v>
      </c>
      <c r="C35" s="14" t="s">
        <v>1764</v>
      </c>
      <c r="D35" s="14" t="s">
        <v>1765</v>
      </c>
      <c r="F35" s="14" t="s">
        <v>1845</v>
      </c>
      <c r="I35" s="14" t="s">
        <v>1846</v>
      </c>
      <c r="K35" s="14" t="s">
        <v>1847</v>
      </c>
      <c r="L35" s="14" t="s">
        <v>884</v>
      </c>
      <c r="M35" s="14" t="s">
        <v>1848</v>
      </c>
      <c r="N35" s="14">
        <v>1</v>
      </c>
      <c r="O35" s="14" t="s">
        <v>1656</v>
      </c>
      <c r="P35" s="14">
        <v>1</v>
      </c>
      <c r="Q35" s="14">
        <v>0.9</v>
      </c>
      <c r="R35" s="14" t="s">
        <v>988</v>
      </c>
      <c r="S35" s="14" t="s">
        <v>1657</v>
      </c>
      <c r="T35" s="14" t="s">
        <v>1658</v>
      </c>
      <c r="U35" s="14" t="s">
        <v>1659</v>
      </c>
      <c r="V35" s="14" t="s">
        <v>874</v>
      </c>
      <c r="AI35" s="14">
        <v>30</v>
      </c>
      <c r="AJ35" s="14">
        <v>30</v>
      </c>
      <c r="AS35" s="14">
        <v>2</v>
      </c>
      <c r="AT35" s="14">
        <v>2</v>
      </c>
      <c r="AU35" s="14" t="s">
        <v>1847</v>
      </c>
    </row>
    <row r="36" spans="1:47">
      <c r="A36" s="14" t="s">
        <v>1762</v>
      </c>
      <c r="B36" s="14" t="s">
        <v>1849</v>
      </c>
      <c r="C36" s="14" t="s">
        <v>1764</v>
      </c>
      <c r="D36" s="14" t="s">
        <v>1765</v>
      </c>
      <c r="F36" s="14" t="s">
        <v>1850</v>
      </c>
      <c r="I36" s="14" t="s">
        <v>1851</v>
      </c>
      <c r="K36" s="14" t="s">
        <v>1852</v>
      </c>
      <c r="L36" s="14" t="s">
        <v>892</v>
      </c>
      <c r="M36" s="14" t="s">
        <v>1853</v>
      </c>
      <c r="N36" s="14">
        <v>1</v>
      </c>
      <c r="O36" s="14" t="s">
        <v>1656</v>
      </c>
      <c r="P36" s="14">
        <v>1</v>
      </c>
      <c r="Q36" s="14">
        <v>0.9</v>
      </c>
      <c r="R36" s="14" t="s">
        <v>988</v>
      </c>
      <c r="S36" s="14" t="s">
        <v>1657</v>
      </c>
      <c r="T36" s="14" t="s">
        <v>1658</v>
      </c>
      <c r="U36" s="14" t="s">
        <v>1659</v>
      </c>
      <c r="V36" s="14" t="s">
        <v>874</v>
      </c>
      <c r="AI36" s="14">
        <v>4</v>
      </c>
      <c r="AJ36" s="14">
        <v>4</v>
      </c>
      <c r="AS36" s="14">
        <v>1</v>
      </c>
      <c r="AT36" s="14">
        <v>1</v>
      </c>
      <c r="AU36" s="14" t="s">
        <v>1852</v>
      </c>
    </row>
    <row r="37" spans="1:47">
      <c r="A37" s="14" t="s">
        <v>1762</v>
      </c>
      <c r="B37" s="14" t="s">
        <v>1854</v>
      </c>
      <c r="C37" s="14" t="s">
        <v>1764</v>
      </c>
      <c r="D37" s="14" t="s">
        <v>1765</v>
      </c>
      <c r="F37" s="14" t="s">
        <v>1855</v>
      </c>
      <c r="I37" s="14" t="s">
        <v>1856</v>
      </c>
      <c r="J37" s="14" t="s">
        <v>1857</v>
      </c>
      <c r="K37" s="14" t="s">
        <v>1858</v>
      </c>
      <c r="L37" s="14" t="s">
        <v>884</v>
      </c>
      <c r="M37" s="14" t="s">
        <v>1859</v>
      </c>
      <c r="N37" s="14">
        <v>1</v>
      </c>
      <c r="O37" s="14" t="s">
        <v>1656</v>
      </c>
      <c r="P37" s="14">
        <v>1</v>
      </c>
      <c r="Q37" s="14">
        <v>0.9</v>
      </c>
      <c r="R37" s="14" t="s">
        <v>988</v>
      </c>
      <c r="S37" s="14" t="s">
        <v>1657</v>
      </c>
      <c r="T37" s="14" t="s">
        <v>1658</v>
      </c>
      <c r="U37" s="14" t="s">
        <v>1659</v>
      </c>
      <c r="V37" s="14" t="s">
        <v>1860</v>
      </c>
      <c r="AI37" s="14">
        <v>266</v>
      </c>
      <c r="AJ37" s="14">
        <v>250</v>
      </c>
      <c r="AM37" s="14">
        <v>2</v>
      </c>
      <c r="AN37" s="14">
        <v>2</v>
      </c>
      <c r="AO37" s="14">
        <v>1</v>
      </c>
      <c r="AP37" s="14">
        <v>1</v>
      </c>
      <c r="AU37" s="14" t="s">
        <v>1858</v>
      </c>
    </row>
    <row r="38" spans="1:47">
      <c r="A38" s="14" t="s">
        <v>1762</v>
      </c>
      <c r="B38" s="14" t="s">
        <v>1861</v>
      </c>
      <c r="C38" s="14" t="s">
        <v>1764</v>
      </c>
      <c r="D38" s="14" t="s">
        <v>1765</v>
      </c>
      <c r="F38" s="14" t="s">
        <v>1862</v>
      </c>
      <c r="I38" s="14" t="s">
        <v>1863</v>
      </c>
      <c r="J38" s="14" t="s">
        <v>1864</v>
      </c>
      <c r="K38" s="14" t="s">
        <v>1865</v>
      </c>
      <c r="L38" s="14" t="s">
        <v>884</v>
      </c>
      <c r="M38" s="14" t="s">
        <v>1866</v>
      </c>
      <c r="N38" s="14">
        <v>1</v>
      </c>
      <c r="O38" s="14" t="s">
        <v>871</v>
      </c>
      <c r="P38" s="14">
        <v>0.5</v>
      </c>
      <c r="Q38" s="14">
        <v>0.9</v>
      </c>
      <c r="R38" s="14" t="s">
        <v>988</v>
      </c>
      <c r="S38" s="14" t="s">
        <v>1657</v>
      </c>
      <c r="T38" s="14" t="s">
        <v>1658</v>
      </c>
      <c r="U38" s="14" t="s">
        <v>1659</v>
      </c>
      <c r="V38" s="14" t="s">
        <v>1579</v>
      </c>
      <c r="Y38" s="14">
        <v>5</v>
      </c>
      <c r="Z38" s="14">
        <v>5</v>
      </c>
      <c r="AI38" s="14">
        <v>5</v>
      </c>
      <c r="AJ38" s="14">
        <v>5</v>
      </c>
      <c r="AU38" s="14" t="s">
        <v>1865</v>
      </c>
    </row>
    <row r="39" spans="1:47">
      <c r="A39" s="14" t="s">
        <v>1762</v>
      </c>
      <c r="B39" s="14" t="s">
        <v>1867</v>
      </c>
      <c r="C39" s="14" t="s">
        <v>1764</v>
      </c>
      <c r="D39" s="14" t="s">
        <v>1765</v>
      </c>
      <c r="F39" s="14" t="s">
        <v>1868</v>
      </c>
      <c r="I39" s="14" t="s">
        <v>1869</v>
      </c>
      <c r="J39" s="14" t="s">
        <v>1870</v>
      </c>
      <c r="K39" s="14" t="s">
        <v>1871</v>
      </c>
      <c r="L39" s="14" t="s">
        <v>884</v>
      </c>
      <c r="M39" s="14" t="s">
        <v>1872</v>
      </c>
      <c r="N39" s="14">
        <v>1</v>
      </c>
      <c r="O39" s="14" t="s">
        <v>871</v>
      </c>
      <c r="P39" s="14">
        <v>0.51</v>
      </c>
      <c r="Q39" s="14">
        <v>0.9</v>
      </c>
      <c r="R39" s="14" t="s">
        <v>988</v>
      </c>
      <c r="S39" s="14" t="s">
        <v>1657</v>
      </c>
      <c r="T39" s="14" t="s">
        <v>1658</v>
      </c>
      <c r="U39" s="14" t="s">
        <v>1659</v>
      </c>
      <c r="V39" s="14" t="s">
        <v>874</v>
      </c>
      <c r="Y39" s="14">
        <v>1</v>
      </c>
      <c r="Z39" s="14">
        <v>1</v>
      </c>
      <c r="AI39" s="14">
        <v>1</v>
      </c>
      <c r="AJ39" s="14">
        <v>1</v>
      </c>
      <c r="AU39" s="14" t="s">
        <v>1871</v>
      </c>
    </row>
    <row r="40" spans="1:47">
      <c r="A40" s="14" t="s">
        <v>1762</v>
      </c>
      <c r="B40" s="14" t="s">
        <v>1873</v>
      </c>
      <c r="C40" s="14" t="s">
        <v>1764</v>
      </c>
      <c r="D40" s="14" t="s">
        <v>1765</v>
      </c>
      <c r="F40" s="14" t="s">
        <v>1874</v>
      </c>
      <c r="I40" s="14" t="s">
        <v>1875</v>
      </c>
      <c r="J40" s="14" t="s">
        <v>1876</v>
      </c>
      <c r="K40" s="14" t="s">
        <v>1877</v>
      </c>
      <c r="L40" s="14" t="s">
        <v>884</v>
      </c>
      <c r="M40" s="14" t="s">
        <v>1878</v>
      </c>
      <c r="N40" s="14">
        <v>1</v>
      </c>
      <c r="O40" s="14" t="s">
        <v>871</v>
      </c>
      <c r="P40" s="14">
        <v>0.62</v>
      </c>
      <c r="Q40" s="14">
        <v>0.9</v>
      </c>
      <c r="R40" s="14" t="s">
        <v>988</v>
      </c>
      <c r="S40" s="14" t="s">
        <v>1657</v>
      </c>
      <c r="T40" s="14" t="s">
        <v>1658</v>
      </c>
      <c r="U40" s="14" t="s">
        <v>1659</v>
      </c>
      <c r="V40" s="14" t="s">
        <v>1879</v>
      </c>
      <c r="AC40" s="14">
        <v>19</v>
      </c>
      <c r="AD40" s="14">
        <v>34</v>
      </c>
      <c r="AK40" s="14">
        <v>19</v>
      </c>
      <c r="AL40" s="14">
        <v>31</v>
      </c>
      <c r="AU40" s="14" t="s">
        <v>1877</v>
      </c>
    </row>
    <row r="41" spans="1:47">
      <c r="A41" s="14" t="s">
        <v>1762</v>
      </c>
      <c r="B41" s="14" t="s">
        <v>1880</v>
      </c>
      <c r="C41" s="14" t="s">
        <v>1764</v>
      </c>
      <c r="D41" s="14" t="s">
        <v>1765</v>
      </c>
      <c r="F41" s="14" t="s">
        <v>1881</v>
      </c>
      <c r="I41" s="14" t="s">
        <v>1882</v>
      </c>
      <c r="K41" s="14" t="s">
        <v>1883</v>
      </c>
      <c r="L41" s="14" t="s">
        <v>884</v>
      </c>
      <c r="M41" s="14" t="s">
        <v>1884</v>
      </c>
      <c r="N41" s="14">
        <v>2</v>
      </c>
      <c r="O41" s="14" t="s">
        <v>1656</v>
      </c>
      <c r="P41" s="14">
        <v>1</v>
      </c>
      <c r="Q41" s="14">
        <v>0.9</v>
      </c>
      <c r="R41" s="14" t="s">
        <v>988</v>
      </c>
      <c r="S41" s="14" t="s">
        <v>1657</v>
      </c>
      <c r="T41" s="14" t="s">
        <v>1658</v>
      </c>
      <c r="U41" s="14" t="s">
        <v>1659</v>
      </c>
      <c r="V41" s="14" t="s">
        <v>1860</v>
      </c>
      <c r="AI41" s="14">
        <v>4</v>
      </c>
      <c r="AJ41" s="14">
        <v>4</v>
      </c>
      <c r="AT41" s="14">
        <v>0</v>
      </c>
      <c r="AU41" s="14" t="s">
        <v>1883</v>
      </c>
    </row>
    <row r="42" spans="1:47">
      <c r="A42" s="14" t="s">
        <v>1885</v>
      </c>
      <c r="B42" s="14" t="s">
        <v>1886</v>
      </c>
      <c r="C42" s="14" t="s">
        <v>1887</v>
      </c>
      <c r="D42" s="14" t="s">
        <v>1888</v>
      </c>
      <c r="F42" s="14" t="s">
        <v>1889</v>
      </c>
      <c r="I42" s="14" t="s">
        <v>1890</v>
      </c>
      <c r="K42" s="14" t="s">
        <v>1891</v>
      </c>
      <c r="L42" s="14" t="s">
        <v>870</v>
      </c>
      <c r="M42" s="14" t="s">
        <v>1892</v>
      </c>
      <c r="N42" s="14">
        <v>1</v>
      </c>
      <c r="O42" s="14" t="s">
        <v>157</v>
      </c>
      <c r="P42" s="14">
        <v>1</v>
      </c>
      <c r="Q42" s="14">
        <v>0.9</v>
      </c>
      <c r="R42" s="14" t="s">
        <v>988</v>
      </c>
      <c r="S42" s="14" t="s">
        <v>1657</v>
      </c>
      <c r="T42" s="14" t="s">
        <v>1658</v>
      </c>
      <c r="U42" s="14" t="s">
        <v>1659</v>
      </c>
      <c r="V42" s="14" t="s">
        <v>391</v>
      </c>
      <c r="AO42" s="14">
        <v>1</v>
      </c>
      <c r="AP42" s="14">
        <v>4</v>
      </c>
      <c r="AS42" s="14">
        <v>3</v>
      </c>
      <c r="AT42" s="14">
        <v>4</v>
      </c>
      <c r="AU42" s="14" t="s">
        <v>1891</v>
      </c>
    </row>
    <row r="43" spans="1:47">
      <c r="A43" s="14" t="s">
        <v>1885</v>
      </c>
      <c r="B43" s="14" t="s">
        <v>1893</v>
      </c>
      <c r="C43" s="14" t="s">
        <v>1887</v>
      </c>
      <c r="D43" s="14" t="s">
        <v>1888</v>
      </c>
      <c r="F43" s="14" t="s">
        <v>1894</v>
      </c>
      <c r="I43" s="14" t="s">
        <v>1895</v>
      </c>
      <c r="J43" s="14" t="s">
        <v>1896</v>
      </c>
      <c r="K43" s="14" t="s">
        <v>1897</v>
      </c>
      <c r="L43" s="14" t="s">
        <v>892</v>
      </c>
      <c r="M43" s="14" t="s">
        <v>1898</v>
      </c>
      <c r="N43" s="14">
        <v>1</v>
      </c>
      <c r="O43" s="14" t="s">
        <v>178</v>
      </c>
      <c r="P43" s="14">
        <v>1</v>
      </c>
      <c r="Q43" s="14">
        <v>0.9</v>
      </c>
      <c r="R43" s="14" t="s">
        <v>988</v>
      </c>
      <c r="S43" s="14" t="s">
        <v>1657</v>
      </c>
      <c r="T43" s="14" t="s">
        <v>1658</v>
      </c>
      <c r="U43" s="14" t="s">
        <v>1659</v>
      </c>
      <c r="V43" s="14" t="s">
        <v>391</v>
      </c>
      <c r="AO43" s="14">
        <v>3</v>
      </c>
      <c r="AP43" s="14">
        <v>3</v>
      </c>
      <c r="AS43" s="14">
        <v>2</v>
      </c>
      <c r="AT43" s="14">
        <v>2</v>
      </c>
      <c r="AU43" s="14" t="s">
        <v>1897</v>
      </c>
    </row>
    <row r="44" spans="1:47">
      <c r="A44" s="14" t="s">
        <v>1885</v>
      </c>
      <c r="B44" s="14" t="s">
        <v>1899</v>
      </c>
      <c r="C44" s="14" t="s">
        <v>1887</v>
      </c>
      <c r="D44" s="14" t="s">
        <v>1888</v>
      </c>
      <c r="F44" s="14" t="s">
        <v>1900</v>
      </c>
      <c r="I44" s="14" t="s">
        <v>1901</v>
      </c>
      <c r="K44" s="14" t="s">
        <v>1902</v>
      </c>
      <c r="L44" s="14" t="s">
        <v>884</v>
      </c>
      <c r="M44" s="14" t="s">
        <v>1903</v>
      </c>
      <c r="N44" s="14">
        <v>2</v>
      </c>
      <c r="O44" s="14" t="s">
        <v>157</v>
      </c>
      <c r="P44" s="14">
        <v>1</v>
      </c>
      <c r="Q44" s="14">
        <v>0.9</v>
      </c>
      <c r="R44" s="14" t="s">
        <v>988</v>
      </c>
      <c r="S44" s="14" t="s">
        <v>1657</v>
      </c>
      <c r="T44" s="14" t="s">
        <v>1658</v>
      </c>
      <c r="U44" s="14" t="s">
        <v>1659</v>
      </c>
      <c r="V44" s="14" t="s">
        <v>391</v>
      </c>
      <c r="AO44" s="14">
        <v>15881</v>
      </c>
      <c r="AP44" s="14">
        <v>12000</v>
      </c>
      <c r="AS44" s="14">
        <v>2504</v>
      </c>
      <c r="AT44" s="14">
        <v>12000</v>
      </c>
      <c r="AU44" s="14" t="s">
        <v>1902</v>
      </c>
    </row>
    <row r="45" spans="1:47">
      <c r="A45" s="14" t="s">
        <v>1885</v>
      </c>
      <c r="B45" s="14" t="s">
        <v>1904</v>
      </c>
      <c r="C45" s="14" t="s">
        <v>1887</v>
      </c>
      <c r="D45" s="14" t="s">
        <v>1888</v>
      </c>
      <c r="F45" s="14" t="s">
        <v>1905</v>
      </c>
      <c r="G45" s="14" t="s">
        <v>1906</v>
      </c>
      <c r="I45" s="14" t="s">
        <v>1907</v>
      </c>
      <c r="J45" s="14" t="s">
        <v>1908</v>
      </c>
      <c r="K45" s="14" t="s">
        <v>1909</v>
      </c>
      <c r="L45" s="14" t="s">
        <v>892</v>
      </c>
      <c r="M45" s="14" t="s">
        <v>1910</v>
      </c>
      <c r="N45" s="14">
        <v>2</v>
      </c>
      <c r="O45" s="14" t="s">
        <v>178</v>
      </c>
      <c r="P45" s="14">
        <v>1</v>
      </c>
      <c r="Q45" s="14">
        <v>0.9</v>
      </c>
      <c r="R45" s="14" t="s">
        <v>988</v>
      </c>
      <c r="S45" s="14" t="s">
        <v>1657</v>
      </c>
      <c r="T45" s="14" t="s">
        <v>1658</v>
      </c>
      <c r="U45" s="14" t="s">
        <v>1659</v>
      </c>
      <c r="V45" s="14" t="s">
        <v>391</v>
      </c>
      <c r="AO45" s="14">
        <v>956</v>
      </c>
      <c r="AP45" s="14">
        <v>1030</v>
      </c>
      <c r="AS45" s="14">
        <v>82</v>
      </c>
      <c r="AT45" s="14">
        <v>82</v>
      </c>
      <c r="AU45" s="14" t="s">
        <v>1909</v>
      </c>
    </row>
    <row r="46" spans="1:47">
      <c r="A46" s="14" t="s">
        <v>1911</v>
      </c>
      <c r="B46" s="14" t="s">
        <v>1912</v>
      </c>
      <c r="C46" s="14" t="s">
        <v>1913</v>
      </c>
      <c r="D46" s="14" t="s">
        <v>1914</v>
      </c>
      <c r="F46" s="14" t="s">
        <v>1915</v>
      </c>
      <c r="I46" s="14" t="s">
        <v>1916</v>
      </c>
      <c r="J46" s="14" t="s">
        <v>1917</v>
      </c>
      <c r="K46" s="14" t="s">
        <v>1918</v>
      </c>
      <c r="L46" s="14" t="s">
        <v>892</v>
      </c>
      <c r="M46" s="14" t="s">
        <v>1919</v>
      </c>
      <c r="N46" s="14">
        <v>1</v>
      </c>
      <c r="O46" s="14" t="s">
        <v>178</v>
      </c>
      <c r="P46" s="14">
        <v>1</v>
      </c>
      <c r="Q46" s="14">
        <v>0.9</v>
      </c>
      <c r="R46" s="14" t="s">
        <v>988</v>
      </c>
      <c r="S46" s="14" t="s">
        <v>1657</v>
      </c>
      <c r="T46" s="14" t="s">
        <v>1658</v>
      </c>
      <c r="U46" s="14" t="s">
        <v>1659</v>
      </c>
      <c r="V46" s="14" t="s">
        <v>391</v>
      </c>
      <c r="AO46" s="14">
        <v>1</v>
      </c>
      <c r="AP46" s="14">
        <v>1</v>
      </c>
      <c r="AS46" s="14">
        <v>4</v>
      </c>
      <c r="AT46" s="14">
        <v>4</v>
      </c>
      <c r="AU46" s="14" t="s">
        <v>1918</v>
      </c>
    </row>
    <row r="47" spans="1:47">
      <c r="A47" s="14" t="s">
        <v>1911</v>
      </c>
      <c r="B47" s="14" t="s">
        <v>1920</v>
      </c>
      <c r="C47" s="14" t="s">
        <v>1913</v>
      </c>
      <c r="D47" s="14" t="s">
        <v>1914</v>
      </c>
      <c r="F47" s="14" t="s">
        <v>1921</v>
      </c>
      <c r="I47" s="14" t="s">
        <v>421</v>
      </c>
      <c r="J47" s="14" t="s">
        <v>1922</v>
      </c>
      <c r="K47" s="14" t="s">
        <v>1923</v>
      </c>
      <c r="L47" s="14" t="s">
        <v>884</v>
      </c>
      <c r="M47" s="14" t="s">
        <v>1924</v>
      </c>
      <c r="N47" s="14">
        <v>1</v>
      </c>
      <c r="O47" s="14" t="s">
        <v>178</v>
      </c>
      <c r="P47" s="14">
        <v>0.85</v>
      </c>
      <c r="Q47" s="14">
        <v>0.9</v>
      </c>
      <c r="R47" s="14" t="s">
        <v>872</v>
      </c>
      <c r="S47" s="14" t="s">
        <v>1657</v>
      </c>
      <c r="T47" s="14" t="s">
        <v>1658</v>
      </c>
      <c r="U47" s="14" t="s">
        <v>1659</v>
      </c>
      <c r="V47" s="14" t="s">
        <v>391</v>
      </c>
      <c r="AA47" s="14">
        <v>466884</v>
      </c>
      <c r="AB47" s="14">
        <v>537698</v>
      </c>
      <c r="AG47" s="14">
        <v>510786</v>
      </c>
      <c r="AH47" s="14">
        <v>591867</v>
      </c>
      <c r="AM47" s="14">
        <v>663055</v>
      </c>
      <c r="AN47" s="14">
        <v>758776</v>
      </c>
      <c r="AS47" s="14">
        <v>450867</v>
      </c>
      <c r="AT47" s="14">
        <v>518616</v>
      </c>
      <c r="AU47" s="14" t="s">
        <v>1923</v>
      </c>
    </row>
    <row r="48" spans="1:47">
      <c r="A48" s="14" t="s">
        <v>1911</v>
      </c>
      <c r="B48" s="14" t="s">
        <v>1925</v>
      </c>
      <c r="C48" s="14" t="s">
        <v>1913</v>
      </c>
      <c r="D48" s="14" t="s">
        <v>1914</v>
      </c>
      <c r="F48" s="14" t="s">
        <v>1926</v>
      </c>
      <c r="I48" s="14" t="s">
        <v>1927</v>
      </c>
      <c r="J48" s="14" t="s">
        <v>1928</v>
      </c>
      <c r="K48" s="14" t="s">
        <v>1929</v>
      </c>
      <c r="L48" s="14" t="s">
        <v>892</v>
      </c>
      <c r="M48" s="14" t="s">
        <v>1930</v>
      </c>
      <c r="N48" s="14">
        <v>2</v>
      </c>
      <c r="O48" s="14" t="s">
        <v>178</v>
      </c>
      <c r="P48" s="14">
        <v>1</v>
      </c>
      <c r="Q48" s="14">
        <v>0.9</v>
      </c>
      <c r="R48" s="14" t="s">
        <v>872</v>
      </c>
      <c r="S48" s="14" t="s">
        <v>1657</v>
      </c>
      <c r="T48" s="14" t="s">
        <v>1658</v>
      </c>
      <c r="U48" s="14" t="s">
        <v>1659</v>
      </c>
      <c r="V48" s="14" t="s">
        <v>391</v>
      </c>
      <c r="AA48" s="14">
        <v>254867</v>
      </c>
      <c r="AB48" s="14">
        <v>254867</v>
      </c>
      <c r="AG48" s="14">
        <v>277778</v>
      </c>
      <c r="AH48" s="14">
        <v>277778</v>
      </c>
      <c r="AM48" s="14">
        <v>257772</v>
      </c>
      <c r="AN48" s="14">
        <v>257772</v>
      </c>
      <c r="AS48" s="14">
        <v>316209</v>
      </c>
      <c r="AT48" s="14">
        <v>316209</v>
      </c>
      <c r="AU48" s="14" t="s">
        <v>1929</v>
      </c>
    </row>
    <row r="49" spans="1:47">
      <c r="A49" s="14" t="s">
        <v>1648</v>
      </c>
      <c r="B49" s="14" t="s">
        <v>1931</v>
      </c>
      <c r="C49" s="14" t="s">
        <v>1650</v>
      </c>
      <c r="D49" s="14" t="s">
        <v>1651</v>
      </c>
      <c r="F49" s="14" t="s">
        <v>1932</v>
      </c>
      <c r="I49" s="14" t="s">
        <v>1933</v>
      </c>
      <c r="K49" s="14" t="s">
        <v>1934</v>
      </c>
      <c r="L49" s="14" t="s">
        <v>870</v>
      </c>
      <c r="M49" s="14" t="s">
        <v>1935</v>
      </c>
      <c r="N49" s="14">
        <v>2</v>
      </c>
      <c r="O49" s="14" t="s">
        <v>157</v>
      </c>
      <c r="P49" s="14">
        <v>1</v>
      </c>
      <c r="Q49" s="14">
        <v>0.9</v>
      </c>
      <c r="R49" s="14" t="s">
        <v>872</v>
      </c>
      <c r="S49" s="14" t="s">
        <v>1657</v>
      </c>
      <c r="T49" s="14" t="s">
        <v>1658</v>
      </c>
      <c r="U49" s="14" t="s">
        <v>1659</v>
      </c>
      <c r="V49" s="14" t="s">
        <v>391</v>
      </c>
      <c r="AA49" s="14">
        <v>6</v>
      </c>
      <c r="AB49" s="14">
        <v>25</v>
      </c>
      <c r="AG49" s="14">
        <v>30</v>
      </c>
      <c r="AH49" s="14">
        <v>25</v>
      </c>
      <c r="AM49" s="14">
        <v>24</v>
      </c>
      <c r="AN49" s="14">
        <v>25</v>
      </c>
      <c r="AS49" s="14">
        <v>40</v>
      </c>
      <c r="AT49" s="14">
        <v>25</v>
      </c>
      <c r="AU49" s="14" t="s">
        <v>1934</v>
      </c>
    </row>
    <row r="50" spans="1:47">
      <c r="A50" s="14" t="s">
        <v>1911</v>
      </c>
      <c r="B50" s="14" t="s">
        <v>1936</v>
      </c>
      <c r="C50" s="14" t="s">
        <v>1913</v>
      </c>
      <c r="D50" s="14" t="s">
        <v>1914</v>
      </c>
      <c r="F50" s="14" t="s">
        <v>1937</v>
      </c>
      <c r="I50" s="14" t="s">
        <v>1938</v>
      </c>
      <c r="J50" s="14" t="s">
        <v>1939</v>
      </c>
      <c r="K50" s="14" t="s">
        <v>1940</v>
      </c>
      <c r="L50" s="14" t="s">
        <v>870</v>
      </c>
      <c r="M50" s="14" t="s">
        <v>1941</v>
      </c>
      <c r="N50" s="14">
        <v>1</v>
      </c>
      <c r="O50" s="14" t="s">
        <v>178</v>
      </c>
      <c r="P50" s="14">
        <v>1</v>
      </c>
      <c r="Q50" s="14">
        <v>0.9</v>
      </c>
      <c r="R50" s="14" t="s">
        <v>872</v>
      </c>
      <c r="S50" s="14" t="s">
        <v>1657</v>
      </c>
      <c r="T50" s="14" t="s">
        <v>1658</v>
      </c>
      <c r="U50" s="14" t="s">
        <v>1659</v>
      </c>
      <c r="V50" s="14" t="s">
        <v>391</v>
      </c>
      <c r="AA50" s="14">
        <v>102533</v>
      </c>
      <c r="AB50" s="14">
        <v>102533</v>
      </c>
      <c r="AG50" s="14">
        <v>106319</v>
      </c>
      <c r="AH50" s="14">
        <v>106319</v>
      </c>
      <c r="AM50" s="14">
        <v>1047.71</v>
      </c>
      <c r="AN50" s="14">
        <v>1047.71</v>
      </c>
      <c r="AS50" s="14">
        <v>84994</v>
      </c>
      <c r="AT50" s="14">
        <v>84994</v>
      </c>
      <c r="AU50" s="14" t="s">
        <v>1940</v>
      </c>
    </row>
    <row r="51" spans="1:47">
      <c r="A51" s="14" t="s">
        <v>1911</v>
      </c>
      <c r="B51" s="14" t="s">
        <v>1942</v>
      </c>
      <c r="C51" s="14" t="s">
        <v>1913</v>
      </c>
      <c r="D51" s="14" t="s">
        <v>1914</v>
      </c>
      <c r="F51" s="14" t="s">
        <v>1943</v>
      </c>
      <c r="I51" s="14" t="s">
        <v>1944</v>
      </c>
      <c r="K51" s="14" t="s">
        <v>1945</v>
      </c>
      <c r="L51" s="14" t="s">
        <v>870</v>
      </c>
      <c r="M51" s="14" t="s">
        <v>1946</v>
      </c>
      <c r="N51" s="14">
        <v>1</v>
      </c>
      <c r="O51" s="14" t="s">
        <v>157</v>
      </c>
      <c r="P51" s="14">
        <v>1</v>
      </c>
      <c r="Q51" s="14">
        <v>0.9</v>
      </c>
      <c r="R51" s="14" t="s">
        <v>872</v>
      </c>
      <c r="S51" s="14" t="s">
        <v>1657</v>
      </c>
      <c r="T51" s="14" t="s">
        <v>1658</v>
      </c>
      <c r="U51" s="14" t="s">
        <v>1659</v>
      </c>
      <c r="V51" s="14" t="s">
        <v>391</v>
      </c>
      <c r="AA51" s="14">
        <v>235644</v>
      </c>
      <c r="AB51" s="14">
        <v>235644</v>
      </c>
      <c r="AG51" s="14">
        <v>236182</v>
      </c>
      <c r="AH51" s="14">
        <v>236182</v>
      </c>
      <c r="AM51" s="14">
        <v>273566</v>
      </c>
      <c r="AN51" s="14">
        <v>273566</v>
      </c>
      <c r="AS51" s="14">
        <v>230065</v>
      </c>
      <c r="AT51" s="14">
        <v>230065</v>
      </c>
      <c r="AU51" s="14" t="s">
        <v>1945</v>
      </c>
    </row>
    <row r="52" spans="1:47">
      <c r="A52" s="14" t="s">
        <v>1911</v>
      </c>
      <c r="B52" s="14" t="s">
        <v>1947</v>
      </c>
      <c r="C52" s="14" t="s">
        <v>1913</v>
      </c>
      <c r="D52" s="14" t="s">
        <v>1914</v>
      </c>
      <c r="F52" s="14" t="s">
        <v>1948</v>
      </c>
      <c r="I52" s="14" t="s">
        <v>1949</v>
      </c>
      <c r="K52" s="14" t="s">
        <v>1950</v>
      </c>
      <c r="L52" s="14" t="s">
        <v>870</v>
      </c>
      <c r="M52" s="14" t="s">
        <v>1951</v>
      </c>
      <c r="N52" s="14">
        <v>2</v>
      </c>
      <c r="O52" s="14" t="s">
        <v>157</v>
      </c>
      <c r="P52" s="14">
        <v>1</v>
      </c>
      <c r="Q52" s="14">
        <v>0.9</v>
      </c>
      <c r="R52" s="14" t="s">
        <v>988</v>
      </c>
      <c r="S52" s="14" t="s">
        <v>1657</v>
      </c>
      <c r="T52" s="14" t="s">
        <v>1658</v>
      </c>
      <c r="U52" s="14" t="s">
        <v>1659</v>
      </c>
      <c r="V52" s="14" t="s">
        <v>391</v>
      </c>
      <c r="AC52" s="14">
        <v>31</v>
      </c>
      <c r="AD52" s="14">
        <v>25</v>
      </c>
      <c r="AP52" s="14">
        <v>5</v>
      </c>
      <c r="AU52" s="14" t="s">
        <v>1950</v>
      </c>
    </row>
    <row r="53" spans="1:47">
      <c r="A53" s="14" t="s">
        <v>1952</v>
      </c>
      <c r="B53" s="14" t="s">
        <v>1953</v>
      </c>
      <c r="C53" s="14" t="s">
        <v>1954</v>
      </c>
      <c r="F53" s="14" t="s">
        <v>1955</v>
      </c>
      <c r="I53" s="14" t="s">
        <v>1956</v>
      </c>
      <c r="J53" s="14" t="s">
        <v>1957</v>
      </c>
      <c r="K53" s="14" t="s">
        <v>1958</v>
      </c>
      <c r="L53" s="14" t="s">
        <v>892</v>
      </c>
      <c r="M53" s="14" t="s">
        <v>1959</v>
      </c>
      <c r="N53" s="14">
        <v>1</v>
      </c>
      <c r="O53" s="14" t="s">
        <v>871</v>
      </c>
      <c r="P53" s="14">
        <v>0.8</v>
      </c>
      <c r="Q53" s="14" t="s">
        <v>1713</v>
      </c>
      <c r="R53" s="14" t="s">
        <v>988</v>
      </c>
      <c r="S53" s="14" t="s">
        <v>1714</v>
      </c>
      <c r="T53" s="14" t="s">
        <v>1715</v>
      </c>
      <c r="U53" s="14" t="s">
        <v>1716</v>
      </c>
      <c r="V53" s="14" t="s">
        <v>348</v>
      </c>
      <c r="AG53" s="14">
        <v>513</v>
      </c>
      <c r="AH53" s="14">
        <v>638</v>
      </c>
      <c r="AS53" s="14">
        <v>378</v>
      </c>
      <c r="AT53" s="14">
        <v>469</v>
      </c>
      <c r="AU53" s="14" t="s">
        <v>1958</v>
      </c>
    </row>
    <row r="54" spans="1:47">
      <c r="A54" s="14" t="s">
        <v>1952</v>
      </c>
      <c r="B54" s="14" t="s">
        <v>1960</v>
      </c>
      <c r="C54" s="14" t="s">
        <v>1954</v>
      </c>
      <c r="F54" s="14" t="s">
        <v>1961</v>
      </c>
      <c r="I54" s="14" t="s">
        <v>1962</v>
      </c>
      <c r="J54" s="14" t="s">
        <v>1963</v>
      </c>
      <c r="K54" s="14" t="s">
        <v>1964</v>
      </c>
      <c r="L54" s="14" t="s">
        <v>892</v>
      </c>
      <c r="M54" s="14" t="s">
        <v>1965</v>
      </c>
      <c r="N54" s="14">
        <v>2</v>
      </c>
      <c r="O54" s="14" t="s">
        <v>871</v>
      </c>
      <c r="P54" s="14">
        <v>0.6</v>
      </c>
      <c r="Q54" s="14" t="s">
        <v>1713</v>
      </c>
      <c r="R54" s="14" t="s">
        <v>988</v>
      </c>
      <c r="S54" s="14" t="s">
        <v>1714</v>
      </c>
      <c r="T54" s="14" t="s">
        <v>1715</v>
      </c>
      <c r="U54" s="14" t="s">
        <v>1716</v>
      </c>
      <c r="V54" s="14" t="s">
        <v>348</v>
      </c>
      <c r="AG54" s="14">
        <v>245</v>
      </c>
      <c r="AH54" s="14">
        <v>280</v>
      </c>
      <c r="AS54" s="14">
        <v>188</v>
      </c>
      <c r="AT54" s="14">
        <v>309</v>
      </c>
      <c r="AU54" s="14" t="s">
        <v>1964</v>
      </c>
    </row>
    <row r="55" spans="1:47">
      <c r="A55" s="14" t="s">
        <v>1952</v>
      </c>
      <c r="B55" s="14" t="s">
        <v>1966</v>
      </c>
      <c r="C55" s="14" t="s">
        <v>1954</v>
      </c>
      <c r="F55" s="14" t="s">
        <v>1967</v>
      </c>
      <c r="I55" s="14" t="s">
        <v>1968</v>
      </c>
      <c r="J55" s="14" t="s">
        <v>1969</v>
      </c>
      <c r="K55" s="14" t="s">
        <v>1970</v>
      </c>
      <c r="L55" s="14" t="s">
        <v>892</v>
      </c>
      <c r="M55" s="14" t="s">
        <v>1971</v>
      </c>
      <c r="N55" s="14">
        <v>1</v>
      </c>
      <c r="O55" s="14" t="s">
        <v>871</v>
      </c>
      <c r="P55" s="14">
        <v>1</v>
      </c>
      <c r="Q55" s="14" t="s">
        <v>1713</v>
      </c>
      <c r="R55" s="14" t="s">
        <v>988</v>
      </c>
      <c r="S55" s="14" t="s">
        <v>1714</v>
      </c>
      <c r="T55" s="14" t="s">
        <v>1715</v>
      </c>
      <c r="U55" s="14" t="s">
        <v>1716</v>
      </c>
      <c r="V55" s="14" t="s">
        <v>348</v>
      </c>
      <c r="AG55" s="14">
        <v>503</v>
      </c>
      <c r="AH55" s="14">
        <v>639</v>
      </c>
      <c r="AS55" s="14">
        <v>421</v>
      </c>
      <c r="AT55" s="14">
        <v>469</v>
      </c>
      <c r="AU55" s="14" t="s">
        <v>1970</v>
      </c>
    </row>
    <row r="56" spans="1:47">
      <c r="A56" s="14" t="s">
        <v>1952</v>
      </c>
      <c r="B56" s="14" t="s">
        <v>1972</v>
      </c>
      <c r="C56" s="14" t="s">
        <v>1954</v>
      </c>
      <c r="F56" s="14" t="s">
        <v>1973</v>
      </c>
      <c r="I56" s="14" t="s">
        <v>1974</v>
      </c>
      <c r="J56" s="14" t="s">
        <v>1969</v>
      </c>
      <c r="K56" s="14" t="s">
        <v>1975</v>
      </c>
      <c r="L56" s="14" t="s">
        <v>892</v>
      </c>
      <c r="M56" s="14" t="s">
        <v>1976</v>
      </c>
      <c r="N56" s="14">
        <v>1</v>
      </c>
      <c r="O56" s="14" t="s">
        <v>871</v>
      </c>
      <c r="P56" s="14">
        <v>1</v>
      </c>
      <c r="Q56" s="14" t="s">
        <v>1713</v>
      </c>
      <c r="R56" s="14" t="s">
        <v>988</v>
      </c>
      <c r="S56" s="14" t="s">
        <v>1714</v>
      </c>
      <c r="T56" s="14" t="s">
        <v>1715</v>
      </c>
      <c r="U56" s="14" t="s">
        <v>1716</v>
      </c>
      <c r="V56" s="14" t="s">
        <v>348</v>
      </c>
      <c r="AG56" s="14">
        <v>435</v>
      </c>
      <c r="AH56" s="14">
        <v>503</v>
      </c>
      <c r="AS56" s="14">
        <v>341</v>
      </c>
      <c r="AT56" s="14">
        <v>469</v>
      </c>
      <c r="AU56" s="14" t="s">
        <v>1975</v>
      </c>
    </row>
    <row r="57" spans="1:47">
      <c r="A57" s="14" t="s">
        <v>1952</v>
      </c>
      <c r="B57" s="14" t="s">
        <v>1977</v>
      </c>
      <c r="C57" s="14" t="s">
        <v>1954</v>
      </c>
      <c r="F57" s="14" t="s">
        <v>1978</v>
      </c>
      <c r="I57" s="14" t="s">
        <v>1979</v>
      </c>
      <c r="J57" s="14" t="s">
        <v>1980</v>
      </c>
      <c r="K57" s="14" t="s">
        <v>1981</v>
      </c>
      <c r="L57" s="14" t="s">
        <v>892</v>
      </c>
      <c r="M57" s="14" t="s">
        <v>1982</v>
      </c>
      <c r="N57" s="14">
        <v>1</v>
      </c>
      <c r="O57" s="14" t="s">
        <v>871</v>
      </c>
      <c r="P57" s="14">
        <v>1</v>
      </c>
      <c r="Q57" s="14" t="s">
        <v>1713</v>
      </c>
      <c r="R57" s="14" t="s">
        <v>988</v>
      </c>
      <c r="S57" s="14" t="s">
        <v>1714</v>
      </c>
      <c r="T57" s="14" t="s">
        <v>1715</v>
      </c>
      <c r="U57" s="14" t="s">
        <v>1716</v>
      </c>
      <c r="V57" s="14" t="s">
        <v>348</v>
      </c>
      <c r="AG57" s="14">
        <v>156</v>
      </c>
      <c r="AH57" s="14">
        <v>156</v>
      </c>
      <c r="AS57" s="14">
        <v>88</v>
      </c>
      <c r="AT57" s="14">
        <v>88</v>
      </c>
      <c r="AU57" s="14" t="s">
        <v>1981</v>
      </c>
    </row>
    <row r="58" spans="1:47">
      <c r="A58" s="14" t="s">
        <v>1952</v>
      </c>
      <c r="B58" s="14" t="s">
        <v>1983</v>
      </c>
      <c r="C58" s="14" t="s">
        <v>1954</v>
      </c>
      <c r="F58" s="14" t="s">
        <v>1984</v>
      </c>
      <c r="I58" s="14" t="s">
        <v>1985</v>
      </c>
      <c r="K58" s="14" t="s">
        <v>1986</v>
      </c>
      <c r="L58" s="14" t="s">
        <v>870</v>
      </c>
      <c r="M58" s="14" t="s">
        <v>1987</v>
      </c>
      <c r="N58" s="14">
        <v>2</v>
      </c>
      <c r="O58" s="14" t="s">
        <v>1656</v>
      </c>
      <c r="P58" s="14">
        <v>1</v>
      </c>
      <c r="Q58" s="14">
        <v>0.9</v>
      </c>
      <c r="R58" s="14" t="s">
        <v>910</v>
      </c>
      <c r="S58" s="14" t="s">
        <v>1657</v>
      </c>
      <c r="T58" s="14" t="s">
        <v>1658</v>
      </c>
      <c r="U58" s="14" t="s">
        <v>1659</v>
      </c>
      <c r="V58" s="14" t="s">
        <v>348</v>
      </c>
      <c r="AA58" s="14">
        <v>1</v>
      </c>
      <c r="AB58" s="14">
        <v>1</v>
      </c>
      <c r="AG58" s="14">
        <v>1</v>
      </c>
      <c r="AH58" s="14">
        <v>1</v>
      </c>
      <c r="AK58" s="14">
        <v>1</v>
      </c>
      <c r="AL58" s="14">
        <v>1</v>
      </c>
      <c r="AU58" s="14" t="s">
        <v>1986</v>
      </c>
    </row>
    <row r="59" spans="1:47">
      <c r="A59" s="14" t="s">
        <v>1952</v>
      </c>
      <c r="B59" s="14" t="s">
        <v>1988</v>
      </c>
      <c r="C59" s="14" t="s">
        <v>1954</v>
      </c>
      <c r="F59" s="14" t="s">
        <v>1989</v>
      </c>
      <c r="G59" s="14" t="s">
        <v>1990</v>
      </c>
      <c r="I59" s="14" t="s">
        <v>1991</v>
      </c>
      <c r="K59" s="14" t="s">
        <v>1992</v>
      </c>
      <c r="L59" s="14" t="s">
        <v>870</v>
      </c>
      <c r="M59" s="14" t="s">
        <v>1993</v>
      </c>
      <c r="N59" s="14">
        <v>1</v>
      </c>
      <c r="O59" s="14" t="s">
        <v>1656</v>
      </c>
      <c r="P59" s="14">
        <v>1</v>
      </c>
      <c r="Q59" s="14">
        <v>0.9</v>
      </c>
      <c r="R59" s="14" t="s">
        <v>872</v>
      </c>
      <c r="S59" s="14" t="s">
        <v>1657</v>
      </c>
      <c r="T59" s="14" t="s">
        <v>1658</v>
      </c>
      <c r="U59" s="14" t="s">
        <v>1659</v>
      </c>
      <c r="V59" s="14" t="s">
        <v>348</v>
      </c>
      <c r="AA59" s="14">
        <v>1</v>
      </c>
      <c r="AB59" s="14">
        <v>1</v>
      </c>
      <c r="AG59" s="14">
        <v>1</v>
      </c>
      <c r="AH59" s="14">
        <v>1</v>
      </c>
      <c r="AK59" s="14">
        <v>1</v>
      </c>
      <c r="AL59" s="14">
        <v>1</v>
      </c>
      <c r="AQ59" s="14">
        <v>1</v>
      </c>
      <c r="AR59" s="14">
        <v>1</v>
      </c>
      <c r="AU59" s="14" t="s">
        <v>1992</v>
      </c>
    </row>
    <row r="60" spans="1:47">
      <c r="A60" s="14" t="s">
        <v>1994</v>
      </c>
      <c r="B60" s="14" t="s">
        <v>1995</v>
      </c>
      <c r="C60" s="14" t="s">
        <v>1996</v>
      </c>
      <c r="D60" s="14" t="s">
        <v>1997</v>
      </c>
      <c r="F60" s="14" t="s">
        <v>1998</v>
      </c>
      <c r="I60" s="14" t="s">
        <v>1999</v>
      </c>
      <c r="J60" s="14" t="s">
        <v>2000</v>
      </c>
      <c r="K60" s="14" t="s">
        <v>2001</v>
      </c>
      <c r="L60" s="14" t="s">
        <v>892</v>
      </c>
      <c r="M60" s="14" t="s">
        <v>2002</v>
      </c>
      <c r="N60" s="14">
        <v>2</v>
      </c>
      <c r="O60" s="14" t="s">
        <v>871</v>
      </c>
      <c r="P60" s="14">
        <v>1</v>
      </c>
      <c r="Q60" s="14">
        <v>0.9</v>
      </c>
      <c r="R60" s="14" t="s">
        <v>988</v>
      </c>
      <c r="S60" s="14" t="s">
        <v>1657</v>
      </c>
      <c r="T60" s="14" t="s">
        <v>1658</v>
      </c>
      <c r="U60" s="14" t="s">
        <v>1659</v>
      </c>
      <c r="V60" s="14" t="s">
        <v>2003</v>
      </c>
      <c r="AG60" s="14">
        <v>17</v>
      </c>
      <c r="AH60" s="14">
        <v>17</v>
      </c>
      <c r="AS60" s="14">
        <v>1</v>
      </c>
      <c r="AT60" s="14">
        <v>1</v>
      </c>
      <c r="AU60" s="14" t="s">
        <v>2001</v>
      </c>
    </row>
    <row r="61" spans="1:47">
      <c r="A61" s="14" t="s">
        <v>1648</v>
      </c>
      <c r="B61" s="14" t="s">
        <v>2004</v>
      </c>
      <c r="C61" s="14" t="s">
        <v>1650</v>
      </c>
      <c r="D61" s="14" t="s">
        <v>1651</v>
      </c>
      <c r="F61" s="14" t="s">
        <v>2005</v>
      </c>
      <c r="I61" s="14" t="s">
        <v>2006</v>
      </c>
      <c r="K61" s="14" t="s">
        <v>2007</v>
      </c>
      <c r="L61" s="14" t="s">
        <v>892</v>
      </c>
      <c r="M61" s="14" t="s">
        <v>2008</v>
      </c>
      <c r="N61" s="14">
        <v>2</v>
      </c>
      <c r="O61" s="14" t="s">
        <v>2009</v>
      </c>
      <c r="P61" s="14">
        <v>1</v>
      </c>
      <c r="Q61" s="14">
        <v>0.9</v>
      </c>
      <c r="R61" s="14" t="s">
        <v>872</v>
      </c>
      <c r="S61" s="14" t="s">
        <v>1657</v>
      </c>
      <c r="T61" s="14" t="s">
        <v>1658</v>
      </c>
      <c r="U61" s="14" t="s">
        <v>1659</v>
      </c>
      <c r="V61" s="14" t="s">
        <v>2003</v>
      </c>
      <c r="AA61" s="14">
        <v>3</v>
      </c>
      <c r="AB61" s="14">
        <v>3</v>
      </c>
      <c r="AG61" s="14">
        <v>4</v>
      </c>
      <c r="AH61" s="14">
        <v>4</v>
      </c>
      <c r="AM61" s="14">
        <v>10</v>
      </c>
      <c r="AN61" s="14">
        <v>10</v>
      </c>
      <c r="AS61" s="14">
        <v>6</v>
      </c>
      <c r="AT61" s="14">
        <v>6</v>
      </c>
      <c r="AU61" s="14" t="s">
        <v>2007</v>
      </c>
    </row>
    <row r="62" spans="1:47">
      <c r="A62" s="14" t="s">
        <v>1994</v>
      </c>
      <c r="B62" s="14" t="s">
        <v>2010</v>
      </c>
      <c r="C62" s="14" t="s">
        <v>1996</v>
      </c>
      <c r="D62" s="14" t="s">
        <v>1997</v>
      </c>
      <c r="F62" s="14" t="s">
        <v>2011</v>
      </c>
      <c r="I62" s="14" t="s">
        <v>2012</v>
      </c>
      <c r="K62" s="14" t="s">
        <v>2013</v>
      </c>
      <c r="L62" s="14" t="s">
        <v>892</v>
      </c>
      <c r="M62" s="14" t="s">
        <v>2014</v>
      </c>
      <c r="N62" s="14">
        <v>2</v>
      </c>
      <c r="O62" s="14" t="s">
        <v>2009</v>
      </c>
      <c r="P62" s="14">
        <v>1</v>
      </c>
      <c r="Q62" s="14">
        <v>0.9</v>
      </c>
      <c r="R62" s="14" t="s">
        <v>988</v>
      </c>
      <c r="S62" s="14" t="s">
        <v>1657</v>
      </c>
      <c r="T62" s="14" t="s">
        <v>1658</v>
      </c>
      <c r="U62" s="14" t="s">
        <v>1659</v>
      </c>
      <c r="V62" s="14" t="s">
        <v>2003</v>
      </c>
      <c r="AG62" s="14">
        <v>1</v>
      </c>
      <c r="AH62" s="14">
        <v>1</v>
      </c>
      <c r="AS62" s="14">
        <v>1</v>
      </c>
      <c r="AT62" s="14">
        <v>1</v>
      </c>
      <c r="AU62" s="14" t="s">
        <v>2013</v>
      </c>
    </row>
    <row r="63" spans="1:47">
      <c r="A63" s="14" t="s">
        <v>1994</v>
      </c>
      <c r="B63" s="14" t="s">
        <v>2015</v>
      </c>
      <c r="C63" s="14" t="s">
        <v>1996</v>
      </c>
      <c r="D63" s="14" t="s">
        <v>1997</v>
      </c>
      <c r="F63" s="14" t="s">
        <v>2016</v>
      </c>
      <c r="I63" s="14" t="s">
        <v>2017</v>
      </c>
      <c r="K63" s="14" t="s">
        <v>2018</v>
      </c>
      <c r="L63" s="14" t="s">
        <v>892</v>
      </c>
      <c r="M63" s="14" t="s">
        <v>2019</v>
      </c>
      <c r="N63" s="14">
        <v>2</v>
      </c>
      <c r="O63" s="14" t="s">
        <v>2009</v>
      </c>
      <c r="P63" s="14">
        <v>1</v>
      </c>
      <c r="Q63" s="14">
        <v>0.9</v>
      </c>
      <c r="R63" s="14" t="s">
        <v>872</v>
      </c>
      <c r="S63" s="14" t="s">
        <v>1657</v>
      </c>
      <c r="T63" s="14" t="s">
        <v>1658</v>
      </c>
      <c r="U63" s="14" t="s">
        <v>1659</v>
      </c>
      <c r="V63" s="14" t="s">
        <v>2003</v>
      </c>
      <c r="AA63" s="14">
        <v>17</v>
      </c>
      <c r="AB63" s="14">
        <v>63</v>
      </c>
      <c r="AG63" s="14">
        <v>16</v>
      </c>
      <c r="AH63" s="14">
        <v>63</v>
      </c>
      <c r="AM63" s="14">
        <v>14</v>
      </c>
      <c r="AN63" s="14">
        <v>63</v>
      </c>
      <c r="AS63" s="14">
        <v>14</v>
      </c>
      <c r="AT63" s="14">
        <v>63</v>
      </c>
      <c r="AU63" s="14" t="s">
        <v>2018</v>
      </c>
    </row>
    <row r="64" spans="1:47">
      <c r="A64" s="14" t="s">
        <v>1994</v>
      </c>
      <c r="B64" s="14" t="s">
        <v>2020</v>
      </c>
      <c r="C64" s="14" t="s">
        <v>1996</v>
      </c>
      <c r="D64" s="14" t="s">
        <v>1997</v>
      </c>
      <c r="F64" s="14" t="s">
        <v>2021</v>
      </c>
      <c r="I64" s="14" t="s">
        <v>1042</v>
      </c>
      <c r="K64" s="14" t="s">
        <v>2022</v>
      </c>
      <c r="L64" s="14" t="s">
        <v>870</v>
      </c>
      <c r="M64" s="14" t="s">
        <v>2023</v>
      </c>
      <c r="N64" s="14">
        <v>1</v>
      </c>
      <c r="O64" s="14" t="s">
        <v>2009</v>
      </c>
      <c r="P64" s="14">
        <v>1</v>
      </c>
      <c r="Q64" s="14">
        <v>0.9</v>
      </c>
      <c r="R64" s="14" t="s">
        <v>988</v>
      </c>
      <c r="S64" s="14" t="s">
        <v>1657</v>
      </c>
      <c r="T64" s="14" t="s">
        <v>1658</v>
      </c>
      <c r="U64" s="14" t="s">
        <v>1659</v>
      </c>
      <c r="V64" s="14" t="s">
        <v>2024</v>
      </c>
      <c r="AG64" s="14">
        <v>1</v>
      </c>
      <c r="AH64" s="14">
        <v>1</v>
      </c>
      <c r="AS64" s="14">
        <v>1</v>
      </c>
      <c r="AT64" s="14">
        <v>1</v>
      </c>
      <c r="AU64" s="14" t="s">
        <v>2022</v>
      </c>
    </row>
    <row r="65" spans="1:47">
      <c r="A65" s="14" t="s">
        <v>1994</v>
      </c>
      <c r="B65" s="14" t="s">
        <v>2025</v>
      </c>
      <c r="C65" s="14" t="s">
        <v>1996</v>
      </c>
      <c r="D65" s="14" t="s">
        <v>1997</v>
      </c>
      <c r="F65" s="14" t="s">
        <v>2026</v>
      </c>
      <c r="G65" s="14" t="s">
        <v>2027</v>
      </c>
      <c r="I65" s="14" t="s">
        <v>2028</v>
      </c>
      <c r="K65" s="14" t="s">
        <v>2029</v>
      </c>
      <c r="L65" s="14" t="s">
        <v>892</v>
      </c>
      <c r="M65" s="14" t="s">
        <v>2030</v>
      </c>
      <c r="N65" s="14">
        <v>1</v>
      </c>
      <c r="O65" s="14" t="s">
        <v>2009</v>
      </c>
      <c r="P65" s="14">
        <v>1</v>
      </c>
      <c r="Q65" s="14">
        <v>0.9</v>
      </c>
      <c r="R65" s="14" t="s">
        <v>872</v>
      </c>
      <c r="S65" s="14" t="s">
        <v>1657</v>
      </c>
      <c r="T65" s="14" t="s">
        <v>1658</v>
      </c>
      <c r="U65" s="14" t="s">
        <v>1659</v>
      </c>
      <c r="V65" s="14" t="s">
        <v>2003</v>
      </c>
      <c r="AA65" s="14">
        <v>3</v>
      </c>
      <c r="AB65" s="14">
        <v>3</v>
      </c>
      <c r="AG65" s="14">
        <v>3</v>
      </c>
      <c r="AH65" s="14">
        <v>3</v>
      </c>
      <c r="AM65" s="14">
        <v>3</v>
      </c>
      <c r="AN65" s="14">
        <v>3</v>
      </c>
      <c r="AS65" s="14">
        <v>3</v>
      </c>
      <c r="AT65" s="14">
        <v>3</v>
      </c>
      <c r="AU65" s="14" t="s">
        <v>2031</v>
      </c>
    </row>
    <row r="66" spans="1:47">
      <c r="A66" s="14" t="s">
        <v>1994</v>
      </c>
      <c r="B66" s="14" t="s">
        <v>2032</v>
      </c>
      <c r="C66" s="14" t="s">
        <v>1996</v>
      </c>
      <c r="D66" s="14" t="s">
        <v>1997</v>
      </c>
      <c r="F66" s="14" t="s">
        <v>2033</v>
      </c>
      <c r="I66" s="14" t="s">
        <v>2034</v>
      </c>
      <c r="J66" s="14" t="s">
        <v>2035</v>
      </c>
      <c r="K66" s="14" t="s">
        <v>2036</v>
      </c>
      <c r="L66" s="14" t="s">
        <v>892</v>
      </c>
      <c r="M66" s="14" t="s">
        <v>2037</v>
      </c>
      <c r="N66" s="14">
        <v>2</v>
      </c>
      <c r="O66" s="14" t="s">
        <v>871</v>
      </c>
      <c r="P66" s="14">
        <v>1</v>
      </c>
      <c r="Q66" s="14">
        <v>0.9</v>
      </c>
      <c r="R66" s="14" t="s">
        <v>988</v>
      </c>
      <c r="S66" s="14" t="s">
        <v>1657</v>
      </c>
      <c r="T66" s="14" t="s">
        <v>1658</v>
      </c>
      <c r="U66" s="14" t="s">
        <v>1659</v>
      </c>
      <c r="V66" s="14" t="s">
        <v>2038</v>
      </c>
      <c r="AG66" s="14">
        <v>15</v>
      </c>
      <c r="AH66" s="14">
        <v>15</v>
      </c>
      <c r="AS66" s="14">
        <v>32</v>
      </c>
      <c r="AT66" s="14">
        <v>32</v>
      </c>
      <c r="AU66" s="14" t="s">
        <v>2036</v>
      </c>
    </row>
    <row r="67" spans="1:47">
      <c r="A67" s="14" t="s">
        <v>1648</v>
      </c>
      <c r="B67" s="14" t="s">
        <v>2039</v>
      </c>
      <c r="C67" s="14" t="s">
        <v>1650</v>
      </c>
      <c r="D67" s="14" t="s">
        <v>1651</v>
      </c>
      <c r="F67" s="14" t="s">
        <v>2005</v>
      </c>
      <c r="I67" s="14" t="s">
        <v>2040</v>
      </c>
      <c r="K67" s="14" t="s">
        <v>2041</v>
      </c>
      <c r="L67" s="14" t="s">
        <v>892</v>
      </c>
      <c r="M67" s="14" t="s">
        <v>2042</v>
      </c>
      <c r="N67" s="14">
        <v>2</v>
      </c>
      <c r="O67" s="14" t="s">
        <v>2009</v>
      </c>
      <c r="P67" s="14">
        <v>1</v>
      </c>
      <c r="Q67" s="14">
        <v>0.9</v>
      </c>
      <c r="R67" s="14" t="s">
        <v>872</v>
      </c>
      <c r="S67" s="14" t="s">
        <v>1657</v>
      </c>
      <c r="T67" s="14" t="s">
        <v>1658</v>
      </c>
      <c r="U67" s="14" t="s">
        <v>1659</v>
      </c>
      <c r="V67" s="14" t="s">
        <v>2038</v>
      </c>
      <c r="AA67" s="14">
        <v>3</v>
      </c>
      <c r="AB67" s="14">
        <v>3</v>
      </c>
      <c r="AG67" s="14">
        <v>4</v>
      </c>
      <c r="AH67" s="14">
        <v>4</v>
      </c>
      <c r="AM67" s="14">
        <v>14</v>
      </c>
      <c r="AN67" s="14">
        <v>14</v>
      </c>
      <c r="AS67" s="14">
        <v>6</v>
      </c>
      <c r="AT67" s="14">
        <v>6</v>
      </c>
      <c r="AU67" s="14" t="s">
        <v>2041</v>
      </c>
    </row>
    <row r="68" spans="1:47">
      <c r="A68" s="14" t="s">
        <v>1994</v>
      </c>
      <c r="B68" s="14" t="s">
        <v>2043</v>
      </c>
      <c r="C68" s="14" t="s">
        <v>1996</v>
      </c>
      <c r="D68" s="14" t="s">
        <v>1997</v>
      </c>
      <c r="F68" s="14" t="s">
        <v>2011</v>
      </c>
      <c r="I68" s="14" t="s">
        <v>2044</v>
      </c>
      <c r="K68" s="14" t="s">
        <v>2013</v>
      </c>
      <c r="L68" s="14" t="s">
        <v>892</v>
      </c>
      <c r="M68" s="14" t="s">
        <v>2045</v>
      </c>
      <c r="N68" s="14">
        <v>2</v>
      </c>
      <c r="O68" s="14" t="s">
        <v>2009</v>
      </c>
      <c r="P68" s="14">
        <v>1</v>
      </c>
      <c r="Q68" s="14">
        <v>0.9</v>
      </c>
      <c r="R68" s="14" t="s">
        <v>988</v>
      </c>
      <c r="S68" s="14" t="s">
        <v>1657</v>
      </c>
      <c r="T68" s="14" t="s">
        <v>1658</v>
      </c>
      <c r="U68" s="14" t="s">
        <v>1659</v>
      </c>
      <c r="V68" s="14" t="s">
        <v>2038</v>
      </c>
      <c r="AG68" s="14">
        <v>1</v>
      </c>
      <c r="AH68" s="14">
        <v>1</v>
      </c>
      <c r="AS68" s="14">
        <v>1</v>
      </c>
      <c r="AT68" s="14">
        <v>1</v>
      </c>
      <c r="AU68" s="14" t="s">
        <v>2013</v>
      </c>
    </row>
    <row r="69" spans="1:47">
      <c r="A69" s="14" t="s">
        <v>1994</v>
      </c>
      <c r="B69" s="14" t="s">
        <v>2046</v>
      </c>
      <c r="C69" s="14" t="s">
        <v>1996</v>
      </c>
      <c r="D69" s="14" t="s">
        <v>1997</v>
      </c>
      <c r="F69" s="14" t="s">
        <v>2047</v>
      </c>
      <c r="I69" s="14" t="s">
        <v>2048</v>
      </c>
      <c r="K69" s="14" t="s">
        <v>2049</v>
      </c>
      <c r="L69" s="14" t="s">
        <v>892</v>
      </c>
      <c r="M69" s="14" t="s">
        <v>2050</v>
      </c>
      <c r="N69" s="14">
        <v>2</v>
      </c>
      <c r="O69" s="14" t="s">
        <v>2009</v>
      </c>
      <c r="P69" s="14">
        <v>1</v>
      </c>
      <c r="Q69" s="14">
        <v>0.9</v>
      </c>
      <c r="R69" s="14" t="s">
        <v>988</v>
      </c>
      <c r="S69" s="14" t="s">
        <v>1657</v>
      </c>
      <c r="T69" s="14" t="s">
        <v>1658</v>
      </c>
      <c r="U69" s="14" t="s">
        <v>1659</v>
      </c>
      <c r="V69" s="14" t="s">
        <v>2038</v>
      </c>
      <c r="AG69" s="14">
        <v>1</v>
      </c>
      <c r="AH69" s="14">
        <v>1</v>
      </c>
      <c r="AS69" s="14">
        <v>1</v>
      </c>
      <c r="AT69" s="14">
        <v>1</v>
      </c>
      <c r="AU69" s="14" t="s">
        <v>2049</v>
      </c>
    </row>
    <row r="70" spans="1:47">
      <c r="A70" s="14" t="s">
        <v>1994</v>
      </c>
      <c r="B70" s="14" t="s">
        <v>2051</v>
      </c>
      <c r="C70" s="14" t="s">
        <v>1996</v>
      </c>
      <c r="D70" s="14" t="s">
        <v>1997</v>
      </c>
      <c r="F70" s="14" t="s">
        <v>2016</v>
      </c>
      <c r="I70" s="14" t="s">
        <v>2052</v>
      </c>
      <c r="K70" s="14" t="s">
        <v>2053</v>
      </c>
      <c r="L70" s="14" t="s">
        <v>892</v>
      </c>
      <c r="M70" s="14" t="s">
        <v>2054</v>
      </c>
      <c r="N70" s="14">
        <v>1</v>
      </c>
      <c r="O70" s="14" t="s">
        <v>2009</v>
      </c>
      <c r="P70" s="14">
        <v>1</v>
      </c>
      <c r="Q70" s="14">
        <v>0.9</v>
      </c>
      <c r="R70" s="14" t="s">
        <v>988</v>
      </c>
      <c r="S70" s="14" t="s">
        <v>1657</v>
      </c>
      <c r="T70" s="14" t="s">
        <v>1658</v>
      </c>
      <c r="U70" s="14" t="s">
        <v>1659</v>
      </c>
      <c r="V70" s="14" t="s">
        <v>2038</v>
      </c>
      <c r="AG70" s="14">
        <v>1</v>
      </c>
      <c r="AH70" s="14">
        <v>1</v>
      </c>
      <c r="AS70" s="14">
        <v>1</v>
      </c>
      <c r="AT70" s="14">
        <v>1</v>
      </c>
      <c r="AU70" s="14" t="s">
        <v>2053</v>
      </c>
    </row>
    <row r="71" spans="1:47">
      <c r="A71" s="14" t="s">
        <v>1994</v>
      </c>
      <c r="B71" s="14" t="s">
        <v>2055</v>
      </c>
      <c r="C71" s="14" t="s">
        <v>1996</v>
      </c>
      <c r="D71" s="14" t="s">
        <v>1997</v>
      </c>
      <c r="F71" s="14" t="s">
        <v>2021</v>
      </c>
      <c r="I71" s="14" t="s">
        <v>1042</v>
      </c>
      <c r="K71" s="14" t="s">
        <v>2022</v>
      </c>
      <c r="L71" s="14" t="s">
        <v>870</v>
      </c>
      <c r="M71" s="14" t="s">
        <v>2056</v>
      </c>
      <c r="N71" s="14">
        <v>1</v>
      </c>
      <c r="O71" s="14" t="s">
        <v>2009</v>
      </c>
      <c r="P71" s="14">
        <v>1</v>
      </c>
      <c r="Q71" s="14">
        <v>0.9</v>
      </c>
      <c r="R71" s="14" t="s">
        <v>988</v>
      </c>
      <c r="S71" s="14" t="s">
        <v>1657</v>
      </c>
      <c r="T71" s="14" t="s">
        <v>1658</v>
      </c>
      <c r="U71" s="14" t="s">
        <v>1659</v>
      </c>
      <c r="V71" s="14" t="s">
        <v>2038</v>
      </c>
      <c r="AG71" s="14">
        <v>1</v>
      </c>
      <c r="AH71" s="14">
        <v>1</v>
      </c>
      <c r="AS71" s="14">
        <v>1</v>
      </c>
      <c r="AT71" s="14">
        <v>1</v>
      </c>
      <c r="AU71" s="14" t="s">
        <v>2022</v>
      </c>
    </row>
    <row r="72" spans="1:47">
      <c r="A72" s="14" t="s">
        <v>1994</v>
      </c>
      <c r="B72" s="14" t="s">
        <v>2057</v>
      </c>
      <c r="C72" s="14" t="s">
        <v>1996</v>
      </c>
      <c r="D72" s="14" t="s">
        <v>1997</v>
      </c>
      <c r="F72" s="14" t="s">
        <v>2026</v>
      </c>
      <c r="G72" s="14" t="s">
        <v>2027</v>
      </c>
      <c r="I72" s="14" t="s">
        <v>2058</v>
      </c>
      <c r="K72" s="14" t="s">
        <v>2059</v>
      </c>
      <c r="L72" s="14" t="s">
        <v>892</v>
      </c>
      <c r="M72" s="14" t="s">
        <v>2060</v>
      </c>
      <c r="N72" s="14">
        <v>1</v>
      </c>
      <c r="O72" s="14" t="s">
        <v>2009</v>
      </c>
      <c r="P72" s="14">
        <v>1</v>
      </c>
      <c r="Q72" s="14">
        <v>0.9</v>
      </c>
      <c r="R72" s="14" t="s">
        <v>872</v>
      </c>
      <c r="S72" s="14" t="s">
        <v>1657</v>
      </c>
      <c r="T72" s="14" t="s">
        <v>1658</v>
      </c>
      <c r="U72" s="14" t="s">
        <v>1659</v>
      </c>
      <c r="V72" s="14" t="s">
        <v>2061</v>
      </c>
      <c r="AA72" s="14">
        <v>3</v>
      </c>
      <c r="AB72" s="14">
        <v>3</v>
      </c>
      <c r="AG72" s="14">
        <v>3</v>
      </c>
      <c r="AH72" s="14">
        <v>3</v>
      </c>
      <c r="AM72" s="14">
        <v>3</v>
      </c>
      <c r="AN72" s="14">
        <v>3</v>
      </c>
      <c r="AS72" s="14">
        <v>3</v>
      </c>
      <c r="AT72" s="14">
        <v>3</v>
      </c>
      <c r="AU72" s="14" t="s">
        <v>2062</v>
      </c>
    </row>
    <row r="73" spans="1:47">
      <c r="A73" s="14" t="s">
        <v>2063</v>
      </c>
      <c r="B73" s="14" t="s">
        <v>2064</v>
      </c>
      <c r="C73" s="14" t="s">
        <v>2065</v>
      </c>
      <c r="D73" s="14" t="s">
        <v>2066</v>
      </c>
      <c r="E73" s="14" t="s">
        <v>2067</v>
      </c>
      <c r="F73" s="14" t="s">
        <v>2068</v>
      </c>
      <c r="I73" s="14" t="s">
        <v>2069</v>
      </c>
      <c r="J73" s="14" t="s">
        <v>2070</v>
      </c>
      <c r="K73" s="14" t="s">
        <v>2071</v>
      </c>
      <c r="L73" s="14" t="s">
        <v>870</v>
      </c>
      <c r="M73" s="14" t="s">
        <v>2072</v>
      </c>
      <c r="N73" s="14">
        <v>1</v>
      </c>
      <c r="O73" s="14" t="s">
        <v>871</v>
      </c>
      <c r="P73" s="14">
        <v>1</v>
      </c>
      <c r="Q73" s="14">
        <v>0.9</v>
      </c>
      <c r="R73" s="14" t="s">
        <v>988</v>
      </c>
      <c r="S73" s="14" t="s">
        <v>1657</v>
      </c>
      <c r="T73" s="14" t="s">
        <v>1658</v>
      </c>
      <c r="U73" s="14" t="s">
        <v>1659</v>
      </c>
      <c r="V73" s="14" t="s">
        <v>2038</v>
      </c>
      <c r="AG73" s="14">
        <v>1</v>
      </c>
      <c r="AH73" s="14">
        <v>1</v>
      </c>
      <c r="AS73" s="14">
        <v>1</v>
      </c>
      <c r="AT73" s="14">
        <v>1</v>
      </c>
      <c r="AU73" s="14" t="s">
        <v>2071</v>
      </c>
    </row>
    <row r="74" spans="1:47">
      <c r="A74" s="14" t="s">
        <v>1994</v>
      </c>
      <c r="B74" s="14" t="s">
        <v>2073</v>
      </c>
      <c r="C74" s="14" t="s">
        <v>1996</v>
      </c>
      <c r="D74" s="14" t="s">
        <v>1997</v>
      </c>
      <c r="F74" s="14" t="s">
        <v>2074</v>
      </c>
      <c r="I74" s="14" t="s">
        <v>2075</v>
      </c>
      <c r="J74" s="14" t="s">
        <v>2076</v>
      </c>
      <c r="K74" s="14" t="s">
        <v>2077</v>
      </c>
      <c r="L74" s="14" t="s">
        <v>892</v>
      </c>
      <c r="M74" s="14" t="s">
        <v>2078</v>
      </c>
      <c r="N74" s="14">
        <v>2</v>
      </c>
      <c r="O74" s="14" t="s">
        <v>871</v>
      </c>
      <c r="P74" s="14">
        <v>1</v>
      </c>
      <c r="Q74" s="14">
        <v>0.9</v>
      </c>
      <c r="R74" s="14" t="s">
        <v>988</v>
      </c>
      <c r="S74" s="14" t="s">
        <v>1657</v>
      </c>
      <c r="T74" s="14" t="s">
        <v>1658</v>
      </c>
      <c r="U74" s="14" t="s">
        <v>1659</v>
      </c>
      <c r="V74" s="14" t="s">
        <v>592</v>
      </c>
      <c r="AG74" s="14">
        <v>9</v>
      </c>
      <c r="AH74" s="14">
        <v>9</v>
      </c>
      <c r="AS74" s="14">
        <v>9</v>
      </c>
      <c r="AT74" s="14">
        <v>9</v>
      </c>
      <c r="AU74" s="14" t="s">
        <v>2077</v>
      </c>
    </row>
    <row r="75" spans="1:47">
      <c r="A75" s="14" t="s">
        <v>1648</v>
      </c>
      <c r="B75" s="14" t="s">
        <v>2079</v>
      </c>
      <c r="C75" s="14" t="s">
        <v>1650</v>
      </c>
      <c r="D75" s="14" t="s">
        <v>1651</v>
      </c>
      <c r="F75" s="14" t="s">
        <v>2005</v>
      </c>
      <c r="I75" s="14" t="s">
        <v>1184</v>
      </c>
      <c r="K75" s="14" t="s">
        <v>2080</v>
      </c>
      <c r="L75" s="14" t="s">
        <v>892</v>
      </c>
      <c r="M75" s="14" t="s">
        <v>2081</v>
      </c>
      <c r="N75" s="14">
        <v>2</v>
      </c>
      <c r="O75" s="14" t="s">
        <v>2009</v>
      </c>
      <c r="P75" s="14">
        <v>1</v>
      </c>
      <c r="Q75" s="14">
        <v>0.9</v>
      </c>
      <c r="R75" s="14" t="s">
        <v>872</v>
      </c>
      <c r="S75" s="14" t="s">
        <v>1657</v>
      </c>
      <c r="T75" s="14" t="s">
        <v>1658</v>
      </c>
      <c r="U75" s="14" t="s">
        <v>1659</v>
      </c>
      <c r="V75" s="14" t="s">
        <v>592</v>
      </c>
      <c r="AA75" s="14">
        <v>1</v>
      </c>
      <c r="AB75" s="14">
        <v>1</v>
      </c>
      <c r="AG75" s="14">
        <v>1</v>
      </c>
      <c r="AH75" s="14">
        <v>2</v>
      </c>
      <c r="AM75" s="14">
        <v>1</v>
      </c>
      <c r="AN75" s="14">
        <v>1</v>
      </c>
      <c r="AQ75" s="14">
        <v>1</v>
      </c>
      <c r="AR75" s="14">
        <v>1</v>
      </c>
      <c r="AS75" s="14">
        <v>3</v>
      </c>
      <c r="AT75" s="14">
        <v>3</v>
      </c>
      <c r="AU75" s="14" t="s">
        <v>2080</v>
      </c>
    </row>
    <row r="76" spans="1:47">
      <c r="A76" s="14" t="s">
        <v>1648</v>
      </c>
      <c r="B76" s="14" t="s">
        <v>2082</v>
      </c>
      <c r="C76" s="14" t="s">
        <v>1650</v>
      </c>
      <c r="D76" s="14" t="s">
        <v>1651</v>
      </c>
      <c r="F76" s="14" t="s">
        <v>2005</v>
      </c>
      <c r="I76" s="14" t="s">
        <v>2083</v>
      </c>
      <c r="K76" s="14" t="s">
        <v>2084</v>
      </c>
      <c r="L76" s="14" t="s">
        <v>892</v>
      </c>
      <c r="M76" s="14" t="s">
        <v>2085</v>
      </c>
      <c r="N76" s="14">
        <v>2</v>
      </c>
      <c r="O76" s="14" t="s">
        <v>2009</v>
      </c>
      <c r="P76" s="14">
        <v>1</v>
      </c>
      <c r="Q76" s="14">
        <v>0.9</v>
      </c>
      <c r="R76" s="14" t="s">
        <v>872</v>
      </c>
      <c r="S76" s="14" t="s">
        <v>1657</v>
      </c>
      <c r="T76" s="14" t="s">
        <v>1658</v>
      </c>
      <c r="U76" s="14" t="s">
        <v>1659</v>
      </c>
      <c r="V76" s="14" t="s">
        <v>592</v>
      </c>
      <c r="AA76" s="14">
        <v>1</v>
      </c>
      <c r="AB76" s="14">
        <v>1</v>
      </c>
      <c r="AG76" s="14">
        <v>1</v>
      </c>
      <c r="AH76" s="14">
        <v>2</v>
      </c>
      <c r="AM76" s="14">
        <v>1</v>
      </c>
      <c r="AN76" s="14">
        <v>1</v>
      </c>
      <c r="AQ76" s="14">
        <v>1</v>
      </c>
      <c r="AR76" s="14">
        <v>1</v>
      </c>
      <c r="AS76" s="14">
        <v>3</v>
      </c>
      <c r="AT76" s="14">
        <v>2</v>
      </c>
      <c r="AU76" s="14" t="s">
        <v>2084</v>
      </c>
    </row>
    <row r="77" spans="1:47">
      <c r="A77" s="14" t="s">
        <v>1994</v>
      </c>
      <c r="B77" s="14" t="s">
        <v>2086</v>
      </c>
      <c r="C77" s="14" t="s">
        <v>1996</v>
      </c>
      <c r="D77" s="14" t="s">
        <v>1997</v>
      </c>
      <c r="F77" s="14" t="s">
        <v>2011</v>
      </c>
      <c r="I77" s="14" t="s">
        <v>2012</v>
      </c>
      <c r="K77" s="14" t="s">
        <v>2013</v>
      </c>
      <c r="L77" s="14" t="s">
        <v>892</v>
      </c>
      <c r="M77" s="14" t="s">
        <v>2087</v>
      </c>
      <c r="N77" s="14">
        <v>2</v>
      </c>
      <c r="O77" s="14" t="s">
        <v>2009</v>
      </c>
      <c r="P77" s="14">
        <v>1</v>
      </c>
      <c r="Q77" s="14">
        <v>0.9</v>
      </c>
      <c r="R77" s="14" t="s">
        <v>988</v>
      </c>
      <c r="S77" s="14" t="s">
        <v>1657</v>
      </c>
      <c r="T77" s="14" t="s">
        <v>1658</v>
      </c>
      <c r="U77" s="14" t="s">
        <v>1659</v>
      </c>
      <c r="V77" s="14" t="s">
        <v>592</v>
      </c>
      <c r="AG77" s="14">
        <v>0</v>
      </c>
      <c r="AH77" s="14">
        <v>1</v>
      </c>
      <c r="AS77" s="14">
        <v>2</v>
      </c>
      <c r="AT77" s="14">
        <v>1</v>
      </c>
      <c r="AU77" s="14" t="s">
        <v>2013</v>
      </c>
    </row>
    <row r="78" spans="1:47">
      <c r="A78" s="14" t="s">
        <v>1994</v>
      </c>
      <c r="B78" s="14" t="s">
        <v>2088</v>
      </c>
      <c r="C78" s="14" t="s">
        <v>1996</v>
      </c>
      <c r="D78" s="14" t="s">
        <v>1997</v>
      </c>
      <c r="F78" s="14" t="s">
        <v>2047</v>
      </c>
      <c r="I78" s="14" t="s">
        <v>2089</v>
      </c>
      <c r="K78" s="14" t="s">
        <v>2090</v>
      </c>
      <c r="L78" s="14" t="s">
        <v>892</v>
      </c>
      <c r="M78" s="14" t="s">
        <v>2091</v>
      </c>
      <c r="N78" s="14">
        <v>2</v>
      </c>
      <c r="O78" s="14" t="s">
        <v>2009</v>
      </c>
      <c r="P78" s="14">
        <v>1</v>
      </c>
      <c r="Q78" s="14">
        <v>0.9</v>
      </c>
      <c r="R78" s="14" t="s">
        <v>988</v>
      </c>
      <c r="S78" s="14" t="s">
        <v>1657</v>
      </c>
      <c r="T78" s="14" t="s">
        <v>1658</v>
      </c>
      <c r="U78" s="14" t="s">
        <v>1659</v>
      </c>
      <c r="V78" s="14" t="s">
        <v>592</v>
      </c>
      <c r="AG78" s="14">
        <v>1</v>
      </c>
      <c r="AH78" s="14">
        <v>2</v>
      </c>
      <c r="AS78" s="14">
        <v>1</v>
      </c>
      <c r="AT78" s="14">
        <v>1</v>
      </c>
      <c r="AU78" s="14" t="s">
        <v>2090</v>
      </c>
    </row>
    <row r="79" spans="1:47">
      <c r="A79" s="14" t="s">
        <v>1994</v>
      </c>
      <c r="B79" s="14" t="s">
        <v>2092</v>
      </c>
      <c r="C79" s="14" t="s">
        <v>1996</v>
      </c>
      <c r="D79" s="14" t="s">
        <v>1997</v>
      </c>
      <c r="F79" s="14" t="s">
        <v>2016</v>
      </c>
      <c r="I79" s="14" t="s">
        <v>2093</v>
      </c>
      <c r="K79" s="14" t="s">
        <v>2094</v>
      </c>
      <c r="L79" s="14" t="s">
        <v>892</v>
      </c>
      <c r="M79" s="14" t="s">
        <v>2095</v>
      </c>
      <c r="N79" s="14">
        <v>1</v>
      </c>
      <c r="O79" s="14" t="s">
        <v>2009</v>
      </c>
      <c r="P79" s="14">
        <v>1</v>
      </c>
      <c r="Q79" s="14">
        <v>0.9</v>
      </c>
      <c r="R79" s="14" t="s">
        <v>872</v>
      </c>
      <c r="S79" s="14" t="s">
        <v>1657</v>
      </c>
      <c r="T79" s="14" t="s">
        <v>1658</v>
      </c>
      <c r="U79" s="14" t="s">
        <v>1659</v>
      </c>
      <c r="V79" s="14" t="s">
        <v>592</v>
      </c>
      <c r="AA79" s="14">
        <v>10</v>
      </c>
      <c r="AB79" s="14">
        <v>12</v>
      </c>
      <c r="AG79" s="14">
        <v>9</v>
      </c>
      <c r="AH79" s="14">
        <v>13</v>
      </c>
      <c r="AM79" s="14">
        <v>11</v>
      </c>
      <c r="AN79" s="14">
        <v>11</v>
      </c>
      <c r="AS79" s="14">
        <v>9</v>
      </c>
      <c r="AT79" s="14">
        <v>11</v>
      </c>
      <c r="AU79" s="14" t="s">
        <v>2094</v>
      </c>
    </row>
    <row r="80" spans="1:47">
      <c r="A80" s="14" t="s">
        <v>1994</v>
      </c>
      <c r="B80" s="14" t="s">
        <v>2096</v>
      </c>
      <c r="C80" s="14" t="s">
        <v>1996</v>
      </c>
      <c r="D80" s="14" t="s">
        <v>1997</v>
      </c>
      <c r="F80" s="14" t="s">
        <v>2021</v>
      </c>
      <c r="I80" s="14" t="s">
        <v>1042</v>
      </c>
      <c r="K80" s="14" t="s">
        <v>2022</v>
      </c>
      <c r="L80" s="14" t="s">
        <v>870</v>
      </c>
      <c r="M80" s="14" t="s">
        <v>2097</v>
      </c>
      <c r="N80" s="14">
        <v>1</v>
      </c>
      <c r="O80" s="14" t="s">
        <v>2009</v>
      </c>
      <c r="P80" s="14">
        <v>1</v>
      </c>
      <c r="Q80" s="14">
        <v>0.9</v>
      </c>
      <c r="R80" s="14" t="s">
        <v>988</v>
      </c>
      <c r="S80" s="14" t="s">
        <v>1657</v>
      </c>
      <c r="T80" s="14" t="s">
        <v>1658</v>
      </c>
      <c r="U80" s="14" t="s">
        <v>1659</v>
      </c>
      <c r="V80" s="14" t="s">
        <v>592</v>
      </c>
      <c r="AG80" s="14">
        <v>1</v>
      </c>
      <c r="AH80" s="14">
        <v>1</v>
      </c>
      <c r="AT80" s="14">
        <v>0</v>
      </c>
      <c r="AU80" s="14" t="s">
        <v>2022</v>
      </c>
    </row>
    <row r="81" spans="1:47">
      <c r="A81" s="14" t="s">
        <v>1994</v>
      </c>
      <c r="B81" s="14" t="s">
        <v>2098</v>
      </c>
      <c r="C81" s="14" t="s">
        <v>1996</v>
      </c>
      <c r="D81" s="14" t="s">
        <v>1997</v>
      </c>
      <c r="F81" s="14" t="s">
        <v>2026</v>
      </c>
      <c r="G81" s="14" t="s">
        <v>2027</v>
      </c>
      <c r="I81" s="14" t="s">
        <v>2099</v>
      </c>
      <c r="K81" s="14" t="s">
        <v>2100</v>
      </c>
      <c r="L81" s="14" t="s">
        <v>892</v>
      </c>
      <c r="M81" s="14" t="s">
        <v>2101</v>
      </c>
      <c r="N81" s="14">
        <v>1</v>
      </c>
      <c r="O81" s="14" t="s">
        <v>2009</v>
      </c>
      <c r="P81" s="14">
        <v>1</v>
      </c>
      <c r="Q81" s="14">
        <v>0.9</v>
      </c>
      <c r="R81" s="14" t="s">
        <v>872</v>
      </c>
      <c r="S81" s="14" t="s">
        <v>1657</v>
      </c>
      <c r="T81" s="14" t="s">
        <v>1658</v>
      </c>
      <c r="U81" s="14" t="s">
        <v>1659</v>
      </c>
      <c r="V81" s="14" t="s">
        <v>592</v>
      </c>
      <c r="AA81" s="14">
        <v>3</v>
      </c>
      <c r="AB81" s="14">
        <v>3</v>
      </c>
      <c r="AG81" s="14">
        <v>3</v>
      </c>
      <c r="AH81" s="14">
        <v>3</v>
      </c>
      <c r="AM81" s="14">
        <v>3</v>
      </c>
      <c r="AN81" s="14">
        <v>3</v>
      </c>
      <c r="AS81" s="14">
        <v>3</v>
      </c>
      <c r="AT81" s="14">
        <v>3</v>
      </c>
      <c r="AU81" s="14" t="s">
        <v>2102</v>
      </c>
    </row>
    <row r="82" spans="1:47">
      <c r="A82" s="14" t="s">
        <v>2103</v>
      </c>
      <c r="B82" s="14" t="s">
        <v>2104</v>
      </c>
      <c r="C82" s="14" t="s">
        <v>2105</v>
      </c>
      <c r="D82" s="14" t="s">
        <v>2106</v>
      </c>
      <c r="F82" s="14" t="s">
        <v>2107</v>
      </c>
      <c r="I82" s="14" t="s">
        <v>2108</v>
      </c>
      <c r="J82" s="14" t="s">
        <v>2109</v>
      </c>
      <c r="K82" s="14" t="s">
        <v>2110</v>
      </c>
      <c r="L82" s="14" t="s">
        <v>892</v>
      </c>
      <c r="M82" s="14" t="s">
        <v>2111</v>
      </c>
      <c r="N82" s="14">
        <v>1</v>
      </c>
      <c r="O82" s="14" t="s">
        <v>871</v>
      </c>
      <c r="P82" s="14">
        <v>0.35</v>
      </c>
      <c r="Q82" s="14">
        <v>0.9</v>
      </c>
      <c r="R82" s="14" t="s">
        <v>988</v>
      </c>
      <c r="S82" s="14" t="s">
        <v>1657</v>
      </c>
      <c r="T82" s="14" t="s">
        <v>1658</v>
      </c>
      <c r="U82" s="14" t="s">
        <v>1659</v>
      </c>
      <c r="V82" s="14" t="s">
        <v>592</v>
      </c>
      <c r="AG82" s="14">
        <v>32</v>
      </c>
      <c r="AH82" s="14">
        <v>142</v>
      </c>
      <c r="AS82" s="14">
        <v>29</v>
      </c>
      <c r="AT82" s="14">
        <v>1.35</v>
      </c>
      <c r="AU82" s="14" t="s">
        <v>2110</v>
      </c>
    </row>
    <row r="83" spans="1:47">
      <c r="A83" s="14" t="s">
        <v>2112</v>
      </c>
      <c r="B83" s="14" t="s">
        <v>1153</v>
      </c>
      <c r="C83" s="14" t="s">
        <v>2105</v>
      </c>
      <c r="D83" s="14" t="s">
        <v>2106</v>
      </c>
      <c r="F83" s="14" t="s">
        <v>1152</v>
      </c>
      <c r="I83" s="14" t="s">
        <v>1154</v>
      </c>
      <c r="K83" s="14" t="s">
        <v>2113</v>
      </c>
      <c r="L83" s="14" t="s">
        <v>892</v>
      </c>
      <c r="M83" s="14" t="s">
        <v>2114</v>
      </c>
      <c r="N83" s="14">
        <v>2</v>
      </c>
      <c r="O83" s="14" t="s">
        <v>1656</v>
      </c>
      <c r="P83" s="14">
        <v>1</v>
      </c>
      <c r="Q83" s="14">
        <v>0.9</v>
      </c>
      <c r="R83" s="14" t="s">
        <v>988</v>
      </c>
      <c r="S83" s="14" t="s">
        <v>1657</v>
      </c>
      <c r="T83" s="14" t="s">
        <v>1658</v>
      </c>
      <c r="U83" s="14" t="s">
        <v>1659</v>
      </c>
      <c r="V83" s="14" t="s">
        <v>152</v>
      </c>
      <c r="AG83" s="14">
        <v>9</v>
      </c>
      <c r="AH83" s="14">
        <v>9</v>
      </c>
      <c r="AS83" s="14">
        <v>6</v>
      </c>
      <c r="AT83" s="14">
        <v>6</v>
      </c>
      <c r="AU83" s="14" t="s">
        <v>2113</v>
      </c>
    </row>
    <row r="84" spans="1:47">
      <c r="A84" s="14" t="s">
        <v>2112</v>
      </c>
      <c r="B84" s="14" t="s">
        <v>1160</v>
      </c>
      <c r="C84" s="14" t="s">
        <v>2105</v>
      </c>
      <c r="D84" s="14" t="s">
        <v>2106</v>
      </c>
      <c r="F84" s="14" t="s">
        <v>1159</v>
      </c>
      <c r="I84" s="14" t="s">
        <v>1161</v>
      </c>
      <c r="K84" s="14" t="s">
        <v>2115</v>
      </c>
      <c r="L84" s="14" t="s">
        <v>892</v>
      </c>
      <c r="M84" s="14" t="s">
        <v>2116</v>
      </c>
      <c r="N84" s="14">
        <v>1</v>
      </c>
      <c r="O84" s="14" t="s">
        <v>1656</v>
      </c>
      <c r="P84" s="14">
        <v>1</v>
      </c>
      <c r="Q84" s="14">
        <v>0.9</v>
      </c>
      <c r="R84" s="14" t="s">
        <v>988</v>
      </c>
      <c r="S84" s="14" t="s">
        <v>1657</v>
      </c>
      <c r="T84" s="14" t="s">
        <v>1658</v>
      </c>
      <c r="U84" s="14" t="s">
        <v>1659</v>
      </c>
      <c r="V84" s="14" t="s">
        <v>152</v>
      </c>
      <c r="AG84" s="14">
        <v>7</v>
      </c>
      <c r="AH84" s="14">
        <v>7</v>
      </c>
      <c r="AS84" s="14">
        <v>8</v>
      </c>
      <c r="AT84" s="14">
        <v>8</v>
      </c>
      <c r="AU84" s="14" t="s">
        <v>2115</v>
      </c>
    </row>
    <row r="85" spans="1:47">
      <c r="A85" s="14" t="s">
        <v>2112</v>
      </c>
      <c r="B85" s="14" t="s">
        <v>1165</v>
      </c>
      <c r="C85" s="14" t="s">
        <v>2105</v>
      </c>
      <c r="D85" s="14" t="s">
        <v>2106</v>
      </c>
      <c r="F85" s="14" t="s">
        <v>2117</v>
      </c>
      <c r="I85" s="14" t="s">
        <v>2118</v>
      </c>
      <c r="J85" s="14" t="s">
        <v>2119</v>
      </c>
      <c r="K85" s="14" t="s">
        <v>2120</v>
      </c>
      <c r="L85" s="14" t="s">
        <v>892</v>
      </c>
      <c r="M85" s="14" t="s">
        <v>2121</v>
      </c>
      <c r="N85" s="14">
        <v>1</v>
      </c>
      <c r="O85" s="14" t="s">
        <v>871</v>
      </c>
      <c r="P85" s="14">
        <v>1</v>
      </c>
      <c r="Q85" s="14">
        <v>0.9</v>
      </c>
      <c r="R85" s="14" t="s">
        <v>872</v>
      </c>
      <c r="S85" s="14" t="s">
        <v>1657</v>
      </c>
      <c r="T85" s="14" t="s">
        <v>1658</v>
      </c>
      <c r="U85" s="14" t="s">
        <v>1659</v>
      </c>
      <c r="V85" s="14" t="s">
        <v>152</v>
      </c>
      <c r="AA85" s="14">
        <v>558</v>
      </c>
      <c r="AB85" s="14">
        <v>558</v>
      </c>
      <c r="AG85" s="14">
        <v>1162</v>
      </c>
      <c r="AH85" s="14">
        <v>1162</v>
      </c>
      <c r="AM85" s="14">
        <v>1732</v>
      </c>
      <c r="AN85" s="14">
        <v>1732</v>
      </c>
      <c r="AS85" s="14">
        <v>1285</v>
      </c>
      <c r="AT85" s="14">
        <v>1285</v>
      </c>
      <c r="AU85" s="14" t="s">
        <v>2120</v>
      </c>
    </row>
    <row r="86" spans="1:47">
      <c r="A86" s="14" t="s">
        <v>2112</v>
      </c>
      <c r="B86" s="14" t="s">
        <v>1168</v>
      </c>
      <c r="C86" s="14" t="s">
        <v>2105</v>
      </c>
      <c r="D86" s="14" t="s">
        <v>2106</v>
      </c>
      <c r="F86" s="14" t="s">
        <v>184</v>
      </c>
      <c r="I86" s="14" t="s">
        <v>2122</v>
      </c>
      <c r="J86" s="14" t="s">
        <v>2123</v>
      </c>
      <c r="K86" s="14" t="s">
        <v>2124</v>
      </c>
      <c r="L86" s="14" t="s">
        <v>892</v>
      </c>
      <c r="M86" s="14" t="s">
        <v>2125</v>
      </c>
      <c r="N86" s="14">
        <v>1</v>
      </c>
      <c r="O86" s="14" t="s">
        <v>871</v>
      </c>
      <c r="P86" s="14">
        <v>1</v>
      </c>
      <c r="Q86" s="14">
        <v>0.9</v>
      </c>
      <c r="R86" s="14" t="s">
        <v>872</v>
      </c>
      <c r="S86" s="14" t="s">
        <v>1657</v>
      </c>
      <c r="T86" s="14" t="s">
        <v>1658</v>
      </c>
      <c r="U86" s="14" t="s">
        <v>1659</v>
      </c>
      <c r="V86" s="14" t="s">
        <v>152</v>
      </c>
      <c r="AA86" s="14">
        <v>207</v>
      </c>
      <c r="AB86" s="14">
        <v>207</v>
      </c>
      <c r="AG86" s="14">
        <v>207</v>
      </c>
      <c r="AH86" s="14">
        <v>207</v>
      </c>
      <c r="AM86" s="14">
        <v>219</v>
      </c>
      <c r="AN86" s="14">
        <v>219</v>
      </c>
      <c r="AS86" s="14">
        <v>266</v>
      </c>
      <c r="AT86" s="14">
        <v>266</v>
      </c>
      <c r="AU86" s="14" t="s">
        <v>2124</v>
      </c>
    </row>
    <row r="87" spans="1:47">
      <c r="A87" s="14" t="s">
        <v>2112</v>
      </c>
      <c r="B87" s="14" t="s">
        <v>2126</v>
      </c>
      <c r="C87" s="14" t="s">
        <v>2105</v>
      </c>
      <c r="D87" s="14" t="s">
        <v>2106</v>
      </c>
      <c r="F87" s="14" t="s">
        <v>2127</v>
      </c>
      <c r="I87" s="14" t="s">
        <v>2128</v>
      </c>
      <c r="K87" s="14" t="s">
        <v>2129</v>
      </c>
      <c r="L87" s="14" t="s">
        <v>870</v>
      </c>
      <c r="M87" s="14" t="s">
        <v>2130</v>
      </c>
      <c r="N87" s="14">
        <v>2</v>
      </c>
      <c r="O87" s="14" t="s">
        <v>1656</v>
      </c>
      <c r="P87" s="14">
        <v>1</v>
      </c>
      <c r="Q87" s="14">
        <v>0.9</v>
      </c>
      <c r="R87" s="14" t="s">
        <v>988</v>
      </c>
      <c r="S87" s="14" t="s">
        <v>1657</v>
      </c>
      <c r="T87" s="14" t="s">
        <v>1658</v>
      </c>
      <c r="U87" s="14" t="s">
        <v>1659</v>
      </c>
      <c r="V87" s="14" t="s">
        <v>152</v>
      </c>
      <c r="AG87" s="14">
        <v>1</v>
      </c>
      <c r="AH87" s="14">
        <v>1</v>
      </c>
      <c r="AQ87" s="14">
        <v>4</v>
      </c>
      <c r="AR87" s="14">
        <v>4</v>
      </c>
      <c r="AU87" s="14" t="s">
        <v>2129</v>
      </c>
    </row>
    <row r="88" spans="1:47">
      <c r="A88" s="14" t="s">
        <v>2131</v>
      </c>
      <c r="B88" s="14" t="s">
        <v>2132</v>
      </c>
      <c r="C88" s="14" t="s">
        <v>2105</v>
      </c>
      <c r="D88" s="14" t="s">
        <v>2106</v>
      </c>
      <c r="F88" s="14" t="s">
        <v>2133</v>
      </c>
      <c r="I88" s="14" t="s">
        <v>2134</v>
      </c>
      <c r="K88" s="14" t="s">
        <v>2135</v>
      </c>
      <c r="L88" s="14" t="s">
        <v>892</v>
      </c>
      <c r="M88" s="14" t="s">
        <v>2136</v>
      </c>
      <c r="N88" s="14">
        <v>2</v>
      </c>
      <c r="O88" s="14" t="s">
        <v>1656</v>
      </c>
      <c r="P88" s="14">
        <v>1</v>
      </c>
      <c r="Q88" s="14">
        <v>0.9</v>
      </c>
      <c r="R88" s="14" t="s">
        <v>910</v>
      </c>
      <c r="S88" s="14" t="s">
        <v>1657</v>
      </c>
      <c r="T88" s="14" t="s">
        <v>1658</v>
      </c>
      <c r="U88" s="14" t="s">
        <v>1659</v>
      </c>
      <c r="V88" s="14" t="s">
        <v>152</v>
      </c>
      <c r="AA88" s="14">
        <v>335</v>
      </c>
      <c r="AB88" s="14">
        <v>330</v>
      </c>
      <c r="AG88" s="14">
        <v>347</v>
      </c>
      <c r="AH88" s="14">
        <v>330</v>
      </c>
      <c r="AM88" s="14">
        <v>313</v>
      </c>
      <c r="AN88" s="14">
        <v>335</v>
      </c>
      <c r="AU88" s="14" t="s">
        <v>2135</v>
      </c>
    </row>
    <row r="89" spans="1:47">
      <c r="A89" s="14" t="s">
        <v>2131</v>
      </c>
      <c r="B89" s="14" t="s">
        <v>2137</v>
      </c>
      <c r="C89" s="14" t="s">
        <v>2105</v>
      </c>
      <c r="D89" s="14" t="s">
        <v>2106</v>
      </c>
      <c r="F89" s="14" t="s">
        <v>2138</v>
      </c>
      <c r="I89" s="14" t="s">
        <v>2139</v>
      </c>
      <c r="K89" s="14" t="s">
        <v>2140</v>
      </c>
      <c r="L89" s="14" t="s">
        <v>892</v>
      </c>
      <c r="M89" s="14" t="s">
        <v>2141</v>
      </c>
      <c r="N89" s="14">
        <v>2</v>
      </c>
      <c r="O89" s="14" t="s">
        <v>1656</v>
      </c>
      <c r="P89" s="14">
        <v>1</v>
      </c>
      <c r="Q89" s="14">
        <v>0.9</v>
      </c>
      <c r="R89" s="14" t="s">
        <v>872</v>
      </c>
      <c r="S89" s="14" t="s">
        <v>1657</v>
      </c>
      <c r="T89" s="14" t="s">
        <v>1658</v>
      </c>
      <c r="U89" s="14" t="s">
        <v>1659</v>
      </c>
      <c r="V89" s="14" t="s">
        <v>152</v>
      </c>
      <c r="AA89" s="14">
        <v>309</v>
      </c>
      <c r="AB89" s="14">
        <v>283</v>
      </c>
      <c r="AG89" s="14">
        <v>345</v>
      </c>
      <c r="AH89" s="14">
        <v>283</v>
      </c>
      <c r="AM89" s="14">
        <v>297</v>
      </c>
      <c r="AN89" s="14">
        <v>283</v>
      </c>
      <c r="AS89" s="14">
        <v>222</v>
      </c>
      <c r="AT89" s="14">
        <v>151</v>
      </c>
      <c r="AU89" s="14" t="s">
        <v>2140</v>
      </c>
    </row>
    <row r="90" spans="1:47">
      <c r="A90" s="14" t="s">
        <v>2131</v>
      </c>
      <c r="B90" s="14" t="s">
        <v>2142</v>
      </c>
      <c r="C90" s="14" t="s">
        <v>2105</v>
      </c>
      <c r="D90" s="14" t="s">
        <v>2106</v>
      </c>
      <c r="F90" s="14" t="s">
        <v>2143</v>
      </c>
      <c r="I90" s="14" t="s">
        <v>2144</v>
      </c>
      <c r="J90" s="14" t="s">
        <v>2145</v>
      </c>
      <c r="K90" s="14" t="s">
        <v>2146</v>
      </c>
      <c r="L90" s="14" t="s">
        <v>892</v>
      </c>
      <c r="M90" s="14" t="s">
        <v>2147</v>
      </c>
      <c r="N90" s="14">
        <v>2</v>
      </c>
      <c r="O90" s="14" t="s">
        <v>871</v>
      </c>
      <c r="P90" s="14">
        <v>1</v>
      </c>
      <c r="Q90" s="14">
        <v>0.9</v>
      </c>
      <c r="R90" s="14" t="s">
        <v>988</v>
      </c>
      <c r="S90" s="14" t="s">
        <v>1657</v>
      </c>
      <c r="T90" s="14" t="s">
        <v>1658</v>
      </c>
      <c r="U90" s="14" t="s">
        <v>1659</v>
      </c>
      <c r="V90" s="14" t="s">
        <v>152</v>
      </c>
      <c r="AG90" s="14">
        <v>262</v>
      </c>
      <c r="AH90" s="14">
        <v>203</v>
      </c>
      <c r="AS90" s="14">
        <v>327</v>
      </c>
      <c r="AT90" s="14">
        <v>177</v>
      </c>
      <c r="AU90" s="14" t="s">
        <v>2146</v>
      </c>
    </row>
    <row r="91" spans="1:47">
      <c r="A91" s="14" t="s">
        <v>2131</v>
      </c>
      <c r="B91" s="14" t="s">
        <v>669</v>
      </c>
      <c r="C91" s="14" t="s">
        <v>2105</v>
      </c>
      <c r="D91" s="14" t="s">
        <v>2106</v>
      </c>
      <c r="F91" s="14" t="s">
        <v>668</v>
      </c>
      <c r="I91" s="14" t="s">
        <v>2148</v>
      </c>
      <c r="K91" s="14" t="s">
        <v>2149</v>
      </c>
      <c r="L91" s="14" t="s">
        <v>870</v>
      </c>
      <c r="M91" s="14" t="s">
        <v>2150</v>
      </c>
      <c r="N91" s="14">
        <v>1</v>
      </c>
      <c r="O91" s="14" t="s">
        <v>1656</v>
      </c>
      <c r="P91" s="14">
        <v>1</v>
      </c>
      <c r="Q91" s="14">
        <v>0.9</v>
      </c>
      <c r="R91" s="14" t="s">
        <v>988</v>
      </c>
      <c r="S91" s="14" t="s">
        <v>1657</v>
      </c>
      <c r="T91" s="14" t="s">
        <v>1658</v>
      </c>
      <c r="U91" s="14" t="s">
        <v>1659</v>
      </c>
      <c r="V91" s="14" t="s">
        <v>152</v>
      </c>
      <c r="AG91" s="14">
        <v>9</v>
      </c>
      <c r="AH91" s="14">
        <v>9</v>
      </c>
      <c r="AS91" s="14">
        <v>6</v>
      </c>
      <c r="AT91" s="14">
        <v>6</v>
      </c>
      <c r="AU91" s="14" t="s">
        <v>2149</v>
      </c>
    </row>
    <row r="92" spans="1:47">
      <c r="A92" s="14" t="s">
        <v>2131</v>
      </c>
      <c r="B92" s="14" t="s">
        <v>2151</v>
      </c>
      <c r="C92" s="14" t="s">
        <v>2105</v>
      </c>
      <c r="D92" s="14" t="s">
        <v>2106</v>
      </c>
      <c r="F92" s="14" t="s">
        <v>2152</v>
      </c>
      <c r="I92" s="14" t="s">
        <v>2153</v>
      </c>
      <c r="K92" s="14" t="s">
        <v>2154</v>
      </c>
      <c r="L92" s="14" t="s">
        <v>870</v>
      </c>
      <c r="M92" s="14" t="s">
        <v>2155</v>
      </c>
      <c r="N92" s="14">
        <v>2</v>
      </c>
      <c r="O92" s="14" t="s">
        <v>1656</v>
      </c>
      <c r="P92" s="14">
        <v>1</v>
      </c>
      <c r="Q92" s="14">
        <v>0.9</v>
      </c>
      <c r="R92" s="14" t="s">
        <v>910</v>
      </c>
      <c r="S92" s="14" t="s">
        <v>1657</v>
      </c>
      <c r="T92" s="14" t="s">
        <v>1658</v>
      </c>
      <c r="U92" s="14" t="s">
        <v>1659</v>
      </c>
      <c r="V92" s="14" t="s">
        <v>152</v>
      </c>
      <c r="AG92" s="14">
        <v>3</v>
      </c>
      <c r="AH92" s="14">
        <v>3</v>
      </c>
      <c r="AO92" s="14">
        <v>3</v>
      </c>
      <c r="AP92" s="14">
        <v>3</v>
      </c>
      <c r="AS92" s="14">
        <v>1</v>
      </c>
      <c r="AT92" s="14">
        <v>1</v>
      </c>
      <c r="AU92" s="14" t="s">
        <v>2154</v>
      </c>
    </row>
    <row r="93" spans="1:47">
      <c r="A93" s="14" t="s">
        <v>2131</v>
      </c>
      <c r="B93" s="14" t="s">
        <v>2156</v>
      </c>
      <c r="C93" s="14" t="s">
        <v>2105</v>
      </c>
      <c r="D93" s="14" t="s">
        <v>2106</v>
      </c>
      <c r="F93" s="14" t="s">
        <v>2157</v>
      </c>
      <c r="I93" s="14" t="s">
        <v>2158</v>
      </c>
      <c r="K93" s="14" t="s">
        <v>2159</v>
      </c>
      <c r="L93" s="14" t="s">
        <v>892</v>
      </c>
      <c r="M93" s="14" t="s">
        <v>2160</v>
      </c>
      <c r="N93" s="14">
        <v>2</v>
      </c>
      <c r="O93" s="14" t="s">
        <v>1656</v>
      </c>
      <c r="P93" s="14">
        <v>1</v>
      </c>
      <c r="Q93" s="14" t="s">
        <v>1713</v>
      </c>
      <c r="R93" s="14" t="s">
        <v>872</v>
      </c>
      <c r="S93" s="14" t="s">
        <v>1714</v>
      </c>
      <c r="T93" s="14" t="s">
        <v>1715</v>
      </c>
      <c r="U93" s="14" t="s">
        <v>1716</v>
      </c>
      <c r="V93" s="14" t="s">
        <v>152</v>
      </c>
      <c r="AA93" s="14">
        <v>310</v>
      </c>
      <c r="AB93" s="14">
        <v>310</v>
      </c>
      <c r="AG93" s="14">
        <v>380</v>
      </c>
      <c r="AH93" s="14">
        <v>380</v>
      </c>
      <c r="AM93" s="14">
        <v>381</v>
      </c>
      <c r="AN93" s="14">
        <v>381</v>
      </c>
      <c r="AS93" s="14">
        <v>329</v>
      </c>
      <c r="AT93" s="14">
        <v>329</v>
      </c>
      <c r="AU93" s="14" t="s">
        <v>2159</v>
      </c>
    </row>
    <row r="94" spans="1:47">
      <c r="A94" s="14" t="s">
        <v>2131</v>
      </c>
      <c r="B94" s="14" t="s">
        <v>2161</v>
      </c>
      <c r="C94" s="14" t="s">
        <v>2105</v>
      </c>
      <c r="D94" s="14" t="s">
        <v>2106</v>
      </c>
      <c r="F94" s="14" t="s">
        <v>2162</v>
      </c>
      <c r="I94" s="14" t="s">
        <v>2163</v>
      </c>
      <c r="K94" s="14" t="s">
        <v>2164</v>
      </c>
      <c r="L94" s="14" t="s">
        <v>892</v>
      </c>
      <c r="M94" s="14" t="s">
        <v>2165</v>
      </c>
      <c r="N94" s="14">
        <v>1</v>
      </c>
      <c r="O94" s="14" t="s">
        <v>1656</v>
      </c>
      <c r="P94" s="14">
        <v>1</v>
      </c>
      <c r="Q94" s="14" t="s">
        <v>1713</v>
      </c>
      <c r="R94" s="14" t="s">
        <v>872</v>
      </c>
      <c r="S94" s="14" t="s">
        <v>1714</v>
      </c>
      <c r="T94" s="14" t="s">
        <v>1715</v>
      </c>
      <c r="U94" s="14" t="s">
        <v>1716</v>
      </c>
      <c r="V94" s="14" t="s">
        <v>152</v>
      </c>
      <c r="AA94" s="14">
        <v>361</v>
      </c>
      <c r="AB94" s="14">
        <v>361</v>
      </c>
      <c r="AG94" s="14">
        <v>162</v>
      </c>
      <c r="AH94" s="14">
        <v>162</v>
      </c>
      <c r="AM94" s="14">
        <v>232</v>
      </c>
      <c r="AN94" s="14">
        <v>232</v>
      </c>
      <c r="AS94" s="14">
        <v>222</v>
      </c>
      <c r="AT94" s="14">
        <v>222</v>
      </c>
      <c r="AU94" s="14" t="s">
        <v>2164</v>
      </c>
    </row>
    <row r="95" spans="1:47">
      <c r="A95" s="14" t="s">
        <v>2131</v>
      </c>
      <c r="B95" s="14" t="s">
        <v>2166</v>
      </c>
      <c r="C95" s="14" t="s">
        <v>2105</v>
      </c>
      <c r="D95" s="14" t="s">
        <v>2106</v>
      </c>
      <c r="F95" s="14" t="s">
        <v>2167</v>
      </c>
      <c r="I95" s="14" t="s">
        <v>2168</v>
      </c>
      <c r="K95" s="14" t="s">
        <v>2169</v>
      </c>
      <c r="L95" s="14" t="s">
        <v>892</v>
      </c>
      <c r="M95" s="14" t="s">
        <v>2170</v>
      </c>
      <c r="N95" s="14">
        <v>1</v>
      </c>
      <c r="O95" s="14" t="s">
        <v>1656</v>
      </c>
      <c r="P95" s="14">
        <v>1</v>
      </c>
      <c r="Q95" s="14" t="s">
        <v>1713</v>
      </c>
      <c r="R95" s="14" t="s">
        <v>872</v>
      </c>
      <c r="S95" s="14" t="s">
        <v>1714</v>
      </c>
      <c r="T95" s="14" t="s">
        <v>1715</v>
      </c>
      <c r="U95" s="14" t="s">
        <v>1716</v>
      </c>
      <c r="V95" s="14" t="s">
        <v>152</v>
      </c>
      <c r="AA95" s="14">
        <v>785</v>
      </c>
      <c r="AB95" s="14">
        <v>785</v>
      </c>
      <c r="AG95" s="14">
        <v>840</v>
      </c>
      <c r="AH95" s="14">
        <v>840</v>
      </c>
      <c r="AM95" s="14">
        <v>673</v>
      </c>
      <c r="AN95" s="14">
        <v>673</v>
      </c>
      <c r="AS95" s="14">
        <v>453</v>
      </c>
      <c r="AT95" s="14">
        <v>453</v>
      </c>
      <c r="AU95" s="14" t="s">
        <v>2169</v>
      </c>
    </row>
    <row r="96" spans="1:47">
      <c r="A96" s="14" t="s">
        <v>1648</v>
      </c>
      <c r="B96" s="14" t="s">
        <v>2171</v>
      </c>
      <c r="C96" s="14" t="s">
        <v>1650</v>
      </c>
      <c r="D96" s="14" t="s">
        <v>1651</v>
      </c>
      <c r="F96" s="14" t="s">
        <v>2172</v>
      </c>
      <c r="I96" s="14" t="s">
        <v>2173</v>
      </c>
      <c r="K96" s="14" t="s">
        <v>2174</v>
      </c>
      <c r="L96" s="14" t="s">
        <v>870</v>
      </c>
      <c r="M96" s="14" t="s">
        <v>2175</v>
      </c>
      <c r="N96" s="14">
        <v>1</v>
      </c>
      <c r="O96" s="14" t="s">
        <v>1656</v>
      </c>
      <c r="P96" s="14">
        <v>1</v>
      </c>
      <c r="Q96" s="14">
        <v>0.9</v>
      </c>
      <c r="R96" s="14" t="s">
        <v>872</v>
      </c>
      <c r="S96" s="14" t="s">
        <v>1657</v>
      </c>
      <c r="T96" s="14" t="s">
        <v>1658</v>
      </c>
      <c r="U96" s="14" t="s">
        <v>1659</v>
      </c>
      <c r="V96" s="14" t="s">
        <v>874</v>
      </c>
      <c r="AA96" s="14">
        <v>221</v>
      </c>
      <c r="AB96" s="14">
        <v>218</v>
      </c>
      <c r="AG96" s="14">
        <v>253</v>
      </c>
      <c r="AH96" s="14">
        <v>247</v>
      </c>
      <c r="AM96" s="14">
        <v>219</v>
      </c>
      <c r="AN96" s="14">
        <v>247</v>
      </c>
      <c r="AS96" s="14">
        <v>212</v>
      </c>
      <c r="AT96" s="14">
        <v>186</v>
      </c>
      <c r="AU96" s="14" t="s">
        <v>2174</v>
      </c>
    </row>
    <row r="97" spans="1:47">
      <c r="A97" s="14" t="s">
        <v>1648</v>
      </c>
      <c r="B97" s="14" t="s">
        <v>2176</v>
      </c>
      <c r="C97" s="14" t="s">
        <v>1650</v>
      </c>
      <c r="D97" s="14" t="s">
        <v>1651</v>
      </c>
      <c r="F97" s="14" t="s">
        <v>2177</v>
      </c>
      <c r="I97" s="14" t="s">
        <v>2178</v>
      </c>
      <c r="J97" s="14" t="s">
        <v>2179</v>
      </c>
      <c r="K97" s="14" t="s">
        <v>2180</v>
      </c>
      <c r="L97" s="14" t="s">
        <v>884</v>
      </c>
      <c r="M97" s="14" t="s">
        <v>2181</v>
      </c>
      <c r="N97" s="14">
        <v>2</v>
      </c>
      <c r="O97" s="14" t="s">
        <v>871</v>
      </c>
      <c r="P97" s="14">
        <v>0.25</v>
      </c>
      <c r="Q97" s="14">
        <v>0.9</v>
      </c>
      <c r="R97" s="14" t="s">
        <v>910</v>
      </c>
      <c r="S97" s="14" t="s">
        <v>1657</v>
      </c>
      <c r="T97" s="14" t="s">
        <v>1658</v>
      </c>
      <c r="U97" s="14" t="s">
        <v>1659</v>
      </c>
      <c r="V97" s="14" t="s">
        <v>874</v>
      </c>
      <c r="AC97" s="14">
        <v>65</v>
      </c>
      <c r="AD97" s="14">
        <v>65</v>
      </c>
      <c r="AK97" s="14">
        <v>71</v>
      </c>
      <c r="AL97" s="14">
        <v>71</v>
      </c>
      <c r="AS97" s="14">
        <v>64</v>
      </c>
      <c r="AT97" s="14">
        <v>69</v>
      </c>
      <c r="AU97" s="14" t="s">
        <v>2180</v>
      </c>
    </row>
    <row r="98" spans="1:47">
      <c r="A98" s="14" t="s">
        <v>1648</v>
      </c>
      <c r="B98" s="14" t="s">
        <v>2182</v>
      </c>
      <c r="C98" s="14" t="s">
        <v>1650</v>
      </c>
      <c r="D98" s="14" t="s">
        <v>1651</v>
      </c>
      <c r="F98" s="14" t="s">
        <v>2183</v>
      </c>
      <c r="I98" s="14" t="s">
        <v>2184</v>
      </c>
      <c r="J98" s="14" t="s">
        <v>2185</v>
      </c>
      <c r="K98" s="14" t="s">
        <v>2186</v>
      </c>
      <c r="L98" s="14" t="s">
        <v>892</v>
      </c>
      <c r="M98" s="14" t="s">
        <v>2187</v>
      </c>
      <c r="N98" s="14">
        <v>2</v>
      </c>
      <c r="O98" s="14" t="s">
        <v>871</v>
      </c>
      <c r="P98" s="14">
        <v>1</v>
      </c>
      <c r="Q98" s="14">
        <v>0.9</v>
      </c>
      <c r="R98" s="14" t="s">
        <v>872</v>
      </c>
      <c r="S98" s="14" t="s">
        <v>1657</v>
      </c>
      <c r="T98" s="14" t="s">
        <v>1658</v>
      </c>
      <c r="U98" s="14" t="s">
        <v>1659</v>
      </c>
      <c r="V98" s="14" t="s">
        <v>874</v>
      </c>
      <c r="AA98" s="14">
        <v>14</v>
      </c>
      <c r="AB98" s="14">
        <v>14</v>
      </c>
      <c r="AG98" s="14">
        <v>18</v>
      </c>
      <c r="AH98" s="14">
        <v>18</v>
      </c>
      <c r="AM98" s="14">
        <v>5</v>
      </c>
      <c r="AN98" s="14">
        <v>5</v>
      </c>
      <c r="AS98" s="14">
        <v>32</v>
      </c>
      <c r="AT98" s="14">
        <v>32</v>
      </c>
      <c r="AU98" s="14" t="s">
        <v>2186</v>
      </c>
    </row>
    <row r="99" spans="1:47">
      <c r="A99" s="14" t="s">
        <v>1676</v>
      </c>
      <c r="B99" s="14" t="s">
        <v>2188</v>
      </c>
      <c r="C99" s="14" t="s">
        <v>1678</v>
      </c>
      <c r="D99" s="14" t="s">
        <v>1679</v>
      </c>
      <c r="E99" s="14" t="s">
        <v>1680</v>
      </c>
      <c r="F99" s="14" t="s">
        <v>2189</v>
      </c>
      <c r="I99" s="14" t="s">
        <v>2190</v>
      </c>
      <c r="J99" s="14" t="s">
        <v>2191</v>
      </c>
      <c r="K99" s="14" t="s">
        <v>2192</v>
      </c>
      <c r="L99" s="14" t="s">
        <v>892</v>
      </c>
      <c r="M99" s="14" t="s">
        <v>2193</v>
      </c>
      <c r="N99" s="14">
        <v>1</v>
      </c>
      <c r="O99" s="14" t="s">
        <v>871</v>
      </c>
      <c r="P99" s="14">
        <v>1</v>
      </c>
      <c r="Q99" s="14">
        <v>0.9</v>
      </c>
      <c r="R99" s="14" t="s">
        <v>872</v>
      </c>
      <c r="S99" s="14" t="s">
        <v>1657</v>
      </c>
      <c r="T99" s="14" t="s">
        <v>1658</v>
      </c>
      <c r="U99" s="14" t="s">
        <v>1659</v>
      </c>
      <c r="V99" s="14" t="s">
        <v>271</v>
      </c>
      <c r="AA99" s="14">
        <v>8</v>
      </c>
      <c r="AB99" s="14">
        <v>8</v>
      </c>
      <c r="AG99" s="14">
        <v>8</v>
      </c>
      <c r="AH99" s="14">
        <v>8</v>
      </c>
      <c r="AM99" s="14">
        <v>248</v>
      </c>
      <c r="AN99" s="14">
        <v>248</v>
      </c>
      <c r="AS99" s="14">
        <v>76</v>
      </c>
      <c r="AT99" s="14">
        <v>76</v>
      </c>
      <c r="AU99" s="14" t="s">
        <v>2192</v>
      </c>
    </row>
    <row r="100" spans="1:47">
      <c r="A100" s="14" t="s">
        <v>2194</v>
      </c>
      <c r="B100" s="14" t="s">
        <v>2195</v>
      </c>
      <c r="C100" s="14" t="s">
        <v>2196</v>
      </c>
      <c r="D100" s="14" t="s">
        <v>2197</v>
      </c>
      <c r="F100" s="14" t="s">
        <v>2198</v>
      </c>
      <c r="I100" s="14" t="s">
        <v>2199</v>
      </c>
      <c r="K100" s="14" t="s">
        <v>2200</v>
      </c>
      <c r="L100" s="14" t="s">
        <v>870</v>
      </c>
      <c r="M100" s="14" t="s">
        <v>2201</v>
      </c>
      <c r="N100" s="14">
        <v>2</v>
      </c>
      <c r="O100" s="14" t="s">
        <v>1656</v>
      </c>
      <c r="P100" s="14">
        <v>1</v>
      </c>
      <c r="Q100" s="14">
        <v>0.9</v>
      </c>
      <c r="R100" s="14" t="s">
        <v>910</v>
      </c>
      <c r="S100" s="14" t="s">
        <v>1657</v>
      </c>
      <c r="T100" s="14" t="s">
        <v>1658</v>
      </c>
      <c r="U100" s="14" t="s">
        <v>1659</v>
      </c>
      <c r="V100" s="14" t="s">
        <v>607</v>
      </c>
      <c r="W100" s="14">
        <v>1</v>
      </c>
      <c r="X100" s="14">
        <v>1</v>
      </c>
      <c r="AA100" s="14">
        <v>1</v>
      </c>
      <c r="AB100" s="14">
        <v>1</v>
      </c>
      <c r="AS100" s="14">
        <v>1</v>
      </c>
      <c r="AT100" s="14">
        <v>1</v>
      </c>
      <c r="AU100" s="14" t="s">
        <v>2200</v>
      </c>
    </row>
    <row r="101" spans="1:47">
      <c r="A101" s="14" t="s">
        <v>2194</v>
      </c>
      <c r="B101" s="14" t="s">
        <v>2202</v>
      </c>
      <c r="C101" s="14" t="s">
        <v>2196</v>
      </c>
      <c r="D101" s="14" t="s">
        <v>2197</v>
      </c>
      <c r="F101" s="14" t="s">
        <v>2203</v>
      </c>
      <c r="I101" s="14" t="s">
        <v>2204</v>
      </c>
      <c r="K101" s="14" t="s">
        <v>2205</v>
      </c>
      <c r="L101" s="14" t="s">
        <v>892</v>
      </c>
      <c r="M101" s="14" t="s">
        <v>2206</v>
      </c>
      <c r="N101" s="14">
        <v>1</v>
      </c>
      <c r="O101" s="14" t="s">
        <v>1656</v>
      </c>
      <c r="P101" s="14">
        <v>1</v>
      </c>
      <c r="Q101" s="14">
        <v>0.9</v>
      </c>
      <c r="R101" s="14" t="s">
        <v>872</v>
      </c>
      <c r="S101" s="14" t="s">
        <v>1657</v>
      </c>
      <c r="T101" s="14" t="s">
        <v>1658</v>
      </c>
      <c r="U101" s="14" t="s">
        <v>1659</v>
      </c>
      <c r="V101" s="14" t="s">
        <v>607</v>
      </c>
      <c r="Y101" s="14">
        <v>10</v>
      </c>
      <c r="Z101" s="14">
        <v>10</v>
      </c>
      <c r="AC101" s="14">
        <v>10</v>
      </c>
      <c r="AD101" s="14">
        <v>10</v>
      </c>
      <c r="AI101" s="14">
        <v>10</v>
      </c>
      <c r="AJ101" s="14">
        <v>10</v>
      </c>
      <c r="AO101" s="14">
        <v>10</v>
      </c>
      <c r="AP101" s="14">
        <v>10</v>
      </c>
      <c r="AU101" s="14" t="s">
        <v>2205</v>
      </c>
    </row>
    <row r="102" spans="1:47">
      <c r="A102" s="14" t="s">
        <v>2194</v>
      </c>
      <c r="B102" s="14" t="s">
        <v>2207</v>
      </c>
      <c r="C102" s="14" t="s">
        <v>2196</v>
      </c>
      <c r="D102" s="14" t="s">
        <v>2197</v>
      </c>
      <c r="F102" s="14" t="s">
        <v>2208</v>
      </c>
      <c r="I102" s="14" t="s">
        <v>2209</v>
      </c>
      <c r="K102" s="14" t="s">
        <v>2210</v>
      </c>
      <c r="L102" s="14" t="s">
        <v>892</v>
      </c>
      <c r="M102" s="14" t="s">
        <v>2211</v>
      </c>
      <c r="N102" s="14">
        <v>2</v>
      </c>
      <c r="O102" s="14" t="s">
        <v>1656</v>
      </c>
      <c r="P102" s="14">
        <v>1</v>
      </c>
      <c r="Q102" s="14">
        <v>0.9</v>
      </c>
      <c r="R102" s="14" t="s">
        <v>872</v>
      </c>
      <c r="S102" s="14" t="s">
        <v>1657</v>
      </c>
      <c r="T102" s="14" t="s">
        <v>1658</v>
      </c>
      <c r="U102" s="14" t="s">
        <v>1659</v>
      </c>
      <c r="V102" s="14" t="s">
        <v>607</v>
      </c>
      <c r="AA102" s="14">
        <v>4</v>
      </c>
      <c r="AB102" s="14">
        <v>4</v>
      </c>
      <c r="AG102" s="14">
        <v>4</v>
      </c>
      <c r="AH102" s="14">
        <v>4</v>
      </c>
      <c r="AM102" s="14">
        <v>5</v>
      </c>
      <c r="AN102" s="14">
        <v>5</v>
      </c>
      <c r="AS102" s="14">
        <v>5</v>
      </c>
      <c r="AT102" s="14">
        <v>5</v>
      </c>
      <c r="AU102" s="14" t="s">
        <v>2210</v>
      </c>
    </row>
    <row r="103" spans="1:47">
      <c r="A103" s="14" t="s">
        <v>2194</v>
      </c>
      <c r="B103" s="14" t="s">
        <v>2212</v>
      </c>
      <c r="C103" s="14" t="s">
        <v>2196</v>
      </c>
      <c r="D103" s="14" t="s">
        <v>2197</v>
      </c>
      <c r="F103" s="14" t="s">
        <v>2213</v>
      </c>
      <c r="I103" s="14" t="s">
        <v>2214</v>
      </c>
      <c r="K103" s="14" t="s">
        <v>2215</v>
      </c>
      <c r="L103" s="14" t="s">
        <v>892</v>
      </c>
      <c r="M103" s="14" t="s">
        <v>2216</v>
      </c>
      <c r="N103" s="14">
        <v>1</v>
      </c>
      <c r="O103" s="14" t="s">
        <v>1656</v>
      </c>
      <c r="P103" s="14">
        <v>1</v>
      </c>
      <c r="Q103" s="14">
        <v>0.9</v>
      </c>
      <c r="R103" s="14" t="s">
        <v>872</v>
      </c>
      <c r="S103" s="14" t="s">
        <v>1657</v>
      </c>
      <c r="T103" s="14" t="s">
        <v>1658</v>
      </c>
      <c r="U103" s="14" t="s">
        <v>1659</v>
      </c>
      <c r="V103" s="14" t="s">
        <v>607</v>
      </c>
      <c r="AA103" s="14">
        <v>2</v>
      </c>
      <c r="AB103" s="14">
        <v>2</v>
      </c>
      <c r="AG103" s="14">
        <v>1</v>
      </c>
      <c r="AH103" s="14">
        <v>1</v>
      </c>
      <c r="AM103" s="14">
        <v>2</v>
      </c>
      <c r="AN103" s="14">
        <v>2</v>
      </c>
      <c r="AS103" s="14">
        <v>5</v>
      </c>
      <c r="AT103" s="14">
        <v>5</v>
      </c>
      <c r="AU103" s="14" t="s">
        <v>2215</v>
      </c>
    </row>
    <row r="104" spans="1:47">
      <c r="A104" s="14" t="s">
        <v>2194</v>
      </c>
      <c r="B104" s="14" t="s">
        <v>2217</v>
      </c>
      <c r="C104" s="14" t="s">
        <v>2196</v>
      </c>
      <c r="D104" s="14" t="s">
        <v>2197</v>
      </c>
      <c r="F104" s="14" t="s">
        <v>2218</v>
      </c>
      <c r="I104" s="14" t="s">
        <v>2219</v>
      </c>
      <c r="K104" s="14" t="s">
        <v>2220</v>
      </c>
      <c r="L104" s="14" t="s">
        <v>892</v>
      </c>
      <c r="M104" s="14" t="s">
        <v>2221</v>
      </c>
      <c r="N104" s="14">
        <v>1</v>
      </c>
      <c r="O104" s="14" t="s">
        <v>1656</v>
      </c>
      <c r="P104" s="14">
        <v>1</v>
      </c>
      <c r="Q104" s="14">
        <v>0.9</v>
      </c>
      <c r="R104" s="14" t="s">
        <v>988</v>
      </c>
      <c r="S104" s="14" t="s">
        <v>1657</v>
      </c>
      <c r="T104" s="14" t="s">
        <v>1658</v>
      </c>
      <c r="U104" s="14" t="s">
        <v>1659</v>
      </c>
      <c r="V104" s="14" t="s">
        <v>607</v>
      </c>
      <c r="AG104" s="14">
        <v>10</v>
      </c>
      <c r="AH104" s="14">
        <v>10</v>
      </c>
      <c r="AS104" s="14">
        <v>10</v>
      </c>
      <c r="AT104" s="14">
        <v>10</v>
      </c>
      <c r="AU104" s="14" t="s">
        <v>2220</v>
      </c>
    </row>
    <row r="105" spans="1:47">
      <c r="A105" s="14" t="s">
        <v>2222</v>
      </c>
      <c r="B105" s="14" t="s">
        <v>2223</v>
      </c>
      <c r="C105" s="14" t="s">
        <v>2224</v>
      </c>
      <c r="D105" s="14" t="s">
        <v>2225</v>
      </c>
      <c r="F105" s="14" t="s">
        <v>2226</v>
      </c>
      <c r="I105" s="14" t="s">
        <v>2227</v>
      </c>
      <c r="K105" s="14" t="s">
        <v>2228</v>
      </c>
      <c r="L105" s="14" t="s">
        <v>892</v>
      </c>
      <c r="M105" s="14" t="s">
        <v>2229</v>
      </c>
      <c r="N105" s="14">
        <v>2</v>
      </c>
      <c r="O105" s="14" t="s">
        <v>1656</v>
      </c>
      <c r="P105" s="14">
        <v>1</v>
      </c>
      <c r="Q105" s="14">
        <v>0.9</v>
      </c>
      <c r="R105" s="14" t="s">
        <v>872</v>
      </c>
      <c r="S105" s="14" t="s">
        <v>1657</v>
      </c>
      <c r="T105" s="14" t="s">
        <v>1658</v>
      </c>
      <c r="U105" s="14" t="s">
        <v>1659</v>
      </c>
      <c r="V105" s="14" t="s">
        <v>607</v>
      </c>
      <c r="AA105" s="14">
        <v>2</v>
      </c>
      <c r="AB105" s="14">
        <v>2</v>
      </c>
      <c r="AG105" s="14">
        <v>7</v>
      </c>
      <c r="AH105" s="14">
        <v>7</v>
      </c>
      <c r="AM105" s="14">
        <v>4</v>
      </c>
      <c r="AN105" s="14">
        <v>4</v>
      </c>
      <c r="AS105" s="14">
        <v>13</v>
      </c>
      <c r="AT105" s="14">
        <v>13</v>
      </c>
      <c r="AU105" s="14" t="s">
        <v>2228</v>
      </c>
    </row>
    <row r="106" spans="1:47">
      <c r="A106" s="14" t="s">
        <v>2222</v>
      </c>
      <c r="B106" s="14" t="s">
        <v>2230</v>
      </c>
      <c r="C106" s="14" t="s">
        <v>2224</v>
      </c>
      <c r="D106" s="14" t="s">
        <v>2225</v>
      </c>
      <c r="F106" s="14" t="s">
        <v>2231</v>
      </c>
      <c r="I106" s="14" t="s">
        <v>2232</v>
      </c>
      <c r="K106" s="14" t="s">
        <v>2233</v>
      </c>
      <c r="L106" s="14" t="s">
        <v>892</v>
      </c>
      <c r="M106" s="14" t="s">
        <v>2234</v>
      </c>
      <c r="N106" s="14">
        <v>2</v>
      </c>
      <c r="O106" s="14" t="s">
        <v>1656</v>
      </c>
      <c r="P106" s="14">
        <v>1</v>
      </c>
      <c r="Q106" s="14">
        <v>0.9</v>
      </c>
      <c r="R106" s="14" t="s">
        <v>872</v>
      </c>
      <c r="S106" s="14" t="s">
        <v>1657</v>
      </c>
      <c r="T106" s="14" t="s">
        <v>1658</v>
      </c>
      <c r="U106" s="14" t="s">
        <v>1659</v>
      </c>
      <c r="V106" s="14" t="s">
        <v>607</v>
      </c>
      <c r="AA106" s="14">
        <v>2</v>
      </c>
      <c r="AB106" s="14">
        <v>2</v>
      </c>
      <c r="AG106" s="14">
        <v>8</v>
      </c>
      <c r="AH106" s="14">
        <v>8</v>
      </c>
      <c r="AM106" s="14">
        <v>6</v>
      </c>
      <c r="AN106" s="14">
        <v>6</v>
      </c>
      <c r="AS106" s="14">
        <v>4</v>
      </c>
      <c r="AT106" s="14">
        <v>4</v>
      </c>
      <c r="AU106" s="14" t="s">
        <v>2233</v>
      </c>
    </row>
    <row r="107" spans="1:47">
      <c r="A107" s="14" t="s">
        <v>2222</v>
      </c>
      <c r="B107" s="14" t="s">
        <v>2235</v>
      </c>
      <c r="C107" s="14" t="s">
        <v>2224</v>
      </c>
      <c r="D107" s="14" t="s">
        <v>2225</v>
      </c>
      <c r="F107" s="14" t="s">
        <v>2236</v>
      </c>
      <c r="I107" s="14" t="s">
        <v>2237</v>
      </c>
      <c r="K107" s="14" t="s">
        <v>2238</v>
      </c>
      <c r="L107" s="14" t="s">
        <v>892</v>
      </c>
      <c r="M107" s="14" t="s">
        <v>2239</v>
      </c>
      <c r="N107" s="14">
        <v>1</v>
      </c>
      <c r="O107" s="14" t="s">
        <v>1656</v>
      </c>
      <c r="P107" s="14">
        <v>1</v>
      </c>
      <c r="Q107" s="14">
        <v>0.9</v>
      </c>
      <c r="R107" s="14" t="s">
        <v>872</v>
      </c>
      <c r="S107" s="14" t="s">
        <v>1657</v>
      </c>
      <c r="T107" s="14" t="s">
        <v>1658</v>
      </c>
      <c r="U107" s="14" t="s">
        <v>1659</v>
      </c>
      <c r="V107" s="14" t="s">
        <v>607</v>
      </c>
      <c r="AA107" s="14">
        <v>13</v>
      </c>
      <c r="AB107" s="14">
        <v>13</v>
      </c>
      <c r="AG107" s="14">
        <v>29</v>
      </c>
      <c r="AH107" s="14">
        <v>29</v>
      </c>
      <c r="AM107" s="14">
        <v>16</v>
      </c>
      <c r="AN107" s="14">
        <v>16</v>
      </c>
      <c r="AS107" s="14">
        <v>23</v>
      </c>
      <c r="AT107" s="14">
        <v>23</v>
      </c>
      <c r="AU107" s="14" t="s">
        <v>2238</v>
      </c>
    </row>
    <row r="108" spans="1:47">
      <c r="A108" s="14" t="s">
        <v>2222</v>
      </c>
      <c r="B108" s="14" t="s">
        <v>2240</v>
      </c>
      <c r="C108" s="14" t="s">
        <v>2224</v>
      </c>
      <c r="D108" s="14" t="s">
        <v>2225</v>
      </c>
      <c r="F108" s="14" t="s">
        <v>2241</v>
      </c>
      <c r="I108" s="14" t="s">
        <v>2242</v>
      </c>
      <c r="K108" s="14" t="s">
        <v>2243</v>
      </c>
      <c r="L108" s="14" t="s">
        <v>892</v>
      </c>
      <c r="M108" s="14" t="s">
        <v>2244</v>
      </c>
      <c r="N108" s="14">
        <v>2</v>
      </c>
      <c r="O108" s="14" t="s">
        <v>1656</v>
      </c>
      <c r="P108" s="14">
        <v>1</v>
      </c>
      <c r="Q108" s="14">
        <v>0.9</v>
      </c>
      <c r="R108" s="14" t="s">
        <v>872</v>
      </c>
      <c r="S108" s="14" t="s">
        <v>1657</v>
      </c>
      <c r="T108" s="14" t="s">
        <v>1658</v>
      </c>
      <c r="U108" s="14" t="s">
        <v>1659</v>
      </c>
      <c r="V108" s="14" t="s">
        <v>607</v>
      </c>
      <c r="AA108" s="14">
        <v>8</v>
      </c>
      <c r="AB108" s="14">
        <v>8</v>
      </c>
      <c r="AG108" s="14">
        <v>14</v>
      </c>
      <c r="AH108" s="14">
        <v>14</v>
      </c>
      <c r="AM108" s="14">
        <v>8</v>
      </c>
      <c r="AN108" s="14">
        <v>8</v>
      </c>
      <c r="AS108" s="14">
        <v>18</v>
      </c>
      <c r="AT108" s="14">
        <v>18</v>
      </c>
      <c r="AU108" s="14" t="s">
        <v>2243</v>
      </c>
    </row>
    <row r="109" spans="1:47">
      <c r="A109" s="14" t="s">
        <v>2222</v>
      </c>
      <c r="B109" s="14" t="s">
        <v>2245</v>
      </c>
      <c r="C109" s="14" t="s">
        <v>2224</v>
      </c>
      <c r="D109" s="14" t="s">
        <v>2225</v>
      </c>
      <c r="F109" s="14" t="s">
        <v>2246</v>
      </c>
      <c r="I109" s="14" t="s">
        <v>2247</v>
      </c>
      <c r="K109" s="14" t="s">
        <v>2248</v>
      </c>
      <c r="L109" s="14" t="s">
        <v>892</v>
      </c>
      <c r="M109" s="14" t="s">
        <v>2249</v>
      </c>
      <c r="N109" s="14">
        <v>2</v>
      </c>
      <c r="O109" s="14" t="s">
        <v>1656</v>
      </c>
      <c r="P109" s="14">
        <v>1</v>
      </c>
      <c r="Q109" s="14">
        <v>0.9</v>
      </c>
      <c r="R109" s="14" t="s">
        <v>872</v>
      </c>
      <c r="S109" s="14" t="s">
        <v>1657</v>
      </c>
      <c r="T109" s="14" t="s">
        <v>1658</v>
      </c>
      <c r="U109" s="14" t="s">
        <v>1659</v>
      </c>
      <c r="V109" s="14" t="s">
        <v>607</v>
      </c>
      <c r="AA109" s="14">
        <v>7</v>
      </c>
      <c r="AB109" s="14">
        <v>7</v>
      </c>
      <c r="AG109" s="14">
        <v>5</v>
      </c>
      <c r="AH109" s="14">
        <v>5</v>
      </c>
      <c r="AM109" s="14">
        <v>8</v>
      </c>
      <c r="AN109" s="14">
        <v>8</v>
      </c>
      <c r="AS109" s="14">
        <v>20</v>
      </c>
      <c r="AT109" s="14">
        <v>20</v>
      </c>
      <c r="AU109" s="14" t="s">
        <v>2248</v>
      </c>
    </row>
    <row r="110" spans="1:47">
      <c r="A110" s="14" t="s">
        <v>2222</v>
      </c>
      <c r="B110" s="14" t="s">
        <v>2250</v>
      </c>
      <c r="C110" s="14" t="s">
        <v>2224</v>
      </c>
      <c r="D110" s="14" t="s">
        <v>2225</v>
      </c>
      <c r="F110" s="14" t="s">
        <v>2251</v>
      </c>
      <c r="I110" s="14" t="s">
        <v>2252</v>
      </c>
      <c r="K110" s="14" t="s">
        <v>2253</v>
      </c>
      <c r="L110" s="14" t="s">
        <v>892</v>
      </c>
      <c r="M110" s="14" t="s">
        <v>2254</v>
      </c>
      <c r="N110" s="14">
        <v>2</v>
      </c>
      <c r="O110" s="14" t="s">
        <v>1656</v>
      </c>
      <c r="P110" s="14">
        <v>1</v>
      </c>
      <c r="Q110" s="14">
        <v>0.9</v>
      </c>
      <c r="R110" s="14" t="s">
        <v>872</v>
      </c>
      <c r="S110" s="14" t="s">
        <v>1657</v>
      </c>
      <c r="T110" s="14" t="s">
        <v>1658</v>
      </c>
      <c r="U110" s="14" t="s">
        <v>1659</v>
      </c>
      <c r="V110" s="14" t="s">
        <v>607</v>
      </c>
      <c r="AA110" s="14">
        <v>2</v>
      </c>
      <c r="AB110" s="14">
        <v>2</v>
      </c>
      <c r="AG110" s="14">
        <v>4</v>
      </c>
      <c r="AH110" s="14">
        <v>4</v>
      </c>
      <c r="AM110" s="14">
        <v>3</v>
      </c>
      <c r="AN110" s="14">
        <v>3</v>
      </c>
      <c r="AS110" s="14">
        <v>4</v>
      </c>
      <c r="AT110" s="14">
        <v>4</v>
      </c>
      <c r="AU110" s="14" t="s">
        <v>2253</v>
      </c>
    </row>
    <row r="111" spans="1:47">
      <c r="A111" s="14" t="s">
        <v>2222</v>
      </c>
      <c r="B111" s="14" t="s">
        <v>2255</v>
      </c>
      <c r="C111" s="14" t="s">
        <v>2224</v>
      </c>
      <c r="D111" s="14" t="s">
        <v>2225</v>
      </c>
      <c r="F111" s="14" t="s">
        <v>2256</v>
      </c>
      <c r="I111" s="14" t="s">
        <v>2257</v>
      </c>
      <c r="K111" s="14" t="s">
        <v>2258</v>
      </c>
      <c r="L111" s="14" t="s">
        <v>892</v>
      </c>
      <c r="M111" s="14" t="s">
        <v>2259</v>
      </c>
      <c r="N111" s="14">
        <v>1</v>
      </c>
      <c r="O111" s="14" t="s">
        <v>1656</v>
      </c>
      <c r="P111" s="14">
        <v>1</v>
      </c>
      <c r="Q111" s="14">
        <v>0.9</v>
      </c>
      <c r="R111" s="14" t="s">
        <v>910</v>
      </c>
      <c r="S111" s="14" t="s">
        <v>1657</v>
      </c>
      <c r="T111" s="14" t="s">
        <v>1658</v>
      </c>
      <c r="U111" s="14" t="s">
        <v>1659</v>
      </c>
      <c r="V111" s="14" t="s">
        <v>607</v>
      </c>
      <c r="AG111" s="14">
        <v>6</v>
      </c>
      <c r="AH111" s="14">
        <v>6</v>
      </c>
      <c r="AM111" s="14">
        <v>3</v>
      </c>
      <c r="AN111" s="14">
        <v>3</v>
      </c>
      <c r="AS111" s="14">
        <v>8</v>
      </c>
      <c r="AT111" s="14">
        <v>8</v>
      </c>
      <c r="AU111" s="14" t="s">
        <v>2258</v>
      </c>
    </row>
    <row r="112" spans="1:47">
      <c r="A112" s="14" t="s">
        <v>2260</v>
      </c>
      <c r="B112" s="14" t="s">
        <v>2261</v>
      </c>
      <c r="C112" s="14" t="s">
        <v>2262</v>
      </c>
      <c r="D112" s="14" t="s">
        <v>2263</v>
      </c>
      <c r="F112" s="14" t="s">
        <v>2264</v>
      </c>
      <c r="I112" s="14" t="s">
        <v>2265</v>
      </c>
      <c r="K112" s="14" t="s">
        <v>2266</v>
      </c>
      <c r="L112" s="14" t="s">
        <v>892</v>
      </c>
      <c r="M112" s="14" t="s">
        <v>2267</v>
      </c>
      <c r="N112" s="14">
        <v>2</v>
      </c>
      <c r="O112" s="14" t="s">
        <v>1656</v>
      </c>
      <c r="P112" s="14">
        <v>1</v>
      </c>
      <c r="Q112" s="14">
        <v>0.9</v>
      </c>
      <c r="R112" s="14" t="s">
        <v>914</v>
      </c>
      <c r="S112" s="14" t="s">
        <v>1657</v>
      </c>
      <c r="T112" s="14" t="s">
        <v>1658</v>
      </c>
      <c r="U112" s="14" t="s">
        <v>1659</v>
      </c>
      <c r="V112" s="14" t="s">
        <v>607</v>
      </c>
      <c r="Y112" s="14">
        <v>1</v>
      </c>
      <c r="Z112" s="14">
        <v>1</v>
      </c>
      <c r="AA112" s="14">
        <v>1</v>
      </c>
      <c r="AB112" s="14">
        <v>1</v>
      </c>
      <c r="AC112" s="14">
        <v>2</v>
      </c>
      <c r="AD112" s="14">
        <v>2</v>
      </c>
      <c r="AE112" s="14">
        <v>1</v>
      </c>
      <c r="AF112" s="14">
        <v>1</v>
      </c>
      <c r="AG112" s="14">
        <v>1</v>
      </c>
      <c r="AH112" s="14">
        <v>1</v>
      </c>
      <c r="AI112" s="14">
        <v>2</v>
      </c>
      <c r="AJ112" s="14">
        <v>2</v>
      </c>
      <c r="AK112" s="14">
        <v>1</v>
      </c>
      <c r="AL112" s="14">
        <v>1</v>
      </c>
      <c r="AM112" s="14">
        <v>1</v>
      </c>
      <c r="AN112" s="14">
        <v>1</v>
      </c>
      <c r="AO112" s="14">
        <v>1</v>
      </c>
      <c r="AP112" s="14">
        <v>2</v>
      </c>
      <c r="AQ112" s="14">
        <v>2</v>
      </c>
      <c r="AR112" s="14">
        <v>1</v>
      </c>
      <c r="AS112" s="14">
        <v>1</v>
      </c>
      <c r="AT112" s="14">
        <v>1</v>
      </c>
      <c r="AU112" s="14" t="s">
        <v>2266</v>
      </c>
    </row>
    <row r="113" spans="1:47">
      <c r="A113" s="14" t="s">
        <v>2260</v>
      </c>
      <c r="B113" s="14" t="s">
        <v>2268</v>
      </c>
      <c r="C113" s="14" t="s">
        <v>2262</v>
      </c>
      <c r="D113" s="14" t="s">
        <v>2263</v>
      </c>
      <c r="F113" s="14" t="s">
        <v>2269</v>
      </c>
      <c r="I113" s="14" t="s">
        <v>2270</v>
      </c>
      <c r="J113" s="14" t="s">
        <v>2271</v>
      </c>
      <c r="K113" s="14" t="s">
        <v>2272</v>
      </c>
      <c r="L113" s="14" t="s">
        <v>884</v>
      </c>
      <c r="M113" s="14" t="s">
        <v>2273</v>
      </c>
      <c r="N113" s="14">
        <v>1</v>
      </c>
      <c r="O113" s="14" t="s">
        <v>871</v>
      </c>
      <c r="P113" s="14">
        <v>0.99</v>
      </c>
      <c r="Q113" s="14">
        <v>0.9</v>
      </c>
      <c r="R113" s="14" t="s">
        <v>910</v>
      </c>
      <c r="S113" s="14" t="s">
        <v>1657</v>
      </c>
      <c r="T113" s="14" t="s">
        <v>1658</v>
      </c>
      <c r="U113" s="14" t="s">
        <v>1659</v>
      </c>
      <c r="V113" s="14" t="s">
        <v>607</v>
      </c>
      <c r="AC113" s="14">
        <v>63</v>
      </c>
      <c r="AD113" s="14">
        <v>65</v>
      </c>
      <c r="AK113" s="14">
        <v>63</v>
      </c>
      <c r="AL113" s="14">
        <v>65</v>
      </c>
      <c r="AS113" s="14">
        <v>79</v>
      </c>
      <c r="AT113" s="14">
        <v>81</v>
      </c>
      <c r="AU113" s="14" t="s">
        <v>2272</v>
      </c>
    </row>
    <row r="114" spans="1:47">
      <c r="A114" s="14" t="s">
        <v>2260</v>
      </c>
      <c r="B114" s="14" t="s">
        <v>2274</v>
      </c>
      <c r="C114" s="14" t="s">
        <v>2262</v>
      </c>
      <c r="D114" s="14" t="s">
        <v>2263</v>
      </c>
      <c r="F114" s="14" t="s">
        <v>2275</v>
      </c>
      <c r="I114" s="14" t="s">
        <v>2276</v>
      </c>
      <c r="J114" s="14" t="s">
        <v>2277</v>
      </c>
      <c r="K114" s="14" t="s">
        <v>2278</v>
      </c>
      <c r="L114" s="14" t="s">
        <v>892</v>
      </c>
      <c r="M114" s="14" t="s">
        <v>2279</v>
      </c>
      <c r="N114" s="14">
        <v>1</v>
      </c>
      <c r="O114" s="14" t="s">
        <v>871</v>
      </c>
      <c r="P114" s="14">
        <v>0.92</v>
      </c>
      <c r="Q114" s="14" t="s">
        <v>1713</v>
      </c>
      <c r="R114" s="14" t="s">
        <v>872</v>
      </c>
      <c r="S114" s="14" t="s">
        <v>1714</v>
      </c>
      <c r="T114" s="14" t="s">
        <v>1715</v>
      </c>
      <c r="U114" s="14" t="s">
        <v>1716</v>
      </c>
      <c r="V114" s="14" t="s">
        <v>607</v>
      </c>
      <c r="AA114" s="14">
        <v>18897230474</v>
      </c>
      <c r="AB114" s="14">
        <v>39425689381</v>
      </c>
      <c r="AG114" s="14">
        <v>62990768248</v>
      </c>
      <c r="AH114" s="14">
        <v>48975395119</v>
      </c>
      <c r="AM114" s="14">
        <v>56061783741</v>
      </c>
      <c r="AN114" s="14">
        <v>62900768248</v>
      </c>
      <c r="AS114" s="14">
        <v>61579124112</v>
      </c>
      <c r="AT114" s="14">
        <v>62990768248</v>
      </c>
      <c r="AU114" s="14" t="s">
        <v>2278</v>
      </c>
    </row>
    <row r="115" spans="1:47">
      <c r="A115" s="14" t="s">
        <v>2280</v>
      </c>
      <c r="B115" s="14" t="s">
        <v>2281</v>
      </c>
      <c r="C115" s="14" t="s">
        <v>2282</v>
      </c>
      <c r="D115" s="14" t="s">
        <v>2283</v>
      </c>
      <c r="F115" s="14" t="s">
        <v>2284</v>
      </c>
      <c r="I115" s="14" t="s">
        <v>2285</v>
      </c>
      <c r="J115" s="14" t="s">
        <v>2286</v>
      </c>
      <c r="K115" s="14" t="s">
        <v>2287</v>
      </c>
      <c r="L115" s="14" t="s">
        <v>892</v>
      </c>
      <c r="M115" s="14" t="s">
        <v>2288</v>
      </c>
      <c r="N115" s="14">
        <v>1</v>
      </c>
      <c r="O115" s="14" t="s">
        <v>871</v>
      </c>
      <c r="P115" s="14">
        <v>1</v>
      </c>
      <c r="Q115" s="14">
        <v>0.9</v>
      </c>
      <c r="R115" s="14" t="s">
        <v>872</v>
      </c>
      <c r="S115" s="14" t="s">
        <v>1657</v>
      </c>
      <c r="T115" s="14" t="s">
        <v>1658</v>
      </c>
      <c r="U115" s="14" t="s">
        <v>1659</v>
      </c>
      <c r="V115" s="14" t="s">
        <v>1578</v>
      </c>
      <c r="AA115" s="14">
        <v>8321</v>
      </c>
      <c r="AB115" s="14">
        <v>8321</v>
      </c>
      <c r="AG115" s="14">
        <v>16807</v>
      </c>
      <c r="AH115" s="14">
        <v>16807</v>
      </c>
      <c r="AM115" s="14">
        <v>18186</v>
      </c>
      <c r="AN115" s="14">
        <v>18186</v>
      </c>
      <c r="AS115" s="14">
        <v>18827</v>
      </c>
      <c r="AT115" s="14">
        <v>18827</v>
      </c>
      <c r="AU115" s="14" t="s">
        <v>2287</v>
      </c>
    </row>
    <row r="116" spans="1:47">
      <c r="A116" s="14" t="s">
        <v>2280</v>
      </c>
      <c r="B116" s="14" t="s">
        <v>783</v>
      </c>
      <c r="C116" s="14" t="s">
        <v>2282</v>
      </c>
      <c r="D116" s="14" t="s">
        <v>2283</v>
      </c>
      <c r="F116" s="14" t="s">
        <v>2289</v>
      </c>
      <c r="I116" s="14" t="s">
        <v>2290</v>
      </c>
      <c r="J116" s="14" t="s">
        <v>2291</v>
      </c>
      <c r="K116" s="14" t="s">
        <v>2292</v>
      </c>
      <c r="L116" s="14" t="s">
        <v>892</v>
      </c>
      <c r="M116" s="14" t="s">
        <v>2293</v>
      </c>
      <c r="N116" s="14">
        <v>2</v>
      </c>
      <c r="O116" s="14" t="s">
        <v>871</v>
      </c>
      <c r="P116" s="14">
        <v>1</v>
      </c>
      <c r="Q116" s="14">
        <v>0.9</v>
      </c>
      <c r="R116" s="14" t="s">
        <v>872</v>
      </c>
      <c r="S116" s="14" t="s">
        <v>1657</v>
      </c>
      <c r="T116" s="14" t="s">
        <v>1658</v>
      </c>
      <c r="U116" s="14" t="s">
        <v>1659</v>
      </c>
      <c r="V116" s="14" t="s">
        <v>1578</v>
      </c>
      <c r="AA116" s="14">
        <v>4012</v>
      </c>
      <c r="AB116" s="14">
        <v>4012</v>
      </c>
      <c r="AG116" s="14">
        <v>4928</v>
      </c>
      <c r="AH116" s="14">
        <v>4928</v>
      </c>
      <c r="AM116" s="14">
        <v>6566</v>
      </c>
      <c r="AN116" s="14">
        <v>6566</v>
      </c>
      <c r="AS116" s="14">
        <v>7068</v>
      </c>
      <c r="AT116" s="14">
        <v>7068</v>
      </c>
      <c r="AU116" s="14" t="s">
        <v>2292</v>
      </c>
    </row>
    <row r="117" spans="1:47">
      <c r="A117" s="14" t="s">
        <v>1952</v>
      </c>
      <c r="B117" s="14" t="s">
        <v>2294</v>
      </c>
      <c r="C117" s="14" t="s">
        <v>1954</v>
      </c>
      <c r="F117" s="14" t="s">
        <v>1376</v>
      </c>
      <c r="I117" s="14" t="s">
        <v>2295</v>
      </c>
      <c r="J117" s="14" t="s">
        <v>2296</v>
      </c>
      <c r="K117" s="14" t="s">
        <v>2297</v>
      </c>
      <c r="L117" s="14" t="s">
        <v>892</v>
      </c>
      <c r="M117" s="14" t="s">
        <v>2298</v>
      </c>
      <c r="N117" s="14">
        <v>2</v>
      </c>
      <c r="O117" s="14" t="s">
        <v>178</v>
      </c>
      <c r="P117" s="14">
        <v>0.8</v>
      </c>
      <c r="Q117" s="14" t="s">
        <v>1713</v>
      </c>
      <c r="R117" s="14" t="s">
        <v>872</v>
      </c>
      <c r="S117" s="14" t="s">
        <v>1714</v>
      </c>
      <c r="T117" s="14" t="s">
        <v>1715</v>
      </c>
      <c r="U117" s="14" t="s">
        <v>1716</v>
      </c>
      <c r="V117" s="14" t="s">
        <v>1578</v>
      </c>
      <c r="AA117" s="14">
        <v>14</v>
      </c>
      <c r="AB117" s="14">
        <v>14</v>
      </c>
      <c r="AG117" s="14">
        <v>9</v>
      </c>
      <c r="AH117" s="14">
        <v>13</v>
      </c>
      <c r="AM117" s="14">
        <v>12</v>
      </c>
      <c r="AN117" s="14">
        <v>3</v>
      </c>
      <c r="AS117" s="14">
        <v>7</v>
      </c>
      <c r="AT117" s="14">
        <v>5</v>
      </c>
      <c r="AU117" s="14" t="s">
        <v>2297</v>
      </c>
    </row>
    <row r="118" spans="1:47">
      <c r="A118" s="14" t="s">
        <v>1952</v>
      </c>
      <c r="B118" s="14" t="s">
        <v>2299</v>
      </c>
      <c r="C118" s="14" t="s">
        <v>1954</v>
      </c>
      <c r="F118" s="14" t="s">
        <v>699</v>
      </c>
      <c r="I118" s="14" t="s">
        <v>2300</v>
      </c>
      <c r="J118" s="14" t="s">
        <v>2301</v>
      </c>
      <c r="K118" s="14" t="s">
        <v>2302</v>
      </c>
      <c r="L118" s="14" t="s">
        <v>892</v>
      </c>
      <c r="M118" s="14" t="s">
        <v>2303</v>
      </c>
      <c r="N118" s="14">
        <v>2</v>
      </c>
      <c r="O118" s="14" t="s">
        <v>178</v>
      </c>
      <c r="P118" s="14">
        <v>1</v>
      </c>
      <c r="Q118" s="14" t="s">
        <v>1713</v>
      </c>
      <c r="R118" s="14" t="s">
        <v>872</v>
      </c>
      <c r="S118" s="14" t="s">
        <v>1714</v>
      </c>
      <c r="T118" s="14" t="s">
        <v>1715</v>
      </c>
      <c r="U118" s="14" t="s">
        <v>1716</v>
      </c>
      <c r="V118" s="14" t="s">
        <v>1578</v>
      </c>
      <c r="AA118" s="14">
        <v>49</v>
      </c>
      <c r="AB118" s="14">
        <v>93</v>
      </c>
      <c r="AG118" s="14">
        <v>57</v>
      </c>
      <c r="AH118" s="14">
        <v>116</v>
      </c>
      <c r="AM118" s="14">
        <v>61</v>
      </c>
      <c r="AN118" s="14">
        <v>74</v>
      </c>
      <c r="AS118" s="14">
        <v>83</v>
      </c>
      <c r="AT118" s="14">
        <v>83</v>
      </c>
      <c r="AU118" s="14" t="s">
        <v>2302</v>
      </c>
    </row>
    <row r="119" spans="1:47">
      <c r="A119" s="14" t="s">
        <v>1753</v>
      </c>
      <c r="B119" s="14" t="s">
        <v>2304</v>
      </c>
      <c r="C119" s="14" t="s">
        <v>1755</v>
      </c>
      <c r="D119" s="14" t="s">
        <v>1756</v>
      </c>
      <c r="F119" s="14" t="s">
        <v>2305</v>
      </c>
      <c r="I119" s="14" t="s">
        <v>2306</v>
      </c>
      <c r="J119" s="14" t="s">
        <v>2307</v>
      </c>
      <c r="K119" s="14" t="s">
        <v>2308</v>
      </c>
      <c r="L119" s="14" t="s">
        <v>892</v>
      </c>
      <c r="M119" s="14" t="s">
        <v>2309</v>
      </c>
      <c r="N119" s="14">
        <v>2</v>
      </c>
      <c r="O119" s="14" t="s">
        <v>178</v>
      </c>
      <c r="P119" s="14">
        <v>0.8</v>
      </c>
      <c r="Q119" s="14" t="s">
        <v>1713</v>
      </c>
      <c r="R119" s="14" t="s">
        <v>872</v>
      </c>
      <c r="S119" s="14" t="s">
        <v>1714</v>
      </c>
      <c r="T119" s="14" t="s">
        <v>1715</v>
      </c>
      <c r="U119" s="14" t="s">
        <v>1716</v>
      </c>
      <c r="V119" s="14" t="s">
        <v>1578</v>
      </c>
      <c r="AA119" s="14">
        <v>8</v>
      </c>
      <c r="AB119" s="14">
        <v>11</v>
      </c>
      <c r="AG119" s="14">
        <v>7</v>
      </c>
      <c r="AH119" s="14">
        <v>11</v>
      </c>
      <c r="AM119" s="14">
        <v>9</v>
      </c>
      <c r="AN119" s="14">
        <v>3</v>
      </c>
      <c r="AS119" s="14">
        <v>6</v>
      </c>
      <c r="AT119" s="14">
        <v>8</v>
      </c>
      <c r="AU119" s="14" t="s">
        <v>2308</v>
      </c>
    </row>
    <row r="120" spans="1:47">
      <c r="A120" s="14" t="s">
        <v>2310</v>
      </c>
      <c r="B120" s="14" t="s">
        <v>2311</v>
      </c>
      <c r="C120" s="14" t="s">
        <v>2312</v>
      </c>
      <c r="F120" s="14" t="s">
        <v>2313</v>
      </c>
      <c r="I120" s="14" t="s">
        <v>2314</v>
      </c>
      <c r="J120" s="14" t="s">
        <v>2315</v>
      </c>
      <c r="K120" s="14" t="s">
        <v>2316</v>
      </c>
      <c r="L120" s="14" t="s">
        <v>884</v>
      </c>
      <c r="M120" s="14" t="s">
        <v>2317</v>
      </c>
      <c r="N120" s="14">
        <v>2</v>
      </c>
      <c r="O120" s="14" t="s">
        <v>871</v>
      </c>
      <c r="P120" s="14">
        <v>0.15</v>
      </c>
      <c r="Q120" s="14" t="s">
        <v>1713</v>
      </c>
      <c r="R120" s="14" t="s">
        <v>988</v>
      </c>
      <c r="S120" s="14" t="s">
        <v>1714</v>
      </c>
      <c r="T120" s="14" t="s">
        <v>1715</v>
      </c>
      <c r="U120" s="14" t="s">
        <v>1716</v>
      </c>
      <c r="V120" s="14" t="s">
        <v>2318</v>
      </c>
      <c r="AG120" s="14">
        <v>11624550740</v>
      </c>
      <c r="AH120" s="14">
        <v>141820960444</v>
      </c>
      <c r="AS120" s="14">
        <v>141820960444</v>
      </c>
      <c r="AT120" s="14">
        <v>23834978832</v>
      </c>
      <c r="AU120" s="14" t="s">
        <v>2316</v>
      </c>
    </row>
    <row r="121" spans="1:47">
      <c r="A121" s="14" t="s">
        <v>2310</v>
      </c>
      <c r="B121" s="14" t="s">
        <v>2319</v>
      </c>
      <c r="C121" s="14" t="s">
        <v>2312</v>
      </c>
      <c r="F121" s="14" t="s">
        <v>2320</v>
      </c>
      <c r="I121" s="14" t="s">
        <v>2321</v>
      </c>
      <c r="K121" s="14" t="s">
        <v>2322</v>
      </c>
      <c r="L121" s="14" t="s">
        <v>892</v>
      </c>
      <c r="M121" s="14" t="s">
        <v>2323</v>
      </c>
      <c r="N121" s="14">
        <v>1</v>
      </c>
      <c r="O121" s="14" t="s">
        <v>1656</v>
      </c>
      <c r="P121" s="14">
        <v>1</v>
      </c>
      <c r="Q121" s="14" t="s">
        <v>1713</v>
      </c>
      <c r="R121" s="14" t="s">
        <v>988</v>
      </c>
      <c r="S121" s="14" t="s">
        <v>1714</v>
      </c>
      <c r="T121" s="14" t="s">
        <v>1715</v>
      </c>
      <c r="U121" s="14" t="s">
        <v>1716</v>
      </c>
      <c r="V121" s="14" t="s">
        <v>2318</v>
      </c>
      <c r="AG121" s="14">
        <v>7941549851</v>
      </c>
      <c r="AH121" s="14">
        <v>2500000000</v>
      </c>
      <c r="AS121" s="14">
        <v>9336767423</v>
      </c>
      <c r="AT121" s="14">
        <v>2500000000</v>
      </c>
      <c r="AU121" s="14" t="s">
        <v>2322</v>
      </c>
    </row>
    <row r="122" spans="1:47">
      <c r="A122" s="14" t="s">
        <v>2324</v>
      </c>
      <c r="B122" s="14" t="s">
        <v>2325</v>
      </c>
      <c r="C122" s="14" t="s">
        <v>2326</v>
      </c>
      <c r="D122" s="14" t="s">
        <v>2327</v>
      </c>
      <c r="F122" s="14" t="s">
        <v>2328</v>
      </c>
      <c r="I122" s="14" t="s">
        <v>2329</v>
      </c>
      <c r="J122" s="14" t="s">
        <v>2330</v>
      </c>
      <c r="K122" s="14" t="s">
        <v>2331</v>
      </c>
      <c r="L122" s="14" t="s">
        <v>892</v>
      </c>
      <c r="M122" s="14" t="s">
        <v>2332</v>
      </c>
      <c r="N122" s="14">
        <v>2</v>
      </c>
      <c r="O122" s="14" t="s">
        <v>871</v>
      </c>
      <c r="P122" s="14">
        <v>0.7</v>
      </c>
      <c r="Q122" s="14" t="s">
        <v>1713</v>
      </c>
      <c r="R122" s="14" t="s">
        <v>872</v>
      </c>
      <c r="S122" s="14" t="s">
        <v>1714</v>
      </c>
      <c r="T122" s="14" t="s">
        <v>1715</v>
      </c>
      <c r="U122" s="14" t="s">
        <v>1716</v>
      </c>
      <c r="V122" s="14" t="s">
        <v>1578</v>
      </c>
      <c r="AA122" s="14">
        <v>148</v>
      </c>
      <c r="AB122" s="14">
        <v>185</v>
      </c>
      <c r="AG122" s="14">
        <v>181</v>
      </c>
      <c r="AH122" s="14">
        <v>234</v>
      </c>
      <c r="AM122" s="14">
        <v>146</v>
      </c>
      <c r="AN122" s="14">
        <v>183</v>
      </c>
      <c r="AS122" s="14">
        <v>153</v>
      </c>
      <c r="AT122" s="14">
        <v>193</v>
      </c>
      <c r="AU122" s="14" t="s">
        <v>2331</v>
      </c>
    </row>
    <row r="123" spans="1:47">
      <c r="A123" s="14" t="s">
        <v>2324</v>
      </c>
      <c r="B123" s="14" t="s">
        <v>326</v>
      </c>
      <c r="C123" s="14" t="s">
        <v>2326</v>
      </c>
      <c r="D123" s="14" t="s">
        <v>2327</v>
      </c>
      <c r="F123" s="14" t="s">
        <v>325</v>
      </c>
      <c r="I123" s="14" t="s">
        <v>327</v>
      </c>
      <c r="K123" s="14" t="s">
        <v>2333</v>
      </c>
      <c r="L123" s="14" t="s">
        <v>870</v>
      </c>
      <c r="M123" s="14" t="s">
        <v>2334</v>
      </c>
      <c r="N123" s="14">
        <v>1</v>
      </c>
      <c r="O123" s="14" t="s">
        <v>1656</v>
      </c>
      <c r="P123" s="14">
        <v>1</v>
      </c>
      <c r="Q123" s="14">
        <v>0.9</v>
      </c>
      <c r="R123" s="14" t="s">
        <v>872</v>
      </c>
      <c r="S123" s="14" t="s">
        <v>1657</v>
      </c>
      <c r="T123" s="14" t="s">
        <v>1658</v>
      </c>
      <c r="U123" s="14" t="s">
        <v>1659</v>
      </c>
      <c r="V123" s="14" t="s">
        <v>1578</v>
      </c>
      <c r="AA123" s="14">
        <v>1</v>
      </c>
      <c r="AB123" s="14">
        <v>1</v>
      </c>
      <c r="AG123" s="14">
        <v>1</v>
      </c>
      <c r="AH123" s="14">
        <v>1</v>
      </c>
      <c r="AM123" s="14">
        <v>1</v>
      </c>
      <c r="AN123" s="14">
        <v>1</v>
      </c>
      <c r="AS123" s="14">
        <v>1</v>
      </c>
      <c r="AT123" s="14">
        <v>1</v>
      </c>
      <c r="AU123" s="14" t="s">
        <v>2333</v>
      </c>
    </row>
    <row r="124" spans="1:47">
      <c r="A124" s="14" t="s">
        <v>2335</v>
      </c>
      <c r="B124" s="14" t="s">
        <v>2336</v>
      </c>
      <c r="C124" s="14" t="s">
        <v>2337</v>
      </c>
      <c r="D124" s="14" t="s">
        <v>2338</v>
      </c>
      <c r="F124" s="14" t="s">
        <v>2339</v>
      </c>
      <c r="I124" s="14" t="s">
        <v>1399</v>
      </c>
      <c r="J124" s="14" t="s">
        <v>2340</v>
      </c>
      <c r="K124" s="14" t="s">
        <v>2341</v>
      </c>
      <c r="L124" s="14" t="s">
        <v>892</v>
      </c>
      <c r="M124" s="14" t="s">
        <v>2342</v>
      </c>
      <c r="N124" s="14">
        <v>1</v>
      </c>
      <c r="O124" s="14" t="s">
        <v>871</v>
      </c>
      <c r="P124" s="14">
        <v>1</v>
      </c>
      <c r="Q124" s="14" t="s">
        <v>1713</v>
      </c>
      <c r="R124" s="14" t="s">
        <v>872</v>
      </c>
      <c r="S124" s="14" t="s">
        <v>1714</v>
      </c>
      <c r="T124" s="14" t="s">
        <v>1715</v>
      </c>
      <c r="U124" s="14" t="s">
        <v>1716</v>
      </c>
      <c r="V124" s="14" t="s">
        <v>1578</v>
      </c>
      <c r="AA124" s="14">
        <v>70</v>
      </c>
      <c r="AB124" s="14">
        <v>70</v>
      </c>
      <c r="AG124" s="14">
        <v>100</v>
      </c>
      <c r="AH124" s="14">
        <v>100</v>
      </c>
      <c r="AM124" s="14">
        <v>115</v>
      </c>
      <c r="AN124" s="14">
        <v>115</v>
      </c>
      <c r="AS124" s="14">
        <v>131</v>
      </c>
      <c r="AT124" s="14">
        <v>131</v>
      </c>
      <c r="AU124" s="14" t="s">
        <v>2341</v>
      </c>
    </row>
    <row r="125" spans="1:47">
      <c r="A125" s="14" t="s">
        <v>2335</v>
      </c>
      <c r="B125" s="14" t="s">
        <v>344</v>
      </c>
      <c r="C125" s="14" t="s">
        <v>2337</v>
      </c>
      <c r="D125" s="14" t="s">
        <v>2338</v>
      </c>
      <c r="F125" s="14" t="s">
        <v>343</v>
      </c>
      <c r="I125" s="14" t="s">
        <v>2343</v>
      </c>
      <c r="J125" s="14" t="s">
        <v>2344</v>
      </c>
      <c r="K125" s="14" t="s">
        <v>2345</v>
      </c>
      <c r="L125" s="14" t="s">
        <v>892</v>
      </c>
      <c r="M125" s="14" t="s">
        <v>2346</v>
      </c>
      <c r="N125" s="14">
        <v>2</v>
      </c>
      <c r="O125" s="14" t="s">
        <v>871</v>
      </c>
      <c r="P125" s="14">
        <v>1</v>
      </c>
      <c r="Q125" s="14">
        <v>0.9</v>
      </c>
      <c r="R125" s="14" t="s">
        <v>872</v>
      </c>
      <c r="S125" s="14" t="s">
        <v>1657</v>
      </c>
      <c r="T125" s="14" t="s">
        <v>1658</v>
      </c>
      <c r="U125" s="14" t="s">
        <v>1659</v>
      </c>
      <c r="V125" s="14" t="s">
        <v>1578</v>
      </c>
      <c r="AA125" s="14">
        <v>47</v>
      </c>
      <c r="AB125" s="14">
        <v>47</v>
      </c>
      <c r="AG125" s="14">
        <v>89</v>
      </c>
      <c r="AH125" s="14">
        <v>89</v>
      </c>
      <c r="AM125" s="14">
        <v>75</v>
      </c>
      <c r="AN125" s="14">
        <v>75</v>
      </c>
      <c r="AS125" s="14">
        <v>38</v>
      </c>
      <c r="AT125" s="14">
        <v>38</v>
      </c>
      <c r="AU125" s="14" t="s">
        <v>2345</v>
      </c>
    </row>
    <row r="126" spans="1:47">
      <c r="A126" s="14" t="s">
        <v>2335</v>
      </c>
      <c r="B126" s="14" t="s">
        <v>2347</v>
      </c>
      <c r="C126" s="14" t="s">
        <v>2337</v>
      </c>
      <c r="D126" s="14" t="s">
        <v>2338</v>
      </c>
      <c r="F126" s="14" t="s">
        <v>2348</v>
      </c>
      <c r="I126" s="14" t="s">
        <v>2349</v>
      </c>
      <c r="J126" s="14" t="s">
        <v>2350</v>
      </c>
      <c r="K126" s="14" t="s">
        <v>2351</v>
      </c>
      <c r="L126" s="14" t="s">
        <v>884</v>
      </c>
      <c r="M126" s="14" t="s">
        <v>2352</v>
      </c>
      <c r="N126" s="14">
        <v>1</v>
      </c>
      <c r="O126" s="14" t="s">
        <v>871</v>
      </c>
      <c r="P126" s="14">
        <v>0.5</v>
      </c>
      <c r="Q126" s="14" t="s">
        <v>1713</v>
      </c>
      <c r="R126" s="14" t="s">
        <v>988</v>
      </c>
      <c r="S126" s="14" t="s">
        <v>1714</v>
      </c>
      <c r="T126" s="14" t="s">
        <v>1715</v>
      </c>
      <c r="U126" s="14" t="s">
        <v>1716</v>
      </c>
      <c r="V126" s="14" t="s">
        <v>1578</v>
      </c>
      <c r="AG126" s="14">
        <v>57</v>
      </c>
      <c r="AH126" s="14">
        <v>74</v>
      </c>
      <c r="AS126" s="14">
        <v>84</v>
      </c>
      <c r="AT126" s="14">
        <v>101</v>
      </c>
      <c r="AU126" s="14" t="s">
        <v>2351</v>
      </c>
    </row>
    <row r="127" spans="1:47">
      <c r="A127" s="14" t="s">
        <v>2335</v>
      </c>
      <c r="B127" s="14" t="s">
        <v>2353</v>
      </c>
      <c r="C127" s="14" t="s">
        <v>2337</v>
      </c>
      <c r="D127" s="14" t="s">
        <v>2338</v>
      </c>
      <c r="F127" s="14" t="s">
        <v>2354</v>
      </c>
      <c r="I127" s="14" t="s">
        <v>2355</v>
      </c>
      <c r="K127" s="14" t="s">
        <v>2356</v>
      </c>
      <c r="L127" s="14" t="s">
        <v>892</v>
      </c>
      <c r="M127" s="14" t="s">
        <v>2357</v>
      </c>
      <c r="N127" s="14">
        <v>1</v>
      </c>
      <c r="O127" s="14" t="s">
        <v>1656</v>
      </c>
      <c r="P127" s="14">
        <v>1</v>
      </c>
      <c r="Q127" s="14">
        <v>0.9</v>
      </c>
      <c r="R127" s="14" t="s">
        <v>872</v>
      </c>
      <c r="S127" s="14" t="s">
        <v>1657</v>
      </c>
      <c r="T127" s="14" t="s">
        <v>1658</v>
      </c>
      <c r="U127" s="14" t="s">
        <v>1659</v>
      </c>
      <c r="V127" s="14" t="s">
        <v>1578</v>
      </c>
      <c r="W127" s="14">
        <v>1</v>
      </c>
      <c r="X127" s="14">
        <v>1</v>
      </c>
      <c r="AG127" s="14">
        <v>1</v>
      </c>
      <c r="AH127" s="14">
        <v>1</v>
      </c>
      <c r="AI127" s="14">
        <v>1</v>
      </c>
      <c r="AJ127" s="14">
        <v>1</v>
      </c>
      <c r="AS127" s="14">
        <v>3</v>
      </c>
      <c r="AT127" s="14">
        <v>3</v>
      </c>
      <c r="AU127" s="14" t="s">
        <v>2356</v>
      </c>
    </row>
    <row r="128" spans="1:47">
      <c r="A128" s="14" t="s">
        <v>2358</v>
      </c>
      <c r="B128" s="14" t="s">
        <v>2359</v>
      </c>
      <c r="C128" s="14" t="s">
        <v>2360</v>
      </c>
      <c r="D128" s="14" t="s">
        <v>2361</v>
      </c>
      <c r="E128" s="14" t="s">
        <v>2362</v>
      </c>
      <c r="F128" s="14" t="s">
        <v>2363</v>
      </c>
      <c r="I128" s="14" t="s">
        <v>2364</v>
      </c>
      <c r="J128" s="14" t="s">
        <v>2365</v>
      </c>
      <c r="K128" s="14" t="s">
        <v>2366</v>
      </c>
      <c r="L128" s="14" t="s">
        <v>884</v>
      </c>
      <c r="M128" s="14" t="s">
        <v>2367</v>
      </c>
      <c r="N128" s="14">
        <v>1</v>
      </c>
      <c r="O128" s="14" t="s">
        <v>871</v>
      </c>
      <c r="P128" s="14">
        <v>0.8</v>
      </c>
      <c r="Q128" s="14">
        <v>0.9</v>
      </c>
      <c r="R128" s="14" t="s">
        <v>872</v>
      </c>
      <c r="S128" s="14" t="s">
        <v>1657</v>
      </c>
      <c r="T128" s="14" t="s">
        <v>1658</v>
      </c>
      <c r="U128" s="14" t="s">
        <v>1659</v>
      </c>
      <c r="V128" s="14" t="s">
        <v>265</v>
      </c>
      <c r="AA128" s="14">
        <v>46354</v>
      </c>
      <c r="AB128" s="14">
        <v>68057</v>
      </c>
      <c r="AG128" s="14">
        <v>40073</v>
      </c>
      <c r="AH128" s="14">
        <v>62741</v>
      </c>
      <c r="AM128" s="14">
        <v>49704</v>
      </c>
      <c r="AN128" s="14">
        <v>73107</v>
      </c>
      <c r="AS128" s="14">
        <v>70187</v>
      </c>
      <c r="AT128" s="14">
        <v>100370</v>
      </c>
      <c r="AU128" s="14" t="s">
        <v>2366</v>
      </c>
    </row>
    <row r="129" spans="1:47">
      <c r="A129" s="14" t="s">
        <v>2358</v>
      </c>
      <c r="B129" s="14" t="s">
        <v>2368</v>
      </c>
      <c r="C129" s="14" t="s">
        <v>2360</v>
      </c>
      <c r="D129" s="14" t="s">
        <v>2361</v>
      </c>
      <c r="E129" s="14" t="s">
        <v>2362</v>
      </c>
      <c r="F129" s="14" t="s">
        <v>2369</v>
      </c>
      <c r="I129" s="14" t="s">
        <v>2370</v>
      </c>
      <c r="K129" s="14" t="s">
        <v>2371</v>
      </c>
      <c r="L129" s="14" t="s">
        <v>884</v>
      </c>
      <c r="M129" s="14" t="s">
        <v>2372</v>
      </c>
      <c r="N129" s="14">
        <v>1</v>
      </c>
      <c r="O129" s="14" t="s">
        <v>1656</v>
      </c>
      <c r="P129" s="14">
        <v>1</v>
      </c>
      <c r="Q129" s="14" t="s">
        <v>1713</v>
      </c>
      <c r="R129" s="14" t="s">
        <v>988</v>
      </c>
      <c r="S129" s="14" t="s">
        <v>1714</v>
      </c>
      <c r="T129" s="14" t="s">
        <v>1715</v>
      </c>
      <c r="U129" s="14" t="s">
        <v>1716</v>
      </c>
      <c r="V129" s="14" t="s">
        <v>265</v>
      </c>
      <c r="AG129" s="14">
        <v>85</v>
      </c>
      <c r="AH129" s="14">
        <v>85</v>
      </c>
      <c r="AS129" s="14">
        <v>85</v>
      </c>
      <c r="AT129" s="14">
        <v>85</v>
      </c>
      <c r="AU129" s="14" t="s">
        <v>2371</v>
      </c>
    </row>
    <row r="130" spans="1:47">
      <c r="A130" s="14" t="s">
        <v>2358</v>
      </c>
      <c r="B130" s="14" t="s">
        <v>268</v>
      </c>
      <c r="C130" s="14" t="s">
        <v>2360</v>
      </c>
      <c r="D130" s="14" t="s">
        <v>2361</v>
      </c>
      <c r="E130" s="14" t="s">
        <v>2362</v>
      </c>
      <c r="F130" s="14" t="s">
        <v>1238</v>
      </c>
      <c r="I130" s="14" t="s">
        <v>2373</v>
      </c>
      <c r="K130" s="14" t="s">
        <v>2374</v>
      </c>
      <c r="L130" s="14" t="s">
        <v>892</v>
      </c>
      <c r="M130" s="14" t="s">
        <v>2375</v>
      </c>
      <c r="N130" s="14">
        <v>1</v>
      </c>
      <c r="O130" s="14" t="s">
        <v>1656</v>
      </c>
      <c r="P130" s="14">
        <v>1</v>
      </c>
      <c r="Q130" s="14">
        <v>0.9</v>
      </c>
      <c r="R130" s="14" t="s">
        <v>988</v>
      </c>
      <c r="S130" s="14" t="s">
        <v>1657</v>
      </c>
      <c r="T130" s="14" t="s">
        <v>1658</v>
      </c>
      <c r="U130" s="14" t="s">
        <v>1659</v>
      </c>
      <c r="V130" s="14" t="s">
        <v>265</v>
      </c>
      <c r="AG130" s="14">
        <v>1</v>
      </c>
      <c r="AH130" s="14">
        <v>1</v>
      </c>
      <c r="AS130" s="14">
        <v>1</v>
      </c>
      <c r="AT130" s="14">
        <v>1</v>
      </c>
      <c r="AU130" s="14" t="s">
        <v>2374</v>
      </c>
    </row>
    <row r="131" spans="1:47">
      <c r="A131" s="14" t="s">
        <v>2358</v>
      </c>
      <c r="B131" s="14" t="s">
        <v>2376</v>
      </c>
      <c r="C131" s="14" t="s">
        <v>2360</v>
      </c>
      <c r="D131" s="14" t="s">
        <v>2361</v>
      </c>
      <c r="E131" s="14" t="s">
        <v>2362</v>
      </c>
      <c r="F131" s="14" t="s">
        <v>2377</v>
      </c>
      <c r="I131" s="14" t="s">
        <v>2378</v>
      </c>
      <c r="K131" s="14" t="s">
        <v>2379</v>
      </c>
      <c r="L131" s="14" t="s">
        <v>892</v>
      </c>
      <c r="M131" s="14" t="s">
        <v>2380</v>
      </c>
      <c r="N131" s="14">
        <v>1</v>
      </c>
      <c r="O131" s="14" t="s">
        <v>1656</v>
      </c>
      <c r="P131" s="14">
        <v>1</v>
      </c>
      <c r="Q131" s="14">
        <v>0.9</v>
      </c>
      <c r="R131" s="14" t="s">
        <v>872</v>
      </c>
      <c r="S131" s="14" t="s">
        <v>1657</v>
      </c>
      <c r="T131" s="14" t="s">
        <v>1658</v>
      </c>
      <c r="U131" s="14" t="s">
        <v>1659</v>
      </c>
      <c r="V131" s="14" t="s">
        <v>265</v>
      </c>
      <c r="AA131" s="14">
        <v>2</v>
      </c>
      <c r="AB131" s="14">
        <v>2</v>
      </c>
      <c r="AG131" s="14">
        <v>2</v>
      </c>
      <c r="AH131" s="14">
        <v>2</v>
      </c>
      <c r="AM131" s="14">
        <v>2</v>
      </c>
      <c r="AN131" s="14">
        <v>2</v>
      </c>
      <c r="AS131" s="14">
        <v>2</v>
      </c>
      <c r="AT131" s="14">
        <v>2</v>
      </c>
      <c r="AU131" s="14" t="s">
        <v>2379</v>
      </c>
    </row>
    <row r="132" spans="1:47">
      <c r="A132" s="14" t="s">
        <v>2358</v>
      </c>
      <c r="B132" s="14" t="s">
        <v>1247</v>
      </c>
      <c r="C132" s="14" t="s">
        <v>2360</v>
      </c>
      <c r="D132" s="14" t="s">
        <v>2361</v>
      </c>
      <c r="E132" s="14" t="s">
        <v>2362</v>
      </c>
      <c r="F132" s="14" t="s">
        <v>2381</v>
      </c>
      <c r="I132" s="14" t="s">
        <v>1248</v>
      </c>
      <c r="K132" s="14" t="s">
        <v>2382</v>
      </c>
      <c r="L132" s="14" t="s">
        <v>870</v>
      </c>
      <c r="M132" s="14" t="s">
        <v>2383</v>
      </c>
      <c r="N132" s="14">
        <v>1</v>
      </c>
      <c r="O132" s="14" t="s">
        <v>1656</v>
      </c>
      <c r="P132" s="14">
        <v>1</v>
      </c>
      <c r="Q132" s="14">
        <v>0.9</v>
      </c>
      <c r="R132" s="14" t="s">
        <v>2384</v>
      </c>
      <c r="S132" s="14" t="s">
        <v>1657</v>
      </c>
      <c r="T132" s="14" t="s">
        <v>1658</v>
      </c>
      <c r="U132" s="14" t="s">
        <v>1659</v>
      </c>
      <c r="V132" s="14" t="s">
        <v>265</v>
      </c>
      <c r="AI132" s="14">
        <v>1</v>
      </c>
      <c r="AJ132" s="14">
        <v>1</v>
      </c>
      <c r="AU132" s="14" t="s">
        <v>2382</v>
      </c>
    </row>
    <row r="133" spans="1:47">
      <c r="A133" s="14" t="s">
        <v>2385</v>
      </c>
      <c r="B133" s="14" t="s">
        <v>2386</v>
      </c>
      <c r="C133" s="14" t="s">
        <v>2387</v>
      </c>
      <c r="D133" s="14" t="s">
        <v>2388</v>
      </c>
      <c r="F133" s="14" t="s">
        <v>2389</v>
      </c>
      <c r="I133" s="14" t="s">
        <v>2390</v>
      </c>
      <c r="J133" s="14" t="s">
        <v>2391</v>
      </c>
      <c r="K133" s="14" t="s">
        <v>2392</v>
      </c>
      <c r="L133" s="14" t="s">
        <v>892</v>
      </c>
      <c r="M133" s="14" t="s">
        <v>2393</v>
      </c>
      <c r="N133" s="14">
        <v>3</v>
      </c>
      <c r="O133" s="14" t="s">
        <v>871</v>
      </c>
      <c r="P133" s="14">
        <v>0.9</v>
      </c>
      <c r="Q133" s="14">
        <v>0.9</v>
      </c>
      <c r="R133" s="14" t="s">
        <v>872</v>
      </c>
      <c r="S133" s="14" t="s">
        <v>1657</v>
      </c>
      <c r="T133" s="14" t="s">
        <v>1658</v>
      </c>
      <c r="U133" s="14" t="s">
        <v>1659</v>
      </c>
      <c r="V133" s="14" t="s">
        <v>238</v>
      </c>
      <c r="AA133" s="14">
        <v>9</v>
      </c>
      <c r="AB133" s="14">
        <v>9</v>
      </c>
      <c r="AG133" s="14">
        <v>11</v>
      </c>
      <c r="AH133" s="14">
        <v>14</v>
      </c>
      <c r="AM133" s="14">
        <v>11</v>
      </c>
      <c r="AN133" s="14">
        <v>8</v>
      </c>
      <c r="AS133" s="14">
        <v>14</v>
      </c>
      <c r="AT133" s="14">
        <v>14</v>
      </c>
      <c r="AU133" s="14" t="s">
        <v>2392</v>
      </c>
    </row>
    <row r="134" spans="1:47">
      <c r="A134" s="14" t="s">
        <v>2385</v>
      </c>
      <c r="B134" s="14" t="s">
        <v>2394</v>
      </c>
      <c r="C134" s="14" t="s">
        <v>2387</v>
      </c>
      <c r="D134" s="14" t="s">
        <v>2388</v>
      </c>
      <c r="F134" s="14" t="s">
        <v>2395</v>
      </c>
      <c r="I134" s="14" t="s">
        <v>2396</v>
      </c>
      <c r="K134" s="14" t="s">
        <v>2397</v>
      </c>
      <c r="L134" s="14" t="s">
        <v>892</v>
      </c>
      <c r="M134" s="14" t="s">
        <v>2398</v>
      </c>
      <c r="N134" s="14">
        <v>2</v>
      </c>
      <c r="O134" s="14" t="s">
        <v>1656</v>
      </c>
      <c r="P134" s="14">
        <v>1</v>
      </c>
      <c r="Q134" s="14">
        <v>0.9</v>
      </c>
      <c r="R134" s="14" t="s">
        <v>988</v>
      </c>
      <c r="S134" s="14" t="s">
        <v>1657</v>
      </c>
      <c r="T134" s="14" t="s">
        <v>1658</v>
      </c>
      <c r="U134" s="14" t="s">
        <v>1659</v>
      </c>
      <c r="V134" s="14" t="s">
        <v>238</v>
      </c>
      <c r="AG134" s="14">
        <v>1</v>
      </c>
      <c r="AH134" s="14">
        <v>1</v>
      </c>
      <c r="AM134" s="14">
        <v>5</v>
      </c>
      <c r="AN134" s="14">
        <v>5</v>
      </c>
      <c r="AS134" s="14">
        <v>6</v>
      </c>
      <c r="AT134" s="14">
        <v>6</v>
      </c>
      <c r="AU134" s="14" t="s">
        <v>2397</v>
      </c>
    </row>
    <row r="135" spans="1:47">
      <c r="A135" s="14" t="s">
        <v>2385</v>
      </c>
      <c r="B135" s="14" t="s">
        <v>2399</v>
      </c>
      <c r="C135" s="14" t="s">
        <v>2387</v>
      </c>
      <c r="D135" s="14" t="s">
        <v>2388</v>
      </c>
      <c r="F135" s="14" t="s">
        <v>2400</v>
      </c>
      <c r="I135" s="14" t="s">
        <v>2401</v>
      </c>
      <c r="K135" s="14" t="s">
        <v>2402</v>
      </c>
      <c r="L135" s="14" t="s">
        <v>884</v>
      </c>
      <c r="M135" s="14" t="s">
        <v>2403</v>
      </c>
      <c r="N135" s="14">
        <v>1</v>
      </c>
      <c r="O135" s="14" t="s">
        <v>1656</v>
      </c>
      <c r="P135" s="14">
        <v>1</v>
      </c>
      <c r="Q135" s="14">
        <v>0.9</v>
      </c>
      <c r="R135" s="14" t="s">
        <v>872</v>
      </c>
      <c r="S135" s="14" t="s">
        <v>1657</v>
      </c>
      <c r="T135" s="14" t="s">
        <v>1658</v>
      </c>
      <c r="U135" s="14" t="s">
        <v>1659</v>
      </c>
      <c r="V135" s="14" t="s">
        <v>238</v>
      </c>
      <c r="AA135" s="14">
        <v>1</v>
      </c>
      <c r="AB135" s="14">
        <v>1</v>
      </c>
      <c r="AG135" s="14">
        <v>4</v>
      </c>
      <c r="AH135" s="14">
        <v>1</v>
      </c>
      <c r="AM135" s="14">
        <v>1</v>
      </c>
      <c r="AN135" s="14">
        <v>4</v>
      </c>
      <c r="AU135" s="14" t="s">
        <v>2402</v>
      </c>
    </row>
    <row r="136" spans="1:47">
      <c r="A136" s="14" t="s">
        <v>2385</v>
      </c>
      <c r="B136" s="14" t="s">
        <v>2404</v>
      </c>
      <c r="C136" s="14" t="s">
        <v>2387</v>
      </c>
      <c r="D136" s="14" t="s">
        <v>2388</v>
      </c>
      <c r="F136" s="14" t="s">
        <v>2405</v>
      </c>
      <c r="I136" s="14" t="s">
        <v>2390</v>
      </c>
      <c r="J136" s="14" t="s">
        <v>2406</v>
      </c>
      <c r="K136" s="14" t="s">
        <v>2407</v>
      </c>
      <c r="L136" s="14" t="s">
        <v>870</v>
      </c>
      <c r="M136" s="14" t="s">
        <v>2408</v>
      </c>
      <c r="N136" s="14">
        <v>2</v>
      </c>
      <c r="O136" s="14" t="s">
        <v>871</v>
      </c>
      <c r="P136" s="14">
        <v>0.9</v>
      </c>
      <c r="Q136" s="14">
        <v>0.9</v>
      </c>
      <c r="R136" s="14" t="s">
        <v>988</v>
      </c>
      <c r="S136" s="14" t="s">
        <v>1657</v>
      </c>
      <c r="T136" s="14" t="s">
        <v>1658</v>
      </c>
      <c r="U136" s="14" t="s">
        <v>1659</v>
      </c>
      <c r="V136" s="14" t="s">
        <v>238</v>
      </c>
      <c r="AG136" s="14">
        <v>11</v>
      </c>
      <c r="AH136" s="14">
        <v>11</v>
      </c>
      <c r="AS136" s="14">
        <v>8</v>
      </c>
      <c r="AT136" s="14">
        <v>8</v>
      </c>
      <c r="AU136" s="14" t="s">
        <v>2407</v>
      </c>
    </row>
    <row r="137" spans="1:47">
      <c r="A137" s="14" t="s">
        <v>2385</v>
      </c>
      <c r="B137" s="14" t="s">
        <v>2409</v>
      </c>
      <c r="C137" s="14" t="s">
        <v>2387</v>
      </c>
      <c r="D137" s="14" t="s">
        <v>2388</v>
      </c>
      <c r="F137" s="14" t="s">
        <v>2410</v>
      </c>
      <c r="I137" s="14" t="s">
        <v>2411</v>
      </c>
      <c r="J137" s="14" t="s">
        <v>2412</v>
      </c>
      <c r="K137" s="14" t="s">
        <v>2413</v>
      </c>
      <c r="L137" s="14" t="s">
        <v>870</v>
      </c>
      <c r="M137" s="14" t="s">
        <v>2414</v>
      </c>
      <c r="N137" s="14">
        <v>2</v>
      </c>
      <c r="O137" s="14" t="s">
        <v>871</v>
      </c>
      <c r="P137" s="14">
        <v>0.8</v>
      </c>
      <c r="Q137" s="14">
        <v>0.9</v>
      </c>
      <c r="R137" s="14" t="s">
        <v>872</v>
      </c>
      <c r="S137" s="14" t="s">
        <v>1657</v>
      </c>
      <c r="T137" s="14" t="s">
        <v>1658</v>
      </c>
      <c r="U137" s="14" t="s">
        <v>1659</v>
      </c>
      <c r="V137" s="14" t="s">
        <v>238</v>
      </c>
      <c r="AA137" s="14">
        <v>2</v>
      </c>
      <c r="AB137" s="14">
        <v>2</v>
      </c>
      <c r="AG137" s="14">
        <v>4</v>
      </c>
      <c r="AH137" s="14">
        <v>4</v>
      </c>
      <c r="AM137" s="14">
        <v>2</v>
      </c>
      <c r="AN137" s="14">
        <v>2</v>
      </c>
      <c r="AS137" s="14">
        <v>2</v>
      </c>
      <c r="AT137" s="14">
        <v>2</v>
      </c>
      <c r="AU137" s="14" t="s">
        <v>2413</v>
      </c>
    </row>
    <row r="138" spans="1:47">
      <c r="A138" s="14" t="s">
        <v>2385</v>
      </c>
      <c r="B138" s="14" t="s">
        <v>2415</v>
      </c>
      <c r="C138" s="14" t="s">
        <v>2387</v>
      </c>
      <c r="D138" s="14" t="s">
        <v>2388</v>
      </c>
      <c r="F138" s="14" t="s">
        <v>2416</v>
      </c>
      <c r="I138" s="14" t="s">
        <v>2417</v>
      </c>
      <c r="J138" s="14" t="s">
        <v>2418</v>
      </c>
      <c r="K138" s="14" t="s">
        <v>2419</v>
      </c>
      <c r="L138" s="14" t="s">
        <v>892</v>
      </c>
      <c r="M138" s="14" t="s">
        <v>2420</v>
      </c>
      <c r="N138" s="14">
        <v>2</v>
      </c>
      <c r="O138" s="14" t="s">
        <v>871</v>
      </c>
      <c r="P138" s="14">
        <v>0.75</v>
      </c>
      <c r="Q138" s="14">
        <v>0.9</v>
      </c>
      <c r="R138" s="14" t="s">
        <v>988</v>
      </c>
      <c r="S138" s="14" t="s">
        <v>1657</v>
      </c>
      <c r="T138" s="14" t="s">
        <v>1658</v>
      </c>
      <c r="U138" s="14" t="s">
        <v>1659</v>
      </c>
      <c r="V138" s="14" t="s">
        <v>238</v>
      </c>
      <c r="AG138" s="14">
        <v>2</v>
      </c>
      <c r="AH138" s="14">
        <v>2</v>
      </c>
      <c r="AS138" s="14">
        <v>2</v>
      </c>
      <c r="AT138" s="14">
        <v>2</v>
      </c>
      <c r="AU138" s="14" t="s">
        <v>2419</v>
      </c>
    </row>
    <row r="139" spans="1:47">
      <c r="A139" s="14" t="s">
        <v>2385</v>
      </c>
      <c r="B139" s="14" t="s">
        <v>2421</v>
      </c>
      <c r="C139" s="14" t="s">
        <v>2387</v>
      </c>
      <c r="D139" s="14" t="s">
        <v>2388</v>
      </c>
      <c r="F139" s="14" t="s">
        <v>2422</v>
      </c>
      <c r="I139" s="14" t="s">
        <v>2423</v>
      </c>
      <c r="J139" s="14" t="s">
        <v>2424</v>
      </c>
      <c r="K139" s="14" t="s">
        <v>2425</v>
      </c>
      <c r="L139" s="14" t="s">
        <v>892</v>
      </c>
      <c r="M139" s="14" t="s">
        <v>2426</v>
      </c>
      <c r="N139" s="14">
        <v>1</v>
      </c>
      <c r="O139" s="14" t="s">
        <v>871</v>
      </c>
      <c r="P139" s="14">
        <v>0.7</v>
      </c>
      <c r="Q139" s="14">
        <v>0.9</v>
      </c>
      <c r="R139" s="14" t="s">
        <v>988</v>
      </c>
      <c r="S139" s="14" t="s">
        <v>1657</v>
      </c>
      <c r="T139" s="14" t="s">
        <v>1658</v>
      </c>
      <c r="U139" s="14" t="s">
        <v>1659</v>
      </c>
      <c r="V139" s="14" t="s">
        <v>238</v>
      </c>
      <c r="AG139" s="14">
        <v>3</v>
      </c>
      <c r="AH139" s="14">
        <v>3</v>
      </c>
      <c r="AS139" s="14">
        <v>2</v>
      </c>
      <c r="AT139" s="14">
        <v>2</v>
      </c>
      <c r="AU139" s="14" t="s">
        <v>2425</v>
      </c>
    </row>
    <row r="140" spans="1:47">
      <c r="A140" s="14" t="s">
        <v>2260</v>
      </c>
      <c r="B140" s="14" t="s">
        <v>2427</v>
      </c>
      <c r="C140" s="14" t="s">
        <v>2262</v>
      </c>
      <c r="D140" s="14" t="s">
        <v>2263</v>
      </c>
      <c r="F140" s="14" t="s">
        <v>2428</v>
      </c>
      <c r="I140" s="14" t="s">
        <v>2429</v>
      </c>
      <c r="K140" s="14" t="s">
        <v>2430</v>
      </c>
      <c r="L140" s="14" t="s">
        <v>892</v>
      </c>
      <c r="M140" s="14" t="s">
        <v>2431</v>
      </c>
      <c r="N140" s="14">
        <v>2</v>
      </c>
      <c r="O140" s="14" t="s">
        <v>1656</v>
      </c>
      <c r="P140" s="14">
        <v>1</v>
      </c>
      <c r="Q140" s="14">
        <v>0.9</v>
      </c>
      <c r="R140" s="14" t="s">
        <v>872</v>
      </c>
      <c r="S140" s="14" t="s">
        <v>1657</v>
      </c>
      <c r="T140" s="14" t="s">
        <v>1658</v>
      </c>
      <c r="U140" s="14" t="s">
        <v>1659</v>
      </c>
      <c r="V140" s="14" t="s">
        <v>238</v>
      </c>
      <c r="AA140" s="14">
        <v>5</v>
      </c>
      <c r="AB140" s="14">
        <v>5</v>
      </c>
      <c r="AG140" s="14">
        <v>6</v>
      </c>
      <c r="AH140" s="14">
        <v>6</v>
      </c>
      <c r="AM140" s="14">
        <v>4</v>
      </c>
      <c r="AN140" s="14">
        <v>4</v>
      </c>
      <c r="AU140" s="14" t="s">
        <v>2430</v>
      </c>
    </row>
    <row r="141" spans="1:47">
      <c r="A141" s="14" t="s">
        <v>2432</v>
      </c>
      <c r="B141" s="14" t="s">
        <v>2433</v>
      </c>
      <c r="C141" s="14" t="s">
        <v>2434</v>
      </c>
      <c r="D141" s="14" t="s">
        <v>2435</v>
      </c>
      <c r="F141" s="14" t="s">
        <v>2436</v>
      </c>
      <c r="I141" s="14" t="s">
        <v>2437</v>
      </c>
      <c r="K141" s="14" t="s">
        <v>2438</v>
      </c>
      <c r="L141" s="14" t="s">
        <v>892</v>
      </c>
      <c r="M141" s="14" t="s">
        <v>2439</v>
      </c>
      <c r="N141" s="14">
        <v>2</v>
      </c>
      <c r="O141" s="14" t="s">
        <v>1656</v>
      </c>
      <c r="P141" s="14">
        <v>1</v>
      </c>
      <c r="Q141" s="14">
        <v>0.9</v>
      </c>
      <c r="R141" s="14" t="s">
        <v>872</v>
      </c>
      <c r="S141" s="14" t="s">
        <v>1657</v>
      </c>
      <c r="T141" s="14" t="s">
        <v>1658</v>
      </c>
      <c r="U141" s="14" t="s">
        <v>1659</v>
      </c>
      <c r="V141" s="14" t="s">
        <v>238</v>
      </c>
      <c r="AA141" s="14">
        <v>7</v>
      </c>
      <c r="AB141" s="14">
        <v>7</v>
      </c>
      <c r="AG141" s="14">
        <v>6</v>
      </c>
      <c r="AH141" s="14">
        <v>6</v>
      </c>
      <c r="AM141" s="14">
        <v>7</v>
      </c>
      <c r="AN141" s="14">
        <v>7</v>
      </c>
      <c r="AS141" s="14">
        <v>1</v>
      </c>
      <c r="AT141" s="14">
        <v>1</v>
      </c>
      <c r="AU141" s="14" t="s">
        <v>2438</v>
      </c>
    </row>
    <row r="142" spans="1:47">
      <c r="A142" s="14" t="s">
        <v>2440</v>
      </c>
      <c r="B142" s="14" t="s">
        <v>2441</v>
      </c>
      <c r="C142" s="14" t="s">
        <v>2442</v>
      </c>
      <c r="F142" s="14" t="s">
        <v>2443</v>
      </c>
      <c r="I142" s="14" t="s">
        <v>2444</v>
      </c>
      <c r="J142" s="14" t="s">
        <v>2445</v>
      </c>
      <c r="K142" s="14" t="s">
        <v>2446</v>
      </c>
      <c r="L142" s="14" t="s">
        <v>892</v>
      </c>
      <c r="M142" s="14" t="s">
        <v>2447</v>
      </c>
      <c r="N142" s="14">
        <v>2</v>
      </c>
      <c r="O142" s="14" t="s">
        <v>871</v>
      </c>
      <c r="P142" s="14">
        <v>1</v>
      </c>
      <c r="Q142" s="14">
        <v>0.9</v>
      </c>
      <c r="R142" s="14" t="s">
        <v>872</v>
      </c>
      <c r="S142" s="14" t="s">
        <v>1657</v>
      </c>
      <c r="T142" s="14" t="s">
        <v>1658</v>
      </c>
      <c r="U142" s="14" t="s">
        <v>1659</v>
      </c>
      <c r="V142" s="14" t="s">
        <v>238</v>
      </c>
      <c r="AA142" s="14">
        <v>8</v>
      </c>
      <c r="AB142" s="14">
        <v>10</v>
      </c>
      <c r="AG142" s="14">
        <v>11</v>
      </c>
      <c r="AH142" s="14">
        <v>9</v>
      </c>
      <c r="AM142" s="14">
        <v>6</v>
      </c>
      <c r="AN142" s="14">
        <v>6</v>
      </c>
      <c r="AS142" s="14">
        <v>17</v>
      </c>
      <c r="AT142" s="14">
        <v>17</v>
      </c>
      <c r="AU142" s="14" t="s">
        <v>2446</v>
      </c>
    </row>
    <row r="143" spans="1:47">
      <c r="A143" s="14" t="s">
        <v>2440</v>
      </c>
      <c r="B143" s="14" t="s">
        <v>2448</v>
      </c>
      <c r="C143" s="14" t="s">
        <v>2442</v>
      </c>
      <c r="F143" s="14" t="s">
        <v>2443</v>
      </c>
      <c r="I143" s="14" t="s">
        <v>2449</v>
      </c>
      <c r="J143" s="14" t="s">
        <v>2450</v>
      </c>
      <c r="K143" s="14" t="s">
        <v>2451</v>
      </c>
      <c r="L143" s="14" t="s">
        <v>892</v>
      </c>
      <c r="M143" s="14" t="s">
        <v>2452</v>
      </c>
      <c r="N143" s="14">
        <v>1</v>
      </c>
      <c r="O143" s="14" t="s">
        <v>871</v>
      </c>
      <c r="P143" s="14">
        <v>0.25</v>
      </c>
      <c r="Q143" s="14">
        <v>0.9</v>
      </c>
      <c r="R143" s="14" t="s">
        <v>872</v>
      </c>
      <c r="S143" s="14" t="s">
        <v>1657</v>
      </c>
      <c r="T143" s="14" t="s">
        <v>1658</v>
      </c>
      <c r="U143" s="14" t="s">
        <v>1659</v>
      </c>
      <c r="V143" s="14" t="s">
        <v>238</v>
      </c>
      <c r="AA143" s="14">
        <v>2</v>
      </c>
      <c r="AB143" s="14">
        <v>2</v>
      </c>
      <c r="AG143" s="14">
        <v>5</v>
      </c>
      <c r="AH143" s="14">
        <v>5</v>
      </c>
      <c r="AM143" s="14">
        <v>4.5</v>
      </c>
      <c r="AN143" s="14">
        <v>4.5</v>
      </c>
      <c r="AS143" s="14">
        <v>15.25</v>
      </c>
      <c r="AT143" s="14">
        <v>15.25</v>
      </c>
      <c r="AU143" s="14" t="s">
        <v>2451</v>
      </c>
    </row>
    <row r="144" spans="1:47">
      <c r="A144" s="14" t="s">
        <v>2432</v>
      </c>
      <c r="B144" s="14" t="s">
        <v>2453</v>
      </c>
      <c r="C144" s="14" t="s">
        <v>2434</v>
      </c>
      <c r="D144" s="14" t="s">
        <v>2435</v>
      </c>
      <c r="F144" s="14" t="s">
        <v>2454</v>
      </c>
      <c r="I144" s="14" t="s">
        <v>2455</v>
      </c>
      <c r="J144" s="14" t="s">
        <v>2445</v>
      </c>
      <c r="K144" s="14" t="s">
        <v>2456</v>
      </c>
      <c r="L144" s="14" t="s">
        <v>892</v>
      </c>
      <c r="M144" s="14" t="s">
        <v>2457</v>
      </c>
      <c r="N144" s="14">
        <v>1</v>
      </c>
      <c r="O144" s="14" t="s">
        <v>871</v>
      </c>
      <c r="P144" s="14">
        <v>1</v>
      </c>
      <c r="Q144" s="14">
        <v>0.9</v>
      </c>
      <c r="R144" s="14" t="s">
        <v>872</v>
      </c>
      <c r="S144" s="14" t="s">
        <v>1657</v>
      </c>
      <c r="T144" s="14" t="s">
        <v>1658</v>
      </c>
      <c r="U144" s="14" t="s">
        <v>1659</v>
      </c>
      <c r="V144" s="14" t="s">
        <v>238</v>
      </c>
      <c r="AA144" s="14">
        <v>3</v>
      </c>
      <c r="AB144" s="14">
        <v>3</v>
      </c>
      <c r="AG144" s="14">
        <v>11</v>
      </c>
      <c r="AH144" s="14">
        <v>11</v>
      </c>
      <c r="AM144" s="14">
        <v>5</v>
      </c>
      <c r="AN144" s="14">
        <v>5</v>
      </c>
      <c r="AS144" s="14">
        <v>26</v>
      </c>
      <c r="AT144" s="14">
        <v>26</v>
      </c>
      <c r="AU144" s="14" t="s">
        <v>2456</v>
      </c>
    </row>
    <row r="145" spans="1:47">
      <c r="A145" s="14" t="s">
        <v>2432</v>
      </c>
      <c r="B145" s="14" t="s">
        <v>2458</v>
      </c>
      <c r="C145" s="14" t="s">
        <v>2434</v>
      </c>
      <c r="D145" s="14" t="s">
        <v>2435</v>
      </c>
      <c r="F145" s="14" t="s">
        <v>2459</v>
      </c>
      <c r="I145" s="14" t="s">
        <v>2460</v>
      </c>
      <c r="J145" s="14" t="s">
        <v>2445</v>
      </c>
      <c r="K145" s="14" t="s">
        <v>2461</v>
      </c>
      <c r="L145" s="14" t="s">
        <v>892</v>
      </c>
      <c r="M145" s="14" t="s">
        <v>2462</v>
      </c>
      <c r="N145" s="14">
        <v>1</v>
      </c>
      <c r="O145" s="14" t="s">
        <v>871</v>
      </c>
      <c r="P145" s="14">
        <v>1</v>
      </c>
      <c r="Q145" s="14">
        <v>0.9</v>
      </c>
      <c r="R145" s="14" t="s">
        <v>872</v>
      </c>
      <c r="S145" s="14" t="s">
        <v>1657</v>
      </c>
      <c r="T145" s="14" t="s">
        <v>1658</v>
      </c>
      <c r="U145" s="14" t="s">
        <v>1659</v>
      </c>
      <c r="V145" s="14" t="s">
        <v>238</v>
      </c>
      <c r="AA145" s="14">
        <v>2</v>
      </c>
      <c r="AB145" s="14">
        <v>2</v>
      </c>
      <c r="AG145" s="14">
        <v>5</v>
      </c>
      <c r="AH145" s="14">
        <v>5</v>
      </c>
      <c r="AM145" s="14">
        <v>2</v>
      </c>
      <c r="AN145" s="14">
        <v>4</v>
      </c>
      <c r="AS145" s="14">
        <v>3</v>
      </c>
      <c r="AT145" s="14">
        <v>3</v>
      </c>
      <c r="AU145" s="14" t="s">
        <v>2461</v>
      </c>
    </row>
    <row r="146" spans="1:47">
      <c r="A146" s="14" t="s">
        <v>2463</v>
      </c>
      <c r="B146" s="14" t="s">
        <v>2464</v>
      </c>
      <c r="C146" s="14" t="s">
        <v>2465</v>
      </c>
      <c r="F146" s="14" t="s">
        <v>2466</v>
      </c>
      <c r="I146" s="14" t="s">
        <v>2467</v>
      </c>
      <c r="J146" s="14" t="s">
        <v>2445</v>
      </c>
      <c r="K146" s="14" t="s">
        <v>2468</v>
      </c>
      <c r="L146" s="14" t="s">
        <v>892</v>
      </c>
      <c r="M146" s="14" t="s">
        <v>2469</v>
      </c>
      <c r="N146" s="14">
        <v>1</v>
      </c>
      <c r="O146" s="14" t="s">
        <v>871</v>
      </c>
      <c r="P146" s="14">
        <v>1</v>
      </c>
      <c r="Q146" s="14">
        <v>0.9</v>
      </c>
      <c r="R146" s="14" t="s">
        <v>872</v>
      </c>
      <c r="S146" s="14" t="s">
        <v>1657</v>
      </c>
      <c r="T146" s="14" t="s">
        <v>1658</v>
      </c>
      <c r="U146" s="14" t="s">
        <v>1659</v>
      </c>
      <c r="V146" s="14" t="s">
        <v>238</v>
      </c>
      <c r="AA146" s="14">
        <v>7</v>
      </c>
      <c r="AB146" s="14">
        <v>7</v>
      </c>
      <c r="AG146" s="14">
        <v>3</v>
      </c>
      <c r="AH146" s="14">
        <v>3</v>
      </c>
      <c r="AM146" s="14">
        <v>1</v>
      </c>
      <c r="AN146" s="14">
        <v>1</v>
      </c>
      <c r="AS146" s="14">
        <v>6</v>
      </c>
      <c r="AT146" s="14">
        <v>6</v>
      </c>
      <c r="AU146" s="14" t="s">
        <v>2468</v>
      </c>
    </row>
    <row r="147" spans="1:47">
      <c r="A147" s="14" t="s">
        <v>2440</v>
      </c>
      <c r="B147" s="14" t="s">
        <v>2470</v>
      </c>
      <c r="C147" s="14" t="s">
        <v>2442</v>
      </c>
      <c r="F147" s="14" t="s">
        <v>2471</v>
      </c>
      <c r="I147" s="14" t="s">
        <v>2472</v>
      </c>
      <c r="J147" s="14" t="s">
        <v>2473</v>
      </c>
      <c r="K147" s="14" t="s">
        <v>2474</v>
      </c>
      <c r="L147" s="14" t="s">
        <v>870</v>
      </c>
      <c r="M147" s="14" t="s">
        <v>2475</v>
      </c>
      <c r="N147" s="14">
        <v>1</v>
      </c>
      <c r="O147" s="14" t="s">
        <v>871</v>
      </c>
      <c r="P147" s="14">
        <v>1</v>
      </c>
      <c r="Q147" s="14">
        <v>0.9</v>
      </c>
      <c r="R147" s="14" t="s">
        <v>872</v>
      </c>
      <c r="S147" s="14" t="s">
        <v>1657</v>
      </c>
      <c r="T147" s="14" t="s">
        <v>1658</v>
      </c>
      <c r="U147" s="14" t="s">
        <v>1659</v>
      </c>
      <c r="V147" s="14" t="s">
        <v>238</v>
      </c>
      <c r="AA147" s="14">
        <v>14</v>
      </c>
      <c r="AB147" s="14">
        <v>16</v>
      </c>
      <c r="AG147" s="14">
        <v>8</v>
      </c>
      <c r="AH147" s="14">
        <v>8</v>
      </c>
      <c r="AM147" s="14">
        <v>7</v>
      </c>
      <c r="AN147" s="14">
        <v>7</v>
      </c>
      <c r="AS147" s="14">
        <v>12</v>
      </c>
      <c r="AT147" s="14">
        <v>12</v>
      </c>
      <c r="AU147" s="14" t="s">
        <v>2474</v>
      </c>
    </row>
    <row r="148" spans="1:47">
      <c r="A148" s="14" t="s">
        <v>2440</v>
      </c>
      <c r="B148" s="14" t="s">
        <v>2476</v>
      </c>
      <c r="C148" s="14" t="s">
        <v>2442</v>
      </c>
      <c r="F148" s="14" t="s">
        <v>2477</v>
      </c>
      <c r="I148" s="14" t="s">
        <v>2478</v>
      </c>
      <c r="J148" s="14" t="s">
        <v>2479</v>
      </c>
      <c r="K148" s="14" t="s">
        <v>2480</v>
      </c>
      <c r="L148" s="14" t="s">
        <v>870</v>
      </c>
      <c r="M148" s="14" t="s">
        <v>2481</v>
      </c>
      <c r="N148" s="14">
        <v>1</v>
      </c>
      <c r="O148" s="14" t="s">
        <v>871</v>
      </c>
      <c r="P148" s="14">
        <v>0.9</v>
      </c>
      <c r="Q148" s="14">
        <v>0.9</v>
      </c>
      <c r="R148" s="14" t="s">
        <v>872</v>
      </c>
      <c r="S148" s="14" t="s">
        <v>1657</v>
      </c>
      <c r="T148" s="14" t="s">
        <v>1658</v>
      </c>
      <c r="U148" s="14" t="s">
        <v>1659</v>
      </c>
      <c r="V148" s="14" t="s">
        <v>238</v>
      </c>
      <c r="AA148" s="14">
        <v>6127</v>
      </c>
      <c r="AB148" s="14">
        <v>6542</v>
      </c>
      <c r="AG148" s="14">
        <v>7543</v>
      </c>
      <c r="AH148" s="14">
        <v>7948</v>
      </c>
      <c r="AM148" s="14">
        <v>10107</v>
      </c>
      <c r="AN148" s="14">
        <v>10526</v>
      </c>
      <c r="AS148" s="14">
        <v>9561</v>
      </c>
      <c r="AT148" s="14">
        <v>10536</v>
      </c>
      <c r="AU148" s="14" t="s">
        <v>2480</v>
      </c>
    </row>
    <row r="149" spans="1:47">
      <c r="A149" s="14" t="s">
        <v>2463</v>
      </c>
      <c r="B149" s="14" t="s">
        <v>2482</v>
      </c>
      <c r="C149" s="14" t="s">
        <v>2465</v>
      </c>
      <c r="F149" s="14" t="s">
        <v>2483</v>
      </c>
      <c r="I149" s="14" t="s">
        <v>2484</v>
      </c>
      <c r="K149" s="14" t="s">
        <v>2485</v>
      </c>
      <c r="L149" s="14" t="s">
        <v>870</v>
      </c>
      <c r="M149" s="14" t="s">
        <v>2486</v>
      </c>
      <c r="N149" s="14">
        <v>1</v>
      </c>
      <c r="O149" s="14" t="s">
        <v>1656</v>
      </c>
      <c r="P149" s="14">
        <v>1</v>
      </c>
      <c r="Q149" s="14">
        <v>0.9</v>
      </c>
      <c r="R149" s="14" t="s">
        <v>988</v>
      </c>
      <c r="S149" s="14" t="s">
        <v>1657</v>
      </c>
      <c r="T149" s="14" t="s">
        <v>1658</v>
      </c>
      <c r="U149" s="14" t="s">
        <v>1659</v>
      </c>
      <c r="V149" s="14" t="s">
        <v>238</v>
      </c>
      <c r="AG149" s="14">
        <v>455</v>
      </c>
      <c r="AH149" s="14">
        <v>898</v>
      </c>
      <c r="AS149" s="14">
        <v>159</v>
      </c>
      <c r="AT149" s="14">
        <v>192</v>
      </c>
      <c r="AU149" s="14" t="s">
        <v>2485</v>
      </c>
    </row>
    <row r="150" spans="1:47">
      <c r="A150" s="14" t="s">
        <v>2440</v>
      </c>
      <c r="B150" s="14" t="s">
        <v>2487</v>
      </c>
      <c r="C150" s="14" t="s">
        <v>2442</v>
      </c>
      <c r="F150" s="14" t="s">
        <v>2488</v>
      </c>
      <c r="I150" s="14" t="s">
        <v>2489</v>
      </c>
      <c r="K150" s="14" t="s">
        <v>2490</v>
      </c>
      <c r="L150" s="14" t="s">
        <v>870</v>
      </c>
      <c r="M150" s="14" t="s">
        <v>2491</v>
      </c>
      <c r="N150" s="14">
        <v>1</v>
      </c>
      <c r="O150" s="14" t="s">
        <v>871</v>
      </c>
      <c r="P150" s="14">
        <v>1</v>
      </c>
      <c r="Q150" s="14">
        <v>0.9</v>
      </c>
      <c r="R150" s="14" t="s">
        <v>910</v>
      </c>
      <c r="S150" s="14" t="s">
        <v>1657</v>
      </c>
      <c r="T150" s="14" t="s">
        <v>1658</v>
      </c>
      <c r="U150" s="14" t="s">
        <v>1659</v>
      </c>
      <c r="V150" s="14" t="s">
        <v>238</v>
      </c>
      <c r="AG150" s="14">
        <v>4</v>
      </c>
      <c r="AH150" s="14">
        <v>4</v>
      </c>
      <c r="AM150" s="14">
        <v>1</v>
      </c>
      <c r="AN150" s="14">
        <v>1</v>
      </c>
      <c r="AS150" s="14">
        <v>8</v>
      </c>
      <c r="AT150" s="14">
        <v>8</v>
      </c>
      <c r="AU150" s="14" t="s">
        <v>2490</v>
      </c>
    </row>
    <row r="151" spans="1:47">
      <c r="A151" s="14" t="s">
        <v>2492</v>
      </c>
      <c r="B151" s="14" t="s">
        <v>2493</v>
      </c>
      <c r="C151" s="14" t="s">
        <v>2494</v>
      </c>
      <c r="D151" s="14" t="s">
        <v>2495</v>
      </c>
      <c r="F151" s="14" t="s">
        <v>2496</v>
      </c>
      <c r="G151" s="14" t="s">
        <v>2497</v>
      </c>
      <c r="I151" s="14" t="s">
        <v>2498</v>
      </c>
      <c r="J151" s="14" t="s">
        <v>2499</v>
      </c>
      <c r="K151" s="14" t="s">
        <v>2500</v>
      </c>
      <c r="L151" s="14" t="s">
        <v>892</v>
      </c>
      <c r="M151" s="14" t="s">
        <v>2501</v>
      </c>
      <c r="N151" s="14">
        <v>1</v>
      </c>
      <c r="O151" s="14" t="s">
        <v>871</v>
      </c>
      <c r="P151" s="14">
        <v>1</v>
      </c>
      <c r="Q151" s="14">
        <v>0.9</v>
      </c>
      <c r="R151" s="14" t="s">
        <v>872</v>
      </c>
      <c r="S151" s="14" t="s">
        <v>1657</v>
      </c>
      <c r="T151" s="14" t="s">
        <v>1658</v>
      </c>
      <c r="U151" s="14" t="s">
        <v>1659</v>
      </c>
      <c r="V151" s="14" t="s">
        <v>2502</v>
      </c>
      <c r="X151" s="14">
        <v>0</v>
      </c>
      <c r="Z151" s="14">
        <v>0</v>
      </c>
      <c r="AA151" s="14">
        <v>13</v>
      </c>
      <c r="AB151" s="14">
        <v>13</v>
      </c>
      <c r="AD151" s="14">
        <v>0</v>
      </c>
      <c r="AF151" s="14">
        <v>0</v>
      </c>
      <c r="AG151" s="14">
        <v>17</v>
      </c>
      <c r="AH151" s="14">
        <v>17</v>
      </c>
      <c r="AJ151" s="14">
        <v>0</v>
      </c>
      <c r="AL151" s="14">
        <v>0</v>
      </c>
      <c r="AM151" s="14">
        <v>14</v>
      </c>
      <c r="AN151" s="14">
        <v>14</v>
      </c>
      <c r="AP151" s="14">
        <v>0</v>
      </c>
      <c r="AR151" s="14">
        <v>0</v>
      </c>
      <c r="AS151" s="14">
        <v>25</v>
      </c>
      <c r="AT151" s="14">
        <v>25</v>
      </c>
      <c r="AU151" s="14" t="s">
        <v>2500</v>
      </c>
    </row>
    <row r="152" spans="1:47">
      <c r="A152" s="14" t="s">
        <v>2503</v>
      </c>
      <c r="B152" s="14" t="s">
        <v>2504</v>
      </c>
      <c r="C152" s="14" t="s">
        <v>2505</v>
      </c>
      <c r="F152" s="14" t="s">
        <v>2506</v>
      </c>
      <c r="I152" s="14" t="s">
        <v>2507</v>
      </c>
      <c r="J152" s="14" t="s">
        <v>2508</v>
      </c>
      <c r="K152" s="14" t="s">
        <v>2509</v>
      </c>
      <c r="L152" s="14" t="s">
        <v>892</v>
      </c>
      <c r="M152" s="14" t="s">
        <v>2510</v>
      </c>
      <c r="N152" s="14">
        <v>1</v>
      </c>
      <c r="O152" s="14" t="s">
        <v>871</v>
      </c>
      <c r="P152" s="14">
        <v>1</v>
      </c>
      <c r="Q152" s="14">
        <v>0.9</v>
      </c>
      <c r="R152" s="14" t="s">
        <v>872</v>
      </c>
      <c r="S152" s="14" t="s">
        <v>1657</v>
      </c>
      <c r="T152" s="14" t="s">
        <v>1658</v>
      </c>
      <c r="U152" s="14" t="s">
        <v>1659</v>
      </c>
      <c r="V152" s="14" t="s">
        <v>2502</v>
      </c>
      <c r="X152" s="14">
        <v>0</v>
      </c>
      <c r="Z152" s="14">
        <v>0</v>
      </c>
      <c r="AA152" s="14">
        <v>2</v>
      </c>
      <c r="AB152" s="14">
        <v>2</v>
      </c>
      <c r="AD152" s="14">
        <v>0</v>
      </c>
      <c r="AF152" s="14">
        <v>0</v>
      </c>
      <c r="AG152" s="14">
        <v>2</v>
      </c>
      <c r="AH152" s="14">
        <v>2</v>
      </c>
      <c r="AJ152" s="14">
        <v>0</v>
      </c>
      <c r="AL152" s="14">
        <v>0</v>
      </c>
      <c r="AM152" s="14">
        <v>1</v>
      </c>
      <c r="AN152" s="14">
        <v>1</v>
      </c>
      <c r="AP152" s="14">
        <v>0</v>
      </c>
      <c r="AR152" s="14">
        <v>0</v>
      </c>
      <c r="AS152" s="14">
        <v>43</v>
      </c>
      <c r="AT152" s="14">
        <v>43</v>
      </c>
      <c r="AU152" s="14" t="s">
        <v>2509</v>
      </c>
    </row>
    <row r="153" spans="1:47">
      <c r="A153" s="14" t="s">
        <v>2511</v>
      </c>
      <c r="B153" s="14" t="s">
        <v>2512</v>
      </c>
      <c r="C153" s="14" t="s">
        <v>2513</v>
      </c>
      <c r="D153" s="14" t="s">
        <v>2514</v>
      </c>
      <c r="F153" s="14" t="s">
        <v>1442</v>
      </c>
      <c r="I153" s="14" t="s">
        <v>2507</v>
      </c>
      <c r="J153" s="14" t="s">
        <v>2515</v>
      </c>
      <c r="K153" s="14" t="s">
        <v>2516</v>
      </c>
      <c r="L153" s="14" t="s">
        <v>892</v>
      </c>
      <c r="M153" s="14" t="s">
        <v>2517</v>
      </c>
      <c r="N153" s="14">
        <v>2</v>
      </c>
      <c r="O153" s="14" t="s">
        <v>871</v>
      </c>
      <c r="P153" s="14">
        <v>1</v>
      </c>
      <c r="Q153" s="14">
        <v>0.9</v>
      </c>
      <c r="R153" s="14" t="s">
        <v>872</v>
      </c>
      <c r="S153" s="14" t="s">
        <v>1657</v>
      </c>
      <c r="T153" s="14" t="s">
        <v>1658</v>
      </c>
      <c r="U153" s="14" t="s">
        <v>1659</v>
      </c>
      <c r="V153" s="14" t="s">
        <v>2502</v>
      </c>
      <c r="X153" s="14">
        <v>0</v>
      </c>
      <c r="Z153" s="14">
        <v>0</v>
      </c>
      <c r="AA153" s="14">
        <v>17</v>
      </c>
      <c r="AB153" s="14">
        <v>17</v>
      </c>
      <c r="AD153" s="14">
        <v>0</v>
      </c>
      <c r="AF153" s="14">
        <v>0</v>
      </c>
      <c r="AG153" s="14">
        <v>27</v>
      </c>
      <c r="AH153" s="14">
        <v>27</v>
      </c>
      <c r="AJ153" s="14">
        <v>0</v>
      </c>
      <c r="AL153" s="14">
        <v>0</v>
      </c>
      <c r="AM153" s="14">
        <v>26</v>
      </c>
      <c r="AN153" s="14">
        <v>26</v>
      </c>
      <c r="AP153" s="14">
        <v>0</v>
      </c>
      <c r="AR153" s="14">
        <v>0</v>
      </c>
      <c r="AS153" s="14">
        <v>27</v>
      </c>
      <c r="AT153" s="14">
        <v>27</v>
      </c>
      <c r="AU153" s="14" t="s">
        <v>2516</v>
      </c>
    </row>
    <row r="154" spans="1:47">
      <c r="A154" s="14" t="s">
        <v>2518</v>
      </c>
      <c r="B154" s="14" t="s">
        <v>2519</v>
      </c>
      <c r="C154" s="14" t="s">
        <v>2520</v>
      </c>
      <c r="D154" s="14" t="s">
        <v>2521</v>
      </c>
      <c r="F154" s="14" t="s">
        <v>1448</v>
      </c>
      <c r="I154" s="14" t="s">
        <v>2498</v>
      </c>
      <c r="J154" s="14" t="s">
        <v>2522</v>
      </c>
      <c r="K154" s="14" t="s">
        <v>2523</v>
      </c>
      <c r="L154" s="14" t="s">
        <v>892</v>
      </c>
      <c r="M154" s="14" t="s">
        <v>2524</v>
      </c>
      <c r="O154" s="14" t="s">
        <v>871</v>
      </c>
      <c r="P154" s="14">
        <v>1</v>
      </c>
      <c r="Q154" s="14">
        <v>0.9</v>
      </c>
      <c r="R154" s="14" t="s">
        <v>872</v>
      </c>
      <c r="S154" s="14" t="s">
        <v>1657</v>
      </c>
      <c r="T154" s="14" t="s">
        <v>1658</v>
      </c>
      <c r="U154" s="14" t="s">
        <v>1659</v>
      </c>
      <c r="V154" s="14" t="s">
        <v>2502</v>
      </c>
      <c r="X154" s="14">
        <v>0</v>
      </c>
      <c r="Z154" s="14">
        <v>0</v>
      </c>
      <c r="AA154" s="14">
        <v>36</v>
      </c>
      <c r="AB154" s="14">
        <v>36</v>
      </c>
      <c r="AD154" s="14">
        <v>0</v>
      </c>
      <c r="AF154" s="14">
        <v>0</v>
      </c>
      <c r="AG154" s="14">
        <v>39</v>
      </c>
      <c r="AH154" s="14">
        <v>39</v>
      </c>
      <c r="AJ154" s="14">
        <v>0</v>
      </c>
      <c r="AL154" s="14">
        <v>0</v>
      </c>
      <c r="AM154" s="14">
        <v>36</v>
      </c>
      <c r="AN154" s="14">
        <v>36</v>
      </c>
      <c r="AP154" s="14">
        <v>0</v>
      </c>
      <c r="AR154" s="14">
        <v>0</v>
      </c>
      <c r="AS154" s="14">
        <v>45</v>
      </c>
      <c r="AT154" s="14">
        <v>45</v>
      </c>
      <c r="AU154" s="14" t="s">
        <v>2523</v>
      </c>
    </row>
    <row r="155" spans="1:47">
      <c r="A155" s="14" t="s">
        <v>2525</v>
      </c>
      <c r="B155" s="14" t="s">
        <v>1453</v>
      </c>
      <c r="C155" s="14" t="s">
        <v>2494</v>
      </c>
      <c r="D155" s="14" t="s">
        <v>2495</v>
      </c>
      <c r="F155" s="14" t="s">
        <v>2526</v>
      </c>
      <c r="I155" s="14" t="s">
        <v>2498</v>
      </c>
      <c r="J155" s="14" t="s">
        <v>2527</v>
      </c>
      <c r="K155" s="14" t="s">
        <v>2528</v>
      </c>
      <c r="L155" s="14" t="s">
        <v>892</v>
      </c>
      <c r="M155" s="14" t="s">
        <v>2529</v>
      </c>
      <c r="N155" s="14">
        <v>2</v>
      </c>
      <c r="O155" s="14" t="s">
        <v>871</v>
      </c>
      <c r="P155" s="14">
        <v>1</v>
      </c>
      <c r="Q155" s="14">
        <v>0.9</v>
      </c>
      <c r="R155" s="14" t="s">
        <v>872</v>
      </c>
      <c r="S155" s="14" t="s">
        <v>1657</v>
      </c>
      <c r="T155" s="14" t="s">
        <v>1658</v>
      </c>
      <c r="U155" s="14" t="s">
        <v>1659</v>
      </c>
      <c r="V155" s="14" t="s">
        <v>2502</v>
      </c>
      <c r="X155" s="14">
        <v>0</v>
      </c>
      <c r="Z155" s="14">
        <v>0</v>
      </c>
      <c r="AA155" s="14">
        <v>2</v>
      </c>
      <c r="AB155" s="14">
        <v>2</v>
      </c>
      <c r="AD155" s="14">
        <v>0</v>
      </c>
      <c r="AF155" s="14">
        <v>0</v>
      </c>
      <c r="AG155" s="14">
        <v>4</v>
      </c>
      <c r="AH155" s="14">
        <v>4</v>
      </c>
      <c r="AJ155" s="14">
        <v>0</v>
      </c>
      <c r="AL155" s="14">
        <v>0</v>
      </c>
      <c r="AM155" s="14">
        <v>2</v>
      </c>
      <c r="AN155" s="14">
        <v>2</v>
      </c>
      <c r="AP155" s="14">
        <v>0</v>
      </c>
      <c r="AR155" s="14">
        <v>0</v>
      </c>
      <c r="AS155" s="14">
        <v>6</v>
      </c>
      <c r="AT155" s="14">
        <v>6</v>
      </c>
      <c r="AU155" s="14" t="s">
        <v>2528</v>
      </c>
    </row>
    <row r="156" spans="1:47">
      <c r="A156" s="14" t="s">
        <v>2525</v>
      </c>
      <c r="B156" s="14" t="s">
        <v>2530</v>
      </c>
      <c r="C156" s="14" t="s">
        <v>2494</v>
      </c>
      <c r="D156" s="14" t="s">
        <v>2495</v>
      </c>
      <c r="F156" s="14" t="s">
        <v>2531</v>
      </c>
      <c r="I156" s="14" t="s">
        <v>2507</v>
      </c>
      <c r="J156" s="14" t="s">
        <v>2532</v>
      </c>
      <c r="K156" s="14" t="s">
        <v>2533</v>
      </c>
      <c r="L156" s="14" t="s">
        <v>892</v>
      </c>
      <c r="M156" s="14" t="s">
        <v>2534</v>
      </c>
      <c r="N156" s="14">
        <v>2</v>
      </c>
      <c r="O156" s="14" t="s">
        <v>871</v>
      </c>
      <c r="P156" s="14">
        <v>1</v>
      </c>
      <c r="Q156" s="14">
        <v>0.9</v>
      </c>
      <c r="R156" s="14" t="s">
        <v>872</v>
      </c>
      <c r="S156" s="14" t="s">
        <v>1657</v>
      </c>
      <c r="T156" s="14" t="s">
        <v>1658</v>
      </c>
      <c r="U156" s="14" t="s">
        <v>1659</v>
      </c>
      <c r="V156" s="14" t="s">
        <v>2502</v>
      </c>
      <c r="X156" s="14">
        <v>0</v>
      </c>
      <c r="Z156" s="14">
        <v>0</v>
      </c>
      <c r="AA156" s="14">
        <v>13</v>
      </c>
      <c r="AB156" s="14">
        <v>13</v>
      </c>
      <c r="AD156" s="14">
        <v>0</v>
      </c>
      <c r="AF156" s="14">
        <v>0</v>
      </c>
      <c r="AG156" s="14">
        <v>17</v>
      </c>
      <c r="AH156" s="14">
        <v>17</v>
      </c>
      <c r="AJ156" s="14">
        <v>0</v>
      </c>
      <c r="AL156" s="14">
        <v>0</v>
      </c>
      <c r="AM156" s="14">
        <v>14</v>
      </c>
      <c r="AN156" s="14">
        <v>14</v>
      </c>
      <c r="AP156" s="14">
        <v>0</v>
      </c>
      <c r="AR156" s="14">
        <v>0</v>
      </c>
      <c r="AS156" s="14">
        <v>25</v>
      </c>
      <c r="AT156" s="14">
        <v>25</v>
      </c>
      <c r="AU156" s="14" t="s">
        <v>2533</v>
      </c>
    </row>
    <row r="157" spans="1:47">
      <c r="A157" s="14" t="s">
        <v>2535</v>
      </c>
      <c r="B157" s="14" t="s">
        <v>2536</v>
      </c>
      <c r="C157" s="14" t="s">
        <v>2505</v>
      </c>
      <c r="F157" s="14" t="s">
        <v>2537</v>
      </c>
      <c r="I157" s="14" t="s">
        <v>2507</v>
      </c>
      <c r="J157" s="14" t="s">
        <v>2538</v>
      </c>
      <c r="K157" s="14" t="s">
        <v>2539</v>
      </c>
      <c r="L157" s="14" t="s">
        <v>892</v>
      </c>
      <c r="M157" s="14" t="s">
        <v>2540</v>
      </c>
      <c r="N157" s="14">
        <v>1</v>
      </c>
      <c r="O157" s="14" t="s">
        <v>871</v>
      </c>
      <c r="P157" s="14">
        <v>1</v>
      </c>
      <c r="Q157" s="14">
        <v>0.9</v>
      </c>
      <c r="R157" s="14" t="s">
        <v>872</v>
      </c>
      <c r="S157" s="14" t="s">
        <v>1657</v>
      </c>
      <c r="T157" s="14" t="s">
        <v>1658</v>
      </c>
      <c r="U157" s="14" t="s">
        <v>1659</v>
      </c>
      <c r="V157" s="14" t="s">
        <v>238</v>
      </c>
      <c r="X157" s="14">
        <v>0</v>
      </c>
      <c r="Z157" s="14">
        <v>0</v>
      </c>
      <c r="AA157" s="14">
        <v>4</v>
      </c>
      <c r="AB157" s="14">
        <v>4</v>
      </c>
      <c r="AD157" s="14">
        <v>0</v>
      </c>
      <c r="AF157" s="14">
        <v>0</v>
      </c>
      <c r="AG157" s="14">
        <v>4</v>
      </c>
      <c r="AH157" s="14">
        <v>4</v>
      </c>
      <c r="AJ157" s="14">
        <v>0</v>
      </c>
      <c r="AL157" s="14">
        <v>0</v>
      </c>
      <c r="AM157" s="14">
        <v>1</v>
      </c>
      <c r="AN157" s="14">
        <v>1</v>
      </c>
      <c r="AP157" s="14">
        <v>0</v>
      </c>
      <c r="AR157" s="14">
        <v>0</v>
      </c>
      <c r="AS157" s="14">
        <v>4</v>
      </c>
      <c r="AT157" s="14">
        <v>4</v>
      </c>
      <c r="AU157" s="14" t="s">
        <v>2539</v>
      </c>
    </row>
    <row r="158" spans="1:47">
      <c r="A158" s="14" t="s">
        <v>2222</v>
      </c>
      <c r="B158" s="14" t="s">
        <v>2541</v>
      </c>
      <c r="C158" s="14" t="s">
        <v>2224</v>
      </c>
      <c r="D158" s="14" t="s">
        <v>2225</v>
      </c>
      <c r="F158" s="14" t="s">
        <v>2542</v>
      </c>
      <c r="I158" s="14" t="s">
        <v>2543</v>
      </c>
      <c r="K158" s="14" t="s">
        <v>2544</v>
      </c>
      <c r="L158" s="14" t="s">
        <v>870</v>
      </c>
      <c r="M158" s="14" t="s">
        <v>2545</v>
      </c>
      <c r="N158" s="14">
        <v>1</v>
      </c>
      <c r="O158" s="14" t="s">
        <v>2009</v>
      </c>
      <c r="P158" s="14">
        <v>1</v>
      </c>
      <c r="Q158" s="14">
        <v>0.9</v>
      </c>
      <c r="R158" s="14" t="s">
        <v>988</v>
      </c>
      <c r="S158" s="14" t="s">
        <v>1657</v>
      </c>
      <c r="T158" s="14" t="s">
        <v>1658</v>
      </c>
      <c r="U158" s="14" t="s">
        <v>1659</v>
      </c>
      <c r="V158" s="14" t="s">
        <v>190</v>
      </c>
      <c r="AG158" s="14">
        <v>4</v>
      </c>
      <c r="AH158" s="14">
        <v>4</v>
      </c>
      <c r="AS158" s="14">
        <v>4</v>
      </c>
      <c r="AT158" s="14">
        <v>4</v>
      </c>
      <c r="AU158" s="14" t="s">
        <v>2544</v>
      </c>
    </row>
    <row r="159" spans="1:47">
      <c r="A159" s="14" t="s">
        <v>2546</v>
      </c>
      <c r="B159" s="14" t="s">
        <v>2547</v>
      </c>
      <c r="C159" s="14" t="s">
        <v>2548</v>
      </c>
      <c r="D159" s="14" t="s">
        <v>2549</v>
      </c>
      <c r="F159" s="14" t="s">
        <v>2550</v>
      </c>
      <c r="I159" s="14" t="s">
        <v>2551</v>
      </c>
      <c r="K159" s="14" t="s">
        <v>2552</v>
      </c>
      <c r="L159" s="14" t="s">
        <v>870</v>
      </c>
      <c r="M159" s="14" t="s">
        <v>2553</v>
      </c>
      <c r="N159" s="14">
        <v>1</v>
      </c>
      <c r="O159" s="14" t="s">
        <v>2009</v>
      </c>
      <c r="P159" s="14">
        <v>1</v>
      </c>
      <c r="Q159" s="14">
        <v>0.9</v>
      </c>
      <c r="R159" s="14" t="s">
        <v>872</v>
      </c>
      <c r="S159" s="14" t="s">
        <v>1657</v>
      </c>
      <c r="T159" s="14" t="s">
        <v>1658</v>
      </c>
      <c r="U159" s="14" t="s">
        <v>1659</v>
      </c>
      <c r="V159" s="14" t="s">
        <v>2554</v>
      </c>
      <c r="X159" s="14">
        <v>0</v>
      </c>
      <c r="Z159" s="14">
        <v>0</v>
      </c>
      <c r="AA159" s="14">
        <v>3</v>
      </c>
      <c r="AB159" s="14">
        <v>3</v>
      </c>
      <c r="AD159" s="14">
        <v>0</v>
      </c>
      <c r="AF159" s="14">
        <v>0</v>
      </c>
      <c r="AG159" s="14">
        <v>3</v>
      </c>
      <c r="AH159" s="14">
        <v>3</v>
      </c>
      <c r="AJ159" s="14">
        <v>0</v>
      </c>
      <c r="AL159" s="14">
        <v>0</v>
      </c>
      <c r="AM159" s="14">
        <v>3</v>
      </c>
      <c r="AN159" s="14">
        <v>3</v>
      </c>
      <c r="AP159" s="14">
        <v>0</v>
      </c>
      <c r="AR159" s="14">
        <v>0</v>
      </c>
      <c r="AS159" s="14">
        <v>3</v>
      </c>
      <c r="AT159" s="14">
        <v>3</v>
      </c>
      <c r="AU159" s="14" t="s">
        <v>2552</v>
      </c>
    </row>
    <row r="160" spans="1:47">
      <c r="A160" s="14" t="s">
        <v>2546</v>
      </c>
      <c r="B160" s="14" t="s">
        <v>2555</v>
      </c>
      <c r="C160" s="14" t="s">
        <v>2548</v>
      </c>
      <c r="D160" s="14" t="s">
        <v>2549</v>
      </c>
      <c r="F160" s="14" t="s">
        <v>2556</v>
      </c>
      <c r="I160" s="14" t="s">
        <v>2557</v>
      </c>
      <c r="J160" s="14" t="s">
        <v>2558</v>
      </c>
      <c r="K160" s="14" t="s">
        <v>2559</v>
      </c>
      <c r="L160" s="14" t="s">
        <v>892</v>
      </c>
      <c r="M160" s="14" t="s">
        <v>2560</v>
      </c>
      <c r="N160" s="14">
        <v>1</v>
      </c>
      <c r="O160" s="14" t="s">
        <v>871</v>
      </c>
      <c r="P160" s="14">
        <v>0.8</v>
      </c>
      <c r="Q160" s="14">
        <v>0.9</v>
      </c>
      <c r="R160" s="14" t="s">
        <v>872</v>
      </c>
      <c r="S160" s="14" t="s">
        <v>1657</v>
      </c>
      <c r="T160" s="14" t="s">
        <v>1658</v>
      </c>
      <c r="U160" s="14" t="s">
        <v>1659</v>
      </c>
      <c r="V160" s="14" t="s">
        <v>2554</v>
      </c>
      <c r="X160" s="14">
        <v>0</v>
      </c>
      <c r="Z160" s="14">
        <v>0</v>
      </c>
      <c r="AA160" s="14">
        <v>361</v>
      </c>
      <c r="AB160" s="14">
        <v>524</v>
      </c>
      <c r="AD160" s="14">
        <v>0</v>
      </c>
      <c r="AF160" s="14">
        <v>0</v>
      </c>
      <c r="AG160" s="14">
        <v>536</v>
      </c>
      <c r="AH160" s="14">
        <v>620</v>
      </c>
      <c r="AJ160" s="14">
        <v>0</v>
      </c>
      <c r="AL160" s="14">
        <v>0</v>
      </c>
      <c r="AM160" s="14">
        <v>720</v>
      </c>
      <c r="AN160" s="14">
        <v>617</v>
      </c>
      <c r="AP160" s="14">
        <v>0</v>
      </c>
      <c r="AR160" s="14">
        <v>0</v>
      </c>
      <c r="AS160" s="14">
        <v>700</v>
      </c>
      <c r="AT160" s="14">
        <v>702</v>
      </c>
      <c r="AU160" s="14" t="s">
        <v>2559</v>
      </c>
    </row>
    <row r="161" spans="1:47">
      <c r="A161" s="14" t="s">
        <v>2546</v>
      </c>
      <c r="B161" s="14" t="s">
        <v>2561</v>
      </c>
      <c r="C161" s="14" t="s">
        <v>2548</v>
      </c>
      <c r="D161" s="14" t="s">
        <v>2549</v>
      </c>
      <c r="F161" s="14" t="s">
        <v>2562</v>
      </c>
      <c r="I161" s="14" t="s">
        <v>2563</v>
      </c>
      <c r="J161" s="14" t="s">
        <v>2564</v>
      </c>
      <c r="K161" s="14" t="s">
        <v>2565</v>
      </c>
      <c r="L161" s="14" t="s">
        <v>892</v>
      </c>
      <c r="M161" s="14" t="s">
        <v>2566</v>
      </c>
      <c r="N161" s="14">
        <v>1</v>
      </c>
      <c r="O161" s="14" t="s">
        <v>871</v>
      </c>
      <c r="P161" s="14">
        <v>1</v>
      </c>
      <c r="Q161" s="14">
        <v>0.9</v>
      </c>
      <c r="R161" s="14" t="s">
        <v>1472</v>
      </c>
      <c r="S161" s="14" t="s">
        <v>1657</v>
      </c>
      <c r="T161" s="14" t="s">
        <v>1658</v>
      </c>
      <c r="U161" s="14" t="s">
        <v>1659</v>
      </c>
      <c r="V161" s="14" t="s">
        <v>2554</v>
      </c>
      <c r="X161" s="14">
        <v>0</v>
      </c>
      <c r="Y161" s="14">
        <v>20</v>
      </c>
      <c r="Z161" s="14">
        <v>20</v>
      </c>
      <c r="AB161" s="14">
        <v>0</v>
      </c>
      <c r="AC161" s="14">
        <v>97</v>
      </c>
      <c r="AD161" s="14">
        <v>97</v>
      </c>
      <c r="AF161" s="14">
        <v>0</v>
      </c>
      <c r="AG161" s="14">
        <v>52</v>
      </c>
      <c r="AH161" s="14">
        <v>52</v>
      </c>
      <c r="AJ161" s="14">
        <v>0</v>
      </c>
      <c r="AK161" s="14">
        <v>73</v>
      </c>
      <c r="AL161" s="14">
        <v>73</v>
      </c>
      <c r="AN161" s="14">
        <v>0</v>
      </c>
      <c r="AR161" s="14">
        <v>0</v>
      </c>
      <c r="AS161" s="14">
        <v>111</v>
      </c>
      <c r="AT161" s="14">
        <v>111</v>
      </c>
      <c r="AU161" s="14" t="s">
        <v>2565</v>
      </c>
    </row>
    <row r="162" spans="1:47">
      <c r="A162" s="14" t="s">
        <v>2567</v>
      </c>
      <c r="B162" s="14" t="s">
        <v>2568</v>
      </c>
      <c r="C162" s="14" t="s">
        <v>2569</v>
      </c>
      <c r="D162" s="14" t="s">
        <v>2570</v>
      </c>
      <c r="F162" s="14" t="s">
        <v>2571</v>
      </c>
      <c r="I162" s="14" t="s">
        <v>2572</v>
      </c>
      <c r="J162" s="14" t="s">
        <v>2573</v>
      </c>
      <c r="K162" s="14" t="s">
        <v>2574</v>
      </c>
      <c r="L162" s="14" t="s">
        <v>892</v>
      </c>
      <c r="M162" s="14" t="s">
        <v>2575</v>
      </c>
      <c r="N162" s="14">
        <v>1</v>
      </c>
      <c r="O162" s="14" t="s">
        <v>871</v>
      </c>
      <c r="P162" s="14">
        <v>1</v>
      </c>
      <c r="Q162" s="14">
        <v>0.9</v>
      </c>
      <c r="R162" s="14" t="s">
        <v>872</v>
      </c>
      <c r="S162" s="14" t="s">
        <v>1657</v>
      </c>
      <c r="T162" s="14" t="s">
        <v>1658</v>
      </c>
      <c r="U162" s="14" t="s">
        <v>1659</v>
      </c>
      <c r="V162" s="14" t="s">
        <v>2576</v>
      </c>
      <c r="X162" s="14">
        <v>0</v>
      </c>
      <c r="Z162" s="14">
        <v>0</v>
      </c>
      <c r="AA162" s="14">
        <v>4</v>
      </c>
      <c r="AB162" s="14">
        <v>4</v>
      </c>
      <c r="AD162" s="14">
        <v>0</v>
      </c>
      <c r="AF162" s="14">
        <v>0</v>
      </c>
      <c r="AG162" s="14">
        <v>9</v>
      </c>
      <c r="AH162" s="14">
        <v>9</v>
      </c>
      <c r="AJ162" s="14">
        <v>0</v>
      </c>
      <c r="AL162" s="14">
        <v>0</v>
      </c>
      <c r="AM162" s="14">
        <v>13</v>
      </c>
      <c r="AN162" s="14">
        <v>13</v>
      </c>
      <c r="AP162" s="14">
        <v>0</v>
      </c>
      <c r="AR162" s="14">
        <v>0</v>
      </c>
      <c r="AS162" s="14">
        <v>10</v>
      </c>
      <c r="AT162" s="14">
        <v>10</v>
      </c>
      <c r="AU162" s="14" t="s">
        <v>2574</v>
      </c>
    </row>
    <row r="163" spans="1:47">
      <c r="A163" s="14" t="s">
        <v>2567</v>
      </c>
      <c r="B163" s="14" t="s">
        <v>2577</v>
      </c>
      <c r="C163" s="14" t="s">
        <v>2569</v>
      </c>
      <c r="D163" s="14" t="s">
        <v>2570</v>
      </c>
      <c r="F163" s="14" t="s">
        <v>2578</v>
      </c>
      <c r="I163" s="14" t="s">
        <v>2579</v>
      </c>
      <c r="J163" s="14" t="s">
        <v>2580</v>
      </c>
      <c r="K163" s="14" t="s">
        <v>2581</v>
      </c>
      <c r="L163" s="14" t="s">
        <v>892</v>
      </c>
      <c r="M163" s="14" t="s">
        <v>2582</v>
      </c>
      <c r="N163" s="14">
        <v>2</v>
      </c>
      <c r="O163" s="14" t="s">
        <v>871</v>
      </c>
      <c r="P163" s="14">
        <v>1</v>
      </c>
      <c r="Q163" s="14">
        <v>0.9</v>
      </c>
      <c r="R163" s="14" t="s">
        <v>872</v>
      </c>
      <c r="S163" s="14" t="s">
        <v>1657</v>
      </c>
      <c r="T163" s="14" t="s">
        <v>1658</v>
      </c>
      <c r="U163" s="14" t="s">
        <v>1659</v>
      </c>
      <c r="V163" s="14" t="s">
        <v>2576</v>
      </c>
      <c r="X163" s="14">
        <v>0</v>
      </c>
      <c r="Z163" s="14">
        <v>0</v>
      </c>
      <c r="AA163" s="14">
        <v>4</v>
      </c>
      <c r="AB163" s="14">
        <v>4</v>
      </c>
      <c r="AD163" s="14">
        <v>0</v>
      </c>
      <c r="AF163" s="14">
        <v>0</v>
      </c>
      <c r="AG163" s="14">
        <v>7</v>
      </c>
      <c r="AH163" s="14">
        <v>7</v>
      </c>
      <c r="AJ163" s="14">
        <v>0</v>
      </c>
      <c r="AL163" s="14">
        <v>0</v>
      </c>
      <c r="AM163" s="14">
        <v>6</v>
      </c>
      <c r="AN163" s="14">
        <v>6</v>
      </c>
      <c r="AP163" s="14">
        <v>0</v>
      </c>
      <c r="AR163" s="14">
        <v>0</v>
      </c>
      <c r="AS163" s="14">
        <v>28</v>
      </c>
      <c r="AT163" s="14">
        <v>28</v>
      </c>
      <c r="AU163" s="14" t="s">
        <v>2581</v>
      </c>
    </row>
    <row r="164" spans="1:47">
      <c r="A164" s="14" t="s">
        <v>2567</v>
      </c>
      <c r="B164" s="14" t="s">
        <v>2583</v>
      </c>
      <c r="C164" s="14" t="s">
        <v>2569</v>
      </c>
      <c r="D164" s="14" t="s">
        <v>2570</v>
      </c>
      <c r="F164" s="14" t="s">
        <v>2584</v>
      </c>
      <c r="I164" s="14" t="s">
        <v>2585</v>
      </c>
      <c r="J164" s="14" t="s">
        <v>2586</v>
      </c>
      <c r="K164" s="14" t="s">
        <v>2587</v>
      </c>
      <c r="L164" s="14" t="s">
        <v>892</v>
      </c>
      <c r="M164" s="14" t="s">
        <v>2588</v>
      </c>
      <c r="N164" s="14">
        <v>2</v>
      </c>
      <c r="O164" s="14" t="s">
        <v>871</v>
      </c>
      <c r="P164" s="14">
        <v>1.4E-2</v>
      </c>
      <c r="Q164" s="14" t="s">
        <v>2589</v>
      </c>
      <c r="R164" s="14" t="s">
        <v>872</v>
      </c>
      <c r="S164" s="14" t="s">
        <v>2590</v>
      </c>
      <c r="T164" s="14" t="s">
        <v>2591</v>
      </c>
      <c r="U164" s="14" t="s">
        <v>2592</v>
      </c>
      <c r="V164" s="14" t="s">
        <v>2576</v>
      </c>
      <c r="X164" s="14">
        <v>0</v>
      </c>
      <c r="Z164" s="14">
        <v>0</v>
      </c>
      <c r="AA164" s="14">
        <v>421</v>
      </c>
      <c r="AB164" s="14">
        <v>47869</v>
      </c>
      <c r="AD164" s="14">
        <v>0</v>
      </c>
      <c r="AF164" s="14">
        <v>0</v>
      </c>
      <c r="AG164" s="14">
        <v>341</v>
      </c>
      <c r="AH164" s="14">
        <v>55888</v>
      </c>
      <c r="AJ164" s="14">
        <v>0</v>
      </c>
      <c r="AL164" s="14">
        <v>0</v>
      </c>
      <c r="AM164" s="14">
        <v>178</v>
      </c>
      <c r="AN164" s="14">
        <v>68464</v>
      </c>
      <c r="AP164" s="14">
        <v>0</v>
      </c>
      <c r="AR164" s="14">
        <v>0</v>
      </c>
      <c r="AS164" s="14">
        <v>158</v>
      </c>
      <c r="AT164" s="14">
        <v>63309</v>
      </c>
      <c r="AU164" s="14" t="s">
        <v>2587</v>
      </c>
    </row>
    <row r="165" spans="1:47">
      <c r="A165" s="14" t="s">
        <v>2567</v>
      </c>
      <c r="B165" s="14" t="s">
        <v>2593</v>
      </c>
      <c r="C165" s="14" t="s">
        <v>2569</v>
      </c>
      <c r="D165" s="14" t="s">
        <v>2570</v>
      </c>
      <c r="F165" s="14" t="s">
        <v>2594</v>
      </c>
      <c r="I165" s="14" t="s">
        <v>2595</v>
      </c>
      <c r="J165" s="14" t="s">
        <v>2596</v>
      </c>
      <c r="K165" s="14" t="s">
        <v>2597</v>
      </c>
      <c r="L165" s="14" t="s">
        <v>892</v>
      </c>
      <c r="M165" s="14" t="s">
        <v>2598</v>
      </c>
      <c r="N165" s="14">
        <v>2</v>
      </c>
      <c r="O165" s="14" t="s">
        <v>871</v>
      </c>
      <c r="P165" s="14">
        <v>6.0000000000000001E-3</v>
      </c>
      <c r="Q165" s="14" t="s">
        <v>2589</v>
      </c>
      <c r="R165" s="14" t="s">
        <v>872</v>
      </c>
      <c r="S165" s="14" t="s">
        <v>2590</v>
      </c>
      <c r="T165" s="14" t="s">
        <v>2591</v>
      </c>
      <c r="U165" s="14" t="s">
        <v>2592</v>
      </c>
      <c r="V165" s="14" t="s">
        <v>2576</v>
      </c>
      <c r="X165" s="14">
        <v>0</v>
      </c>
      <c r="Z165" s="14">
        <v>0</v>
      </c>
      <c r="AA165" s="14">
        <v>0</v>
      </c>
      <c r="AB165" s="14">
        <v>2393</v>
      </c>
      <c r="AD165" s="14">
        <v>0</v>
      </c>
      <c r="AF165" s="14">
        <v>0</v>
      </c>
      <c r="AG165" s="14">
        <v>0</v>
      </c>
      <c r="AH165" s="14">
        <v>2793</v>
      </c>
      <c r="AJ165" s="14">
        <v>0</v>
      </c>
      <c r="AL165" s="14">
        <v>0</v>
      </c>
      <c r="AM165" s="14">
        <v>281</v>
      </c>
      <c r="AN165" s="14">
        <v>68464</v>
      </c>
      <c r="AP165" s="14">
        <v>0</v>
      </c>
      <c r="AR165" s="14">
        <v>0</v>
      </c>
      <c r="AS165" s="14">
        <v>40</v>
      </c>
      <c r="AT165" s="14">
        <v>63309</v>
      </c>
      <c r="AU165" s="14" t="s">
        <v>2597</v>
      </c>
    </row>
    <row r="166" spans="1:47">
      <c r="A166" s="14" t="s">
        <v>2567</v>
      </c>
      <c r="B166" s="14" t="s">
        <v>2599</v>
      </c>
      <c r="C166" s="14" t="s">
        <v>2569</v>
      </c>
      <c r="D166" s="14" t="s">
        <v>2570</v>
      </c>
      <c r="F166" s="14" t="s">
        <v>2600</v>
      </c>
      <c r="I166" s="14" t="s">
        <v>2601</v>
      </c>
      <c r="K166" s="14" t="s">
        <v>2602</v>
      </c>
      <c r="L166" s="14" t="s">
        <v>870</v>
      </c>
      <c r="M166" s="14" t="s">
        <v>2603</v>
      </c>
      <c r="N166" s="14">
        <v>1</v>
      </c>
      <c r="O166" s="14" t="s">
        <v>2009</v>
      </c>
      <c r="P166" s="14">
        <v>1</v>
      </c>
      <c r="Q166" s="14">
        <v>0.9</v>
      </c>
      <c r="R166" s="14" t="s">
        <v>872</v>
      </c>
      <c r="S166" s="14" t="s">
        <v>1657</v>
      </c>
      <c r="T166" s="14" t="s">
        <v>1658</v>
      </c>
      <c r="U166" s="14" t="s">
        <v>1659</v>
      </c>
      <c r="V166" s="14" t="s">
        <v>2576</v>
      </c>
      <c r="X166" s="14">
        <v>0</v>
      </c>
      <c r="Z166" s="14">
        <v>0</v>
      </c>
      <c r="AA166" s="14">
        <v>2</v>
      </c>
      <c r="AB166" s="14">
        <v>2</v>
      </c>
      <c r="AD166" s="14">
        <v>0</v>
      </c>
      <c r="AF166" s="14">
        <v>0</v>
      </c>
      <c r="AG166" s="14">
        <v>3</v>
      </c>
      <c r="AH166" s="14">
        <v>3</v>
      </c>
      <c r="AJ166" s="14">
        <v>0</v>
      </c>
      <c r="AL166" s="14">
        <v>0</v>
      </c>
      <c r="AM166" s="14">
        <v>3</v>
      </c>
      <c r="AN166" s="14">
        <v>3</v>
      </c>
      <c r="AP166" s="14">
        <v>0</v>
      </c>
      <c r="AR166" s="14">
        <v>0</v>
      </c>
      <c r="AS166" s="14">
        <v>2</v>
      </c>
      <c r="AT166" s="14">
        <v>2</v>
      </c>
      <c r="AU166" s="14" t="s">
        <v>2602</v>
      </c>
    </row>
    <row r="167" spans="1:47">
      <c r="A167" s="14" t="s">
        <v>2567</v>
      </c>
      <c r="B167" s="14" t="s">
        <v>193</v>
      </c>
      <c r="C167" s="14" t="s">
        <v>2569</v>
      </c>
      <c r="D167" s="14" t="s">
        <v>2570</v>
      </c>
      <c r="F167" s="14" t="s">
        <v>192</v>
      </c>
      <c r="I167" s="14" t="s">
        <v>1547</v>
      </c>
      <c r="J167" s="14" t="s">
        <v>2604</v>
      </c>
      <c r="K167" s="14" t="s">
        <v>2605</v>
      </c>
      <c r="L167" s="14" t="s">
        <v>892</v>
      </c>
      <c r="M167" s="14" t="s">
        <v>2606</v>
      </c>
      <c r="N167" s="14">
        <v>1</v>
      </c>
      <c r="O167" s="14" t="s">
        <v>871</v>
      </c>
      <c r="P167" s="14">
        <v>1</v>
      </c>
      <c r="Q167" s="14">
        <v>0.9</v>
      </c>
      <c r="R167" s="14" t="s">
        <v>872</v>
      </c>
      <c r="S167" s="14" t="s">
        <v>1657</v>
      </c>
      <c r="T167" s="14" t="s">
        <v>1658</v>
      </c>
      <c r="U167" s="14" t="s">
        <v>1659</v>
      </c>
      <c r="V167" s="14" t="s">
        <v>2576</v>
      </c>
      <c r="X167" s="14">
        <v>0</v>
      </c>
      <c r="Z167" s="14">
        <v>0</v>
      </c>
      <c r="AA167" s="14">
        <v>2195</v>
      </c>
      <c r="AB167" s="14">
        <v>2195</v>
      </c>
      <c r="AD167" s="14">
        <v>0</v>
      </c>
      <c r="AF167" s="14">
        <v>0</v>
      </c>
      <c r="AG167" s="14">
        <v>5751</v>
      </c>
      <c r="AH167" s="14">
        <v>5751</v>
      </c>
      <c r="AJ167" s="14">
        <v>0</v>
      </c>
      <c r="AL167" s="14">
        <v>0</v>
      </c>
      <c r="AM167" s="14">
        <v>9899</v>
      </c>
      <c r="AN167" s="14">
        <v>9899</v>
      </c>
      <c r="AP167" s="14">
        <v>0</v>
      </c>
      <c r="AR167" s="14">
        <v>0</v>
      </c>
      <c r="AS167" s="14">
        <v>13731</v>
      </c>
      <c r="AT167" s="14">
        <v>13731</v>
      </c>
      <c r="AU167" s="14" t="s">
        <v>2605</v>
      </c>
    </row>
    <row r="168" spans="1:47">
      <c r="A168" s="14" t="s">
        <v>2567</v>
      </c>
      <c r="B168" s="14" t="s">
        <v>2607</v>
      </c>
      <c r="C168" s="14" t="s">
        <v>2569</v>
      </c>
      <c r="D168" s="14" t="s">
        <v>2570</v>
      </c>
      <c r="F168" s="14" t="s">
        <v>2608</v>
      </c>
      <c r="I168" s="14" t="s">
        <v>2609</v>
      </c>
      <c r="J168" s="14" t="s">
        <v>2610</v>
      </c>
      <c r="K168" s="14" t="s">
        <v>2611</v>
      </c>
      <c r="L168" s="14" t="s">
        <v>892</v>
      </c>
      <c r="M168" s="14" t="s">
        <v>2612</v>
      </c>
      <c r="N168" s="14">
        <v>1</v>
      </c>
      <c r="O168" s="14" t="s">
        <v>871</v>
      </c>
      <c r="P168" s="14">
        <v>0.85</v>
      </c>
      <c r="Q168" s="14">
        <v>0.9</v>
      </c>
      <c r="R168" s="14" t="s">
        <v>872</v>
      </c>
      <c r="S168" s="14" t="s">
        <v>1657</v>
      </c>
      <c r="T168" s="14" t="s">
        <v>1658</v>
      </c>
      <c r="U168" s="14" t="s">
        <v>1659</v>
      </c>
      <c r="V168" s="14" t="s">
        <v>2576</v>
      </c>
      <c r="X168" s="14">
        <v>0</v>
      </c>
      <c r="Z168" s="14">
        <v>0</v>
      </c>
      <c r="AA168" s="14">
        <v>2189</v>
      </c>
      <c r="AB168" s="14">
        <v>2195</v>
      </c>
      <c r="AD168" s="14">
        <v>0</v>
      </c>
      <c r="AF168" s="14">
        <v>0</v>
      </c>
      <c r="AG168" s="14">
        <v>445</v>
      </c>
      <c r="AH168" s="14">
        <v>450</v>
      </c>
      <c r="AJ168" s="14">
        <v>0</v>
      </c>
      <c r="AL168" s="14">
        <v>0</v>
      </c>
      <c r="AM168" s="14">
        <v>459</v>
      </c>
      <c r="AN168" s="14">
        <v>459</v>
      </c>
      <c r="AP168" s="14">
        <v>0</v>
      </c>
      <c r="AR168" s="14">
        <v>0</v>
      </c>
      <c r="AS168" s="14">
        <v>1219</v>
      </c>
      <c r="AT168" s="14">
        <v>1205</v>
      </c>
      <c r="AU168" s="14" t="s">
        <v>2611</v>
      </c>
    </row>
    <row r="169" spans="1:47">
      <c r="A169" s="14" t="s">
        <v>2567</v>
      </c>
      <c r="B169" s="14" t="s">
        <v>2613</v>
      </c>
      <c r="C169" s="14" t="s">
        <v>2569</v>
      </c>
      <c r="D169" s="14" t="s">
        <v>2570</v>
      </c>
      <c r="F169" s="14" t="s">
        <v>2614</v>
      </c>
      <c r="I169" s="14" t="s">
        <v>2615</v>
      </c>
      <c r="K169" s="14" t="s">
        <v>2616</v>
      </c>
      <c r="L169" s="14" t="s">
        <v>870</v>
      </c>
      <c r="M169" s="14" t="s">
        <v>2617</v>
      </c>
      <c r="N169" s="14">
        <v>1</v>
      </c>
      <c r="O169" s="14" t="s">
        <v>2009</v>
      </c>
      <c r="P169" s="14">
        <v>1</v>
      </c>
      <c r="Q169" s="14">
        <v>0.9</v>
      </c>
      <c r="R169" s="14" t="s">
        <v>872</v>
      </c>
      <c r="S169" s="14" t="s">
        <v>1657</v>
      </c>
      <c r="T169" s="14" t="s">
        <v>1658</v>
      </c>
      <c r="U169" s="14" t="s">
        <v>1659</v>
      </c>
      <c r="V169" s="14" t="s">
        <v>2576</v>
      </c>
      <c r="X169" s="14">
        <v>0</v>
      </c>
      <c r="Y169" s="14">
        <v>1</v>
      </c>
      <c r="Z169" s="14">
        <v>1</v>
      </c>
      <c r="AB169" s="14">
        <v>0</v>
      </c>
      <c r="AD169" s="14">
        <v>0</v>
      </c>
      <c r="AF169" s="14">
        <v>0</v>
      </c>
      <c r="AG169" s="14">
        <v>1</v>
      </c>
      <c r="AH169" s="14">
        <v>1</v>
      </c>
      <c r="AJ169" s="14">
        <v>0</v>
      </c>
      <c r="AL169" s="14">
        <v>0</v>
      </c>
      <c r="AN169" s="14">
        <v>0</v>
      </c>
      <c r="AO169" s="14">
        <v>1</v>
      </c>
      <c r="AP169" s="14">
        <v>1</v>
      </c>
      <c r="AR169" s="14">
        <v>0</v>
      </c>
      <c r="AT169" s="14">
        <v>0</v>
      </c>
      <c r="AU169" s="14" t="s">
        <v>2616</v>
      </c>
    </row>
    <row r="170" spans="1:47">
      <c r="A170" s="14" t="s">
        <v>2567</v>
      </c>
      <c r="B170" s="14" t="s">
        <v>2618</v>
      </c>
      <c r="C170" s="14" t="s">
        <v>2569</v>
      </c>
      <c r="D170" s="14" t="s">
        <v>2570</v>
      </c>
      <c r="F170" s="14" t="s">
        <v>2619</v>
      </c>
      <c r="I170" s="14" t="s">
        <v>2620</v>
      </c>
      <c r="K170" s="14" t="s">
        <v>2621</v>
      </c>
      <c r="L170" s="14" t="s">
        <v>892</v>
      </c>
      <c r="M170" s="14" t="s">
        <v>2622</v>
      </c>
      <c r="N170" s="14">
        <v>1</v>
      </c>
      <c r="O170" s="14" t="s">
        <v>2009</v>
      </c>
      <c r="P170" s="14">
        <v>1</v>
      </c>
      <c r="Q170" s="14">
        <v>0.9</v>
      </c>
      <c r="R170" s="14" t="s">
        <v>872</v>
      </c>
      <c r="S170" s="14" t="s">
        <v>1657</v>
      </c>
      <c r="T170" s="14" t="s">
        <v>1658</v>
      </c>
      <c r="U170" s="14" t="s">
        <v>1659</v>
      </c>
      <c r="V170" s="14" t="s">
        <v>2576</v>
      </c>
      <c r="X170" s="14">
        <v>0</v>
      </c>
      <c r="Y170" s="14">
        <v>1</v>
      </c>
      <c r="Z170" s="14">
        <v>1</v>
      </c>
      <c r="AB170" s="14">
        <v>0</v>
      </c>
      <c r="AD170" s="14">
        <v>0</v>
      </c>
      <c r="AF170" s="14">
        <v>0</v>
      </c>
      <c r="AG170" s="14">
        <v>1</v>
      </c>
      <c r="AH170" s="14">
        <v>1</v>
      </c>
      <c r="AJ170" s="14">
        <v>0</v>
      </c>
      <c r="AL170" s="14">
        <v>0</v>
      </c>
      <c r="AM170" s="14">
        <v>2</v>
      </c>
      <c r="AN170" s="14">
        <v>1</v>
      </c>
      <c r="AP170" s="14">
        <v>0</v>
      </c>
      <c r="AR170" s="14">
        <v>0</v>
      </c>
      <c r="AS170" s="14">
        <v>0</v>
      </c>
      <c r="AT170" s="14">
        <v>1</v>
      </c>
      <c r="AU170" s="14" t="s">
        <v>2621</v>
      </c>
    </row>
    <row r="171" spans="1:47">
      <c r="A171" s="14" t="s">
        <v>2567</v>
      </c>
      <c r="B171" s="14" t="s">
        <v>2623</v>
      </c>
      <c r="C171" s="14" t="s">
        <v>2569</v>
      </c>
      <c r="D171" s="14" t="s">
        <v>2570</v>
      </c>
      <c r="F171" s="14" t="s">
        <v>2624</v>
      </c>
      <c r="I171" s="14" t="s">
        <v>2625</v>
      </c>
      <c r="K171" s="14" t="s">
        <v>2626</v>
      </c>
      <c r="L171" s="14" t="s">
        <v>892</v>
      </c>
      <c r="M171" s="14" t="s">
        <v>2627</v>
      </c>
      <c r="N171" s="14">
        <v>2</v>
      </c>
      <c r="O171" s="14" t="s">
        <v>2009</v>
      </c>
      <c r="P171" s="14">
        <v>1</v>
      </c>
      <c r="Q171" s="14">
        <v>0.9</v>
      </c>
      <c r="R171" s="14" t="s">
        <v>988</v>
      </c>
      <c r="S171" s="14" t="s">
        <v>1657</v>
      </c>
      <c r="T171" s="14" t="s">
        <v>1658</v>
      </c>
      <c r="U171" s="14" t="s">
        <v>1659</v>
      </c>
      <c r="V171" s="14" t="s">
        <v>2576</v>
      </c>
      <c r="X171" s="14">
        <v>0</v>
      </c>
      <c r="Z171" s="14">
        <v>0</v>
      </c>
      <c r="AA171" s="14">
        <v>1</v>
      </c>
      <c r="AB171" s="14" t="s">
        <v>2628</v>
      </c>
      <c r="AD171" s="14">
        <v>0</v>
      </c>
      <c r="AF171" s="14">
        <v>0</v>
      </c>
      <c r="AH171" s="14">
        <v>0</v>
      </c>
      <c r="AJ171" s="14">
        <v>0</v>
      </c>
      <c r="AK171" s="14">
        <v>1</v>
      </c>
      <c r="AL171" s="14" t="s">
        <v>2628</v>
      </c>
      <c r="AN171" s="14">
        <v>0</v>
      </c>
      <c r="AP171" s="14">
        <v>0</v>
      </c>
      <c r="AR171" s="14">
        <v>0</v>
      </c>
      <c r="AT171" s="14">
        <v>0</v>
      </c>
      <c r="AU171" s="14" t="s">
        <v>2626</v>
      </c>
    </row>
    <row r="172" spans="1:47">
      <c r="A172" s="14" t="s">
        <v>2567</v>
      </c>
      <c r="B172" s="14" t="s">
        <v>2629</v>
      </c>
      <c r="C172" s="14" t="s">
        <v>2569</v>
      </c>
      <c r="D172" s="14" t="s">
        <v>2570</v>
      </c>
      <c r="F172" s="14" t="s">
        <v>2630</v>
      </c>
      <c r="I172" s="14" t="s">
        <v>2631</v>
      </c>
      <c r="J172" s="14" t="s">
        <v>2632</v>
      </c>
      <c r="K172" s="14" t="s">
        <v>2633</v>
      </c>
      <c r="L172" s="14" t="s">
        <v>892</v>
      </c>
      <c r="M172" s="14" t="s">
        <v>2634</v>
      </c>
      <c r="N172" s="14">
        <v>2</v>
      </c>
      <c r="O172" s="14" t="s">
        <v>871</v>
      </c>
      <c r="P172" s="14">
        <v>0.96</v>
      </c>
      <c r="Q172" s="14">
        <v>0.9</v>
      </c>
      <c r="R172" s="14" t="s">
        <v>872</v>
      </c>
      <c r="S172" s="14" t="s">
        <v>1657</v>
      </c>
      <c r="T172" s="14" t="s">
        <v>1658</v>
      </c>
      <c r="U172" s="14" t="s">
        <v>1659</v>
      </c>
      <c r="V172" s="14" t="s">
        <v>2576</v>
      </c>
      <c r="X172" s="14">
        <v>0</v>
      </c>
      <c r="Z172" s="14">
        <v>0</v>
      </c>
      <c r="AA172" s="14">
        <v>2567</v>
      </c>
      <c r="AB172" s="14">
        <v>2583</v>
      </c>
      <c r="AD172" s="14">
        <v>0</v>
      </c>
      <c r="AF172" s="14">
        <v>0</v>
      </c>
      <c r="AG172" s="14">
        <v>6403</v>
      </c>
      <c r="AH172" s="14">
        <v>6533</v>
      </c>
      <c r="AJ172" s="14">
        <v>0</v>
      </c>
      <c r="AL172" s="14">
        <v>0</v>
      </c>
      <c r="AM172" s="14">
        <v>9759</v>
      </c>
      <c r="AN172" s="14">
        <v>9899</v>
      </c>
      <c r="AP172" s="14">
        <v>0</v>
      </c>
      <c r="AR172" s="14">
        <v>0</v>
      </c>
      <c r="AS172" s="14">
        <v>13577</v>
      </c>
      <c r="AT172" s="14">
        <v>13731</v>
      </c>
      <c r="AU172" s="14" t="s">
        <v>2633</v>
      </c>
    </row>
    <row r="173" spans="1:47">
      <c r="A173" s="14" t="s">
        <v>2567</v>
      </c>
      <c r="B173" s="14" t="s">
        <v>2635</v>
      </c>
      <c r="C173" s="14" t="s">
        <v>2569</v>
      </c>
      <c r="D173" s="14" t="s">
        <v>2570</v>
      </c>
      <c r="F173" s="14" t="s">
        <v>2630</v>
      </c>
      <c r="I173" s="14" t="s">
        <v>2636</v>
      </c>
      <c r="K173" s="14" t="s">
        <v>2637</v>
      </c>
      <c r="L173" s="14" t="s">
        <v>892</v>
      </c>
      <c r="M173" s="14" t="s">
        <v>2638</v>
      </c>
      <c r="N173" s="14">
        <v>1</v>
      </c>
      <c r="O173" s="14" t="s">
        <v>2009</v>
      </c>
      <c r="P173" s="14">
        <v>1</v>
      </c>
      <c r="Q173" s="14">
        <v>0.9</v>
      </c>
      <c r="R173" s="14" t="s">
        <v>872</v>
      </c>
      <c r="S173" s="14" t="s">
        <v>1657</v>
      </c>
      <c r="T173" s="14" t="s">
        <v>1658</v>
      </c>
      <c r="U173" s="14" t="s">
        <v>1659</v>
      </c>
      <c r="V173" s="14" t="s">
        <v>2576</v>
      </c>
      <c r="X173" s="14">
        <v>0</v>
      </c>
      <c r="Z173" s="14">
        <v>0</v>
      </c>
      <c r="AA173" s="14">
        <v>11790</v>
      </c>
      <c r="AB173" s="14">
        <v>44460</v>
      </c>
      <c r="AD173" s="14">
        <v>0</v>
      </c>
      <c r="AF173" s="14">
        <v>0</v>
      </c>
      <c r="AG173" s="14">
        <v>390</v>
      </c>
      <c r="AH173" s="14">
        <v>44460</v>
      </c>
      <c r="AJ173" s="14">
        <v>0</v>
      </c>
      <c r="AL173" s="14">
        <v>0</v>
      </c>
      <c r="AM173" s="14">
        <v>12253</v>
      </c>
      <c r="AN173" s="14">
        <v>44460</v>
      </c>
      <c r="AP173" s="14">
        <v>0</v>
      </c>
      <c r="AR173" s="14">
        <v>0</v>
      </c>
      <c r="AS173" s="14">
        <v>12305</v>
      </c>
      <c r="AT173" s="14">
        <v>44460</v>
      </c>
      <c r="AU173" s="14" t="s">
        <v>2637</v>
      </c>
    </row>
    <row r="174" spans="1:47">
      <c r="A174" s="14" t="s">
        <v>2639</v>
      </c>
      <c r="B174" s="14" t="s">
        <v>2640</v>
      </c>
      <c r="C174" s="14" t="s">
        <v>2641</v>
      </c>
      <c r="F174" s="14" t="s">
        <v>2642</v>
      </c>
      <c r="I174" s="14" t="s">
        <v>2643</v>
      </c>
      <c r="K174" s="14" t="s">
        <v>2644</v>
      </c>
      <c r="L174" s="14" t="s">
        <v>870</v>
      </c>
      <c r="M174" s="14" t="s">
        <v>2645</v>
      </c>
      <c r="N174" s="14">
        <v>1</v>
      </c>
      <c r="O174" s="14" t="s">
        <v>2009</v>
      </c>
      <c r="P174" s="14">
        <v>1</v>
      </c>
      <c r="Q174" s="14">
        <v>0.9</v>
      </c>
      <c r="R174" s="14" t="s">
        <v>872</v>
      </c>
      <c r="S174" s="14" t="s">
        <v>1657</v>
      </c>
      <c r="T174" s="14" t="s">
        <v>1658</v>
      </c>
      <c r="U174" s="14" t="s">
        <v>1659</v>
      </c>
      <c r="V174" s="14" t="s">
        <v>2576</v>
      </c>
      <c r="X174" s="14">
        <v>0</v>
      </c>
      <c r="Z174" s="14">
        <v>0</v>
      </c>
      <c r="AA174" s="14">
        <v>1</v>
      </c>
      <c r="AB174" s="14">
        <v>1</v>
      </c>
      <c r="AD174" s="14">
        <v>0</v>
      </c>
      <c r="AF174" s="14">
        <v>0</v>
      </c>
      <c r="AG174" s="14">
        <v>1</v>
      </c>
      <c r="AH174" s="14">
        <v>1</v>
      </c>
      <c r="AJ174" s="14">
        <v>0</v>
      </c>
      <c r="AL174" s="14">
        <v>0</v>
      </c>
      <c r="AM174" s="14">
        <v>1</v>
      </c>
      <c r="AN174" s="14">
        <v>1</v>
      </c>
      <c r="AP174" s="14">
        <v>0</v>
      </c>
      <c r="AR174" s="14">
        <v>0</v>
      </c>
      <c r="AS174" s="14">
        <v>1</v>
      </c>
      <c r="AT174" s="14">
        <v>1</v>
      </c>
      <c r="AU174" s="14" t="s">
        <v>2644</v>
      </c>
    </row>
    <row r="175" spans="1:47">
      <c r="A175" s="14" t="s">
        <v>2639</v>
      </c>
      <c r="B175" s="14" t="s">
        <v>2646</v>
      </c>
      <c r="C175" s="14" t="s">
        <v>2641</v>
      </c>
      <c r="F175" s="14" t="s">
        <v>2647</v>
      </c>
      <c r="I175" s="14" t="s">
        <v>2648</v>
      </c>
      <c r="K175" s="14" t="s">
        <v>2649</v>
      </c>
      <c r="L175" s="14" t="s">
        <v>870</v>
      </c>
      <c r="M175" s="14" t="s">
        <v>2650</v>
      </c>
      <c r="N175" s="14">
        <v>1</v>
      </c>
      <c r="O175" s="14" t="s">
        <v>2009</v>
      </c>
      <c r="P175" s="14">
        <v>1</v>
      </c>
      <c r="Q175" s="14">
        <v>0.9</v>
      </c>
      <c r="R175" s="14" t="s">
        <v>872</v>
      </c>
      <c r="S175" s="14" t="s">
        <v>1657</v>
      </c>
      <c r="T175" s="14" t="s">
        <v>1658</v>
      </c>
      <c r="U175" s="14" t="s">
        <v>1659</v>
      </c>
      <c r="V175" s="14" t="s">
        <v>2576</v>
      </c>
      <c r="X175" s="14">
        <v>0</v>
      </c>
      <c r="Z175" s="14">
        <v>0</v>
      </c>
      <c r="AA175" s="14">
        <v>1</v>
      </c>
      <c r="AB175" s="14">
        <v>1</v>
      </c>
      <c r="AD175" s="14">
        <v>0</v>
      </c>
      <c r="AF175" s="14">
        <v>0</v>
      </c>
      <c r="AG175" s="14">
        <v>1</v>
      </c>
      <c r="AH175" s="14">
        <v>1</v>
      </c>
      <c r="AJ175" s="14">
        <v>0</v>
      </c>
      <c r="AL175" s="14">
        <v>0</v>
      </c>
      <c r="AM175" s="14">
        <v>1</v>
      </c>
      <c r="AN175" s="14">
        <v>1</v>
      </c>
      <c r="AP175" s="14">
        <v>0</v>
      </c>
      <c r="AR175" s="14">
        <v>0</v>
      </c>
      <c r="AS175" s="14">
        <v>1</v>
      </c>
      <c r="AT175" s="14">
        <v>1</v>
      </c>
      <c r="AU175" s="14" t="s">
        <v>2649</v>
      </c>
    </row>
    <row r="176" spans="1:47">
      <c r="A176" s="14" t="s">
        <v>2651</v>
      </c>
      <c r="B176" s="14" t="s">
        <v>2652</v>
      </c>
      <c r="C176" s="14" t="s">
        <v>2653</v>
      </c>
      <c r="D176" s="14" t="s">
        <v>2654</v>
      </c>
      <c r="F176" s="14" t="s">
        <v>2655</v>
      </c>
      <c r="I176" s="14" t="s">
        <v>2656</v>
      </c>
      <c r="J176" s="14" t="s">
        <v>2657</v>
      </c>
      <c r="K176" s="14" t="s">
        <v>2658</v>
      </c>
      <c r="L176" s="14" t="s">
        <v>892</v>
      </c>
      <c r="M176" s="14" t="s">
        <v>2659</v>
      </c>
      <c r="N176" s="14">
        <v>2</v>
      </c>
      <c r="O176" s="14" t="s">
        <v>871</v>
      </c>
      <c r="P176" s="14">
        <v>0.96</v>
      </c>
      <c r="Q176" s="14">
        <v>0.9</v>
      </c>
      <c r="R176" s="14" t="s">
        <v>872</v>
      </c>
      <c r="S176" s="14" t="s">
        <v>1657</v>
      </c>
      <c r="T176" s="14" t="s">
        <v>1658</v>
      </c>
      <c r="U176" s="14" t="s">
        <v>1659</v>
      </c>
      <c r="V176" s="14" t="s">
        <v>2576</v>
      </c>
      <c r="X176" s="14">
        <v>0</v>
      </c>
      <c r="Z176" s="14">
        <v>0</v>
      </c>
      <c r="AA176" s="14">
        <v>100</v>
      </c>
      <c r="AB176" s="14">
        <v>96</v>
      </c>
      <c r="AD176" s="14">
        <v>0</v>
      </c>
      <c r="AF176" s="14">
        <v>0</v>
      </c>
      <c r="AG176" s="14">
        <v>26</v>
      </c>
      <c r="AH176" s="14">
        <v>26</v>
      </c>
      <c r="AJ176" s="14">
        <v>0</v>
      </c>
      <c r="AL176" s="14">
        <v>0</v>
      </c>
      <c r="AM176" s="14">
        <v>20</v>
      </c>
      <c r="AN176" s="14">
        <v>20</v>
      </c>
      <c r="AP176" s="14">
        <v>0</v>
      </c>
      <c r="AR176" s="14">
        <v>0</v>
      </c>
      <c r="AS176" s="14">
        <v>26</v>
      </c>
      <c r="AT176" s="14">
        <v>26</v>
      </c>
      <c r="AU176" s="14" t="s">
        <v>2658</v>
      </c>
    </row>
    <row r="177" spans="1:47">
      <c r="A177" s="14" t="s">
        <v>2222</v>
      </c>
      <c r="B177" s="14" t="s">
        <v>2660</v>
      </c>
      <c r="C177" s="14" t="s">
        <v>2224</v>
      </c>
      <c r="D177" s="14" t="s">
        <v>2225</v>
      </c>
      <c r="F177" s="14" t="s">
        <v>2661</v>
      </c>
      <c r="I177" s="14" t="s">
        <v>2662</v>
      </c>
      <c r="K177" s="14" t="s">
        <v>2663</v>
      </c>
      <c r="L177" s="14" t="s">
        <v>892</v>
      </c>
      <c r="M177" s="14" t="s">
        <v>2664</v>
      </c>
      <c r="N177" s="14">
        <v>2</v>
      </c>
      <c r="O177" s="14" t="s">
        <v>1656</v>
      </c>
      <c r="P177" s="14">
        <v>1</v>
      </c>
      <c r="Q177" s="14">
        <v>0.9</v>
      </c>
      <c r="R177" s="14" t="s">
        <v>872</v>
      </c>
      <c r="S177" s="14" t="s">
        <v>1657</v>
      </c>
      <c r="T177" s="14" t="s">
        <v>1658</v>
      </c>
      <c r="U177" s="14" t="s">
        <v>1659</v>
      </c>
      <c r="V177" s="14" t="s">
        <v>2576</v>
      </c>
      <c r="X177" s="14">
        <v>0</v>
      </c>
      <c r="Z177" s="14">
        <v>0</v>
      </c>
      <c r="AA177" s="14">
        <v>16</v>
      </c>
      <c r="AB177" s="14">
        <v>16</v>
      </c>
      <c r="AD177" s="14">
        <v>0</v>
      </c>
      <c r="AF177" s="14">
        <v>0</v>
      </c>
      <c r="AG177" s="14">
        <v>26</v>
      </c>
      <c r="AH177" s="14">
        <v>26</v>
      </c>
      <c r="AJ177" s="14">
        <v>0</v>
      </c>
      <c r="AL177" s="14">
        <v>0</v>
      </c>
      <c r="AM177" s="14">
        <v>20</v>
      </c>
      <c r="AN177" s="14">
        <v>62</v>
      </c>
      <c r="AP177" s="14">
        <v>0</v>
      </c>
      <c r="AR177" s="14">
        <v>0</v>
      </c>
      <c r="AS177" s="14">
        <v>26</v>
      </c>
      <c r="AT177" s="14">
        <v>26</v>
      </c>
      <c r="AU177" s="14" t="s">
        <v>2663</v>
      </c>
    </row>
    <row r="178" spans="1:47">
      <c r="A178" s="14" t="s">
        <v>2665</v>
      </c>
      <c r="B178" s="14" t="s">
        <v>2666</v>
      </c>
      <c r="C178" s="14" t="s">
        <v>2667</v>
      </c>
      <c r="D178" s="14" t="s">
        <v>2668</v>
      </c>
      <c r="E178" s="14" t="s">
        <v>2669</v>
      </c>
      <c r="F178" s="14" t="s">
        <v>2670</v>
      </c>
      <c r="I178" s="14" t="s">
        <v>2671</v>
      </c>
      <c r="J178" s="14" t="s">
        <v>2672</v>
      </c>
      <c r="K178" s="14" t="s">
        <v>2673</v>
      </c>
      <c r="L178" s="14" t="s">
        <v>884</v>
      </c>
      <c r="M178" s="14" t="s">
        <v>2674</v>
      </c>
      <c r="N178" s="14">
        <v>2</v>
      </c>
      <c r="O178" s="14" t="s">
        <v>871</v>
      </c>
      <c r="P178" s="14">
        <v>0.95</v>
      </c>
      <c r="Q178" s="14" t="s">
        <v>1713</v>
      </c>
      <c r="R178" s="14" t="s">
        <v>910</v>
      </c>
      <c r="S178" s="14" t="s">
        <v>1714</v>
      </c>
      <c r="T178" s="14" t="s">
        <v>1715</v>
      </c>
      <c r="U178" s="14" t="s">
        <v>1716</v>
      </c>
      <c r="V178" s="14" t="s">
        <v>2675</v>
      </c>
      <c r="X178" s="14">
        <v>0</v>
      </c>
      <c r="Z178" s="14">
        <v>0</v>
      </c>
      <c r="AA178" s="14">
        <v>74902983805</v>
      </c>
      <c r="AB178" s="14">
        <v>194523112248</v>
      </c>
      <c r="AD178" s="14">
        <v>0</v>
      </c>
      <c r="AF178" s="14">
        <v>0</v>
      </c>
      <c r="AG178" s="14">
        <v>103769296692</v>
      </c>
      <c r="AH178" s="14">
        <v>194523112248</v>
      </c>
      <c r="AJ178" s="14">
        <v>0</v>
      </c>
      <c r="AL178" s="14">
        <v>0</v>
      </c>
      <c r="AP178" s="14">
        <v>0</v>
      </c>
      <c r="AR178" s="14">
        <v>0</v>
      </c>
      <c r="AS178" s="14">
        <v>166363957634</v>
      </c>
      <c r="AT178" s="14">
        <v>194523112248</v>
      </c>
      <c r="AU178" s="14" t="s">
        <v>2673</v>
      </c>
    </row>
    <row r="179" spans="1:47">
      <c r="A179" s="14" t="s">
        <v>2665</v>
      </c>
      <c r="B179" s="14" t="s">
        <v>2676</v>
      </c>
      <c r="C179" s="14" t="s">
        <v>2667</v>
      </c>
      <c r="D179" s="14" t="s">
        <v>2668</v>
      </c>
      <c r="E179" s="14" t="s">
        <v>2669</v>
      </c>
      <c r="F179" s="14" t="s">
        <v>2670</v>
      </c>
      <c r="I179" s="14" t="s">
        <v>2677</v>
      </c>
      <c r="J179" s="14" t="s">
        <v>2672</v>
      </c>
      <c r="K179" s="14" t="s">
        <v>2673</v>
      </c>
      <c r="L179" s="14" t="s">
        <v>884</v>
      </c>
      <c r="M179" s="14" t="s">
        <v>2678</v>
      </c>
      <c r="N179" s="14">
        <v>2</v>
      </c>
      <c r="O179" s="14" t="s">
        <v>871</v>
      </c>
      <c r="P179" s="14">
        <v>0.85</v>
      </c>
      <c r="Q179" s="14" t="s">
        <v>1713</v>
      </c>
      <c r="R179" s="14" t="s">
        <v>872</v>
      </c>
      <c r="S179" s="14" t="s">
        <v>1714</v>
      </c>
      <c r="T179" s="14" t="s">
        <v>1715</v>
      </c>
      <c r="U179" s="14" t="s">
        <v>1716</v>
      </c>
      <c r="V179" s="14" t="s">
        <v>2675</v>
      </c>
      <c r="X179" s="14">
        <v>0</v>
      </c>
      <c r="AA179" s="14">
        <v>2536936035166</v>
      </c>
      <c r="AB179" s="14">
        <v>194523112248</v>
      </c>
      <c r="AD179" s="14">
        <v>0</v>
      </c>
      <c r="AF179" s="14">
        <v>0</v>
      </c>
      <c r="AG179" s="14">
        <v>65138309842.010002</v>
      </c>
      <c r="AH179" s="14">
        <v>194523112248</v>
      </c>
      <c r="AJ179" s="14">
        <v>0</v>
      </c>
      <c r="AL179" s="14">
        <v>0</v>
      </c>
      <c r="AM179" s="14">
        <v>107567134232</v>
      </c>
      <c r="AN179" s="14">
        <v>194523112248</v>
      </c>
      <c r="AP179" s="14">
        <v>0</v>
      </c>
      <c r="AR179" s="14">
        <v>0</v>
      </c>
      <c r="AS179" s="14">
        <v>163691299205</v>
      </c>
      <c r="AT179" s="14">
        <v>194523112248</v>
      </c>
      <c r="AU179" s="14" t="s">
        <v>2673</v>
      </c>
    </row>
    <row r="180" spans="1:47">
      <c r="A180" s="14" t="s">
        <v>2665</v>
      </c>
      <c r="B180" s="14" t="s">
        <v>2679</v>
      </c>
      <c r="C180" s="14" t="s">
        <v>2667</v>
      </c>
      <c r="D180" s="14" t="s">
        <v>2668</v>
      </c>
      <c r="E180" s="14" t="s">
        <v>2669</v>
      </c>
      <c r="F180" s="14" t="s">
        <v>2670</v>
      </c>
      <c r="I180" s="14" t="s">
        <v>2680</v>
      </c>
      <c r="J180" s="14" t="s">
        <v>2681</v>
      </c>
      <c r="K180" s="14" t="s">
        <v>2682</v>
      </c>
      <c r="L180" s="14" t="s">
        <v>884</v>
      </c>
      <c r="M180" s="14" t="s">
        <v>2683</v>
      </c>
      <c r="N180" s="14">
        <v>1</v>
      </c>
      <c r="O180" s="14" t="s">
        <v>871</v>
      </c>
      <c r="P180" s="14">
        <v>0.94</v>
      </c>
      <c r="Q180" s="14" t="s">
        <v>1713</v>
      </c>
      <c r="R180" s="14" t="s">
        <v>910</v>
      </c>
      <c r="S180" s="14" t="s">
        <v>1714</v>
      </c>
      <c r="T180" s="14" t="s">
        <v>1715</v>
      </c>
      <c r="U180" s="14" t="s">
        <v>1716</v>
      </c>
      <c r="V180" s="14" t="s">
        <v>2675</v>
      </c>
      <c r="X180" s="14">
        <v>0</v>
      </c>
      <c r="Z180" s="14">
        <v>0</v>
      </c>
      <c r="AA180" s="14">
        <v>35477294423</v>
      </c>
      <c r="AB180" s="14">
        <v>131532344000</v>
      </c>
      <c r="AD180" s="14">
        <v>0</v>
      </c>
      <c r="AF180" s="14">
        <v>0</v>
      </c>
      <c r="AG180" s="14">
        <v>54793901573.050003</v>
      </c>
      <c r="AH180" s="14">
        <v>131532344000</v>
      </c>
      <c r="AJ180" s="14">
        <v>0</v>
      </c>
      <c r="AL180" s="14">
        <v>0</v>
      </c>
      <c r="AP180" s="14">
        <v>0</v>
      </c>
      <c r="AR180" s="14">
        <v>0</v>
      </c>
      <c r="AS180" s="14">
        <v>105534511583</v>
      </c>
      <c r="AT180" s="14">
        <v>131532344000</v>
      </c>
      <c r="AU180" s="14" t="s">
        <v>2682</v>
      </c>
    </row>
    <row r="181" spans="1:47">
      <c r="A181" s="14" t="s">
        <v>2665</v>
      </c>
      <c r="B181" s="14" t="s">
        <v>2684</v>
      </c>
      <c r="C181" s="14" t="s">
        <v>2667</v>
      </c>
      <c r="D181" s="14" t="s">
        <v>2668</v>
      </c>
      <c r="E181" s="14" t="s">
        <v>2669</v>
      </c>
      <c r="F181" s="14" t="s">
        <v>2685</v>
      </c>
      <c r="I181" s="14" t="s">
        <v>2498</v>
      </c>
      <c r="J181" s="14" t="s">
        <v>2686</v>
      </c>
      <c r="K181" s="14" t="s">
        <v>2687</v>
      </c>
      <c r="L181" s="14" t="s">
        <v>870</v>
      </c>
      <c r="M181" s="14" t="s">
        <v>2688</v>
      </c>
      <c r="N181" s="14">
        <v>1</v>
      </c>
      <c r="O181" s="14" t="s">
        <v>871</v>
      </c>
      <c r="P181" s="14">
        <v>1</v>
      </c>
      <c r="Q181" s="14">
        <v>0.9</v>
      </c>
      <c r="R181" s="14" t="s">
        <v>872</v>
      </c>
      <c r="S181" s="14" t="s">
        <v>1657</v>
      </c>
      <c r="T181" s="14" t="s">
        <v>1658</v>
      </c>
      <c r="U181" s="14" t="s">
        <v>1659</v>
      </c>
      <c r="V181" s="14" t="s">
        <v>2675</v>
      </c>
      <c r="X181" s="14">
        <v>0</v>
      </c>
      <c r="Z181" s="14">
        <v>0</v>
      </c>
      <c r="AA181" s="14">
        <v>6</v>
      </c>
      <c r="AB181" s="14">
        <v>6</v>
      </c>
      <c r="AD181" s="14">
        <v>0</v>
      </c>
      <c r="AF181" s="14">
        <v>0</v>
      </c>
      <c r="AG181" s="14">
        <v>3</v>
      </c>
      <c r="AH181" s="14">
        <v>3</v>
      </c>
      <c r="AJ181" s="14">
        <v>0</v>
      </c>
      <c r="AL181" s="14">
        <v>0</v>
      </c>
      <c r="AM181" s="14">
        <v>5</v>
      </c>
      <c r="AN181" s="14">
        <v>5</v>
      </c>
      <c r="AP181" s="14">
        <v>0</v>
      </c>
      <c r="AR181" s="14">
        <v>0</v>
      </c>
      <c r="AS181" s="14">
        <v>3</v>
      </c>
      <c r="AT181" s="14">
        <v>3</v>
      </c>
      <c r="AU181" s="14" t="s">
        <v>2687</v>
      </c>
    </row>
    <row r="182" spans="1:47">
      <c r="A182" s="14" t="s">
        <v>2665</v>
      </c>
      <c r="B182" s="14" t="s">
        <v>2689</v>
      </c>
      <c r="C182" s="14" t="s">
        <v>2667</v>
      </c>
      <c r="D182" s="14" t="s">
        <v>2668</v>
      </c>
      <c r="E182" s="14" t="s">
        <v>2669</v>
      </c>
      <c r="F182" s="14" t="s">
        <v>2690</v>
      </c>
      <c r="I182" s="14" t="s">
        <v>2691</v>
      </c>
      <c r="K182" s="14" t="s">
        <v>2692</v>
      </c>
      <c r="L182" s="14" t="s">
        <v>870</v>
      </c>
      <c r="M182" s="14" t="s">
        <v>2693</v>
      </c>
      <c r="N182" s="14">
        <v>1</v>
      </c>
      <c r="O182" s="14" t="s">
        <v>2009</v>
      </c>
      <c r="P182" s="14">
        <v>1</v>
      </c>
      <c r="Q182" s="14">
        <v>0.9</v>
      </c>
      <c r="R182" s="14" t="s">
        <v>914</v>
      </c>
      <c r="S182" s="14" t="s">
        <v>1657</v>
      </c>
      <c r="T182" s="14" t="s">
        <v>1658</v>
      </c>
      <c r="U182" s="14" t="s">
        <v>1659</v>
      </c>
      <c r="V182" s="14" t="s">
        <v>2675</v>
      </c>
      <c r="W182" s="14">
        <v>1</v>
      </c>
      <c r="X182" s="14">
        <v>1</v>
      </c>
      <c r="Y182" s="14">
        <v>1</v>
      </c>
      <c r="Z182" s="14">
        <v>1</v>
      </c>
      <c r="AA182" s="14">
        <v>1</v>
      </c>
      <c r="AB182" s="14">
        <v>1</v>
      </c>
      <c r="AC182" s="14">
        <v>1</v>
      </c>
      <c r="AD182" s="14">
        <v>1</v>
      </c>
      <c r="AE182" s="14">
        <v>1</v>
      </c>
      <c r="AF182" s="14">
        <v>1</v>
      </c>
      <c r="AG182" s="14">
        <v>1</v>
      </c>
      <c r="AH182" s="14">
        <v>1</v>
      </c>
      <c r="AI182" s="14">
        <v>1</v>
      </c>
      <c r="AJ182" s="14">
        <v>1</v>
      </c>
      <c r="AK182" s="14">
        <v>1</v>
      </c>
      <c r="AL182" s="14">
        <v>1</v>
      </c>
      <c r="AM182" s="14">
        <v>1</v>
      </c>
      <c r="AN182" s="14">
        <v>1</v>
      </c>
      <c r="AO182" s="14">
        <v>1</v>
      </c>
      <c r="AP182" s="14">
        <v>1</v>
      </c>
      <c r="AQ182" s="14">
        <v>1</v>
      </c>
      <c r="AR182" s="14">
        <v>1</v>
      </c>
      <c r="AS182" s="14">
        <v>1</v>
      </c>
      <c r="AT182" s="14">
        <v>1</v>
      </c>
      <c r="AU182" s="14" t="s">
        <v>2692</v>
      </c>
    </row>
    <row r="183" spans="1:47">
      <c r="A183" s="14" t="s">
        <v>2665</v>
      </c>
      <c r="B183" s="14" t="s">
        <v>2694</v>
      </c>
      <c r="C183" s="14" t="s">
        <v>2667</v>
      </c>
      <c r="D183" s="14" t="s">
        <v>2668</v>
      </c>
      <c r="E183" s="14" t="s">
        <v>2669</v>
      </c>
      <c r="F183" s="14" t="s">
        <v>2695</v>
      </c>
      <c r="I183" s="14" t="s">
        <v>2696</v>
      </c>
      <c r="K183" s="14" t="s">
        <v>2697</v>
      </c>
      <c r="L183" s="14" t="s">
        <v>870</v>
      </c>
      <c r="M183" s="14" t="s">
        <v>2698</v>
      </c>
      <c r="N183" s="14">
        <v>2</v>
      </c>
      <c r="O183" s="14" t="s">
        <v>2009</v>
      </c>
      <c r="P183" s="14">
        <v>1</v>
      </c>
      <c r="Q183" s="14">
        <v>0.9</v>
      </c>
      <c r="R183" s="14" t="s">
        <v>988</v>
      </c>
      <c r="S183" s="14" t="s">
        <v>1657</v>
      </c>
      <c r="T183" s="14" t="s">
        <v>1658</v>
      </c>
      <c r="U183" s="14" t="s">
        <v>1659</v>
      </c>
      <c r="V183" s="14" t="s">
        <v>2675</v>
      </c>
      <c r="X183" s="14">
        <v>0</v>
      </c>
      <c r="Z183" s="14">
        <v>0</v>
      </c>
      <c r="AB183" s="14">
        <v>0</v>
      </c>
      <c r="AD183" s="14">
        <v>0</v>
      </c>
      <c r="AF183" s="14">
        <v>0</v>
      </c>
      <c r="AG183" s="14">
        <v>1</v>
      </c>
      <c r="AH183" s="14">
        <v>1</v>
      </c>
      <c r="AJ183" s="14">
        <v>0</v>
      </c>
      <c r="AL183" s="14">
        <v>0</v>
      </c>
      <c r="AN183" s="14">
        <v>0</v>
      </c>
      <c r="AP183" s="14">
        <v>0</v>
      </c>
      <c r="AR183" s="14">
        <v>0</v>
      </c>
      <c r="AS183" s="14">
        <v>1</v>
      </c>
      <c r="AT183" s="14">
        <v>1</v>
      </c>
      <c r="AU183" s="14" t="s">
        <v>2697</v>
      </c>
    </row>
    <row r="184" spans="1:47">
      <c r="A184" s="14" t="s">
        <v>2699</v>
      </c>
      <c r="B184" s="14" t="s">
        <v>2700</v>
      </c>
      <c r="C184" s="14" t="s">
        <v>2701</v>
      </c>
      <c r="D184" s="14" t="s">
        <v>2702</v>
      </c>
      <c r="F184" s="14" t="s">
        <v>2703</v>
      </c>
      <c r="I184" s="14" t="s">
        <v>2704</v>
      </c>
      <c r="K184" s="14" t="s">
        <v>2705</v>
      </c>
      <c r="L184" s="14" t="s">
        <v>870</v>
      </c>
      <c r="M184" s="14" t="s">
        <v>2706</v>
      </c>
      <c r="N184" s="14">
        <v>1</v>
      </c>
      <c r="O184" s="14" t="s">
        <v>2009</v>
      </c>
      <c r="P184" s="14">
        <v>1</v>
      </c>
      <c r="Q184" s="14">
        <v>0.9</v>
      </c>
      <c r="R184" s="14" t="s">
        <v>872</v>
      </c>
      <c r="S184" s="14" t="s">
        <v>1657</v>
      </c>
      <c r="T184" s="14" t="s">
        <v>1658</v>
      </c>
      <c r="U184" s="14" t="s">
        <v>1659</v>
      </c>
      <c r="V184" s="14" t="s">
        <v>2675</v>
      </c>
      <c r="X184" s="14">
        <v>0</v>
      </c>
      <c r="Z184" s="14">
        <v>0</v>
      </c>
      <c r="AA184" s="14">
        <v>3</v>
      </c>
      <c r="AB184" s="14">
        <v>3</v>
      </c>
      <c r="AD184" s="14">
        <v>0</v>
      </c>
      <c r="AF184" s="14">
        <v>0</v>
      </c>
      <c r="AG184" s="14">
        <v>3</v>
      </c>
      <c r="AH184" s="14">
        <v>3</v>
      </c>
      <c r="AJ184" s="14">
        <v>0</v>
      </c>
      <c r="AL184" s="14">
        <v>0</v>
      </c>
      <c r="AM184" s="14">
        <v>3</v>
      </c>
      <c r="AN184" s="14">
        <v>3</v>
      </c>
      <c r="AP184" s="14">
        <v>0</v>
      </c>
      <c r="AR184" s="14">
        <v>0</v>
      </c>
      <c r="AS184" s="14">
        <v>3</v>
      </c>
      <c r="AT184" s="14">
        <v>3</v>
      </c>
      <c r="AU184" s="14" t="s">
        <v>2705</v>
      </c>
    </row>
    <row r="185" spans="1:47">
      <c r="A185" s="14" t="s">
        <v>2699</v>
      </c>
      <c r="B185" s="14" t="s">
        <v>2707</v>
      </c>
      <c r="C185" s="14" t="s">
        <v>2701</v>
      </c>
      <c r="D185" s="14" t="s">
        <v>2702</v>
      </c>
      <c r="F185" s="14" t="s">
        <v>2708</v>
      </c>
      <c r="I185" s="14" t="s">
        <v>2709</v>
      </c>
      <c r="K185" s="14" t="s">
        <v>2710</v>
      </c>
      <c r="L185" s="14" t="s">
        <v>870</v>
      </c>
      <c r="M185" s="14" t="s">
        <v>2711</v>
      </c>
      <c r="N185" s="14">
        <v>2</v>
      </c>
      <c r="O185" s="14" t="s">
        <v>2009</v>
      </c>
      <c r="P185" s="14">
        <v>1</v>
      </c>
      <c r="Q185" s="14">
        <v>0.9</v>
      </c>
      <c r="R185" s="14" t="s">
        <v>872</v>
      </c>
      <c r="S185" s="14" t="s">
        <v>1657</v>
      </c>
      <c r="T185" s="14" t="s">
        <v>1658</v>
      </c>
      <c r="U185" s="14" t="s">
        <v>1659</v>
      </c>
      <c r="V185" s="14" t="s">
        <v>2675</v>
      </c>
      <c r="X185" s="14">
        <v>0</v>
      </c>
      <c r="Z185" s="14">
        <v>0</v>
      </c>
      <c r="AA185" s="14">
        <v>3</v>
      </c>
      <c r="AB185" s="14">
        <v>3</v>
      </c>
      <c r="AD185" s="14">
        <v>0</v>
      </c>
      <c r="AF185" s="14">
        <v>0</v>
      </c>
      <c r="AG185" s="14">
        <v>3</v>
      </c>
      <c r="AH185" s="14">
        <v>3</v>
      </c>
      <c r="AJ185" s="14">
        <v>0</v>
      </c>
      <c r="AL185" s="14">
        <v>0</v>
      </c>
      <c r="AM185" s="14">
        <v>3</v>
      </c>
      <c r="AN185" s="14">
        <v>3</v>
      </c>
      <c r="AP185" s="14">
        <v>0</v>
      </c>
      <c r="AR185" s="14">
        <v>0</v>
      </c>
      <c r="AS185" s="14">
        <v>2</v>
      </c>
      <c r="AT185" s="14">
        <v>2</v>
      </c>
      <c r="AU185" s="14" t="s">
        <v>2710</v>
      </c>
    </row>
    <row r="186" spans="1:47">
      <c r="A186" s="14" t="s">
        <v>2712</v>
      </c>
      <c r="B186" s="14" t="s">
        <v>2713</v>
      </c>
      <c r="C186" s="14" t="s">
        <v>2714</v>
      </c>
      <c r="D186" s="14" t="s">
        <v>2715</v>
      </c>
      <c r="F186" s="14" t="s">
        <v>2716</v>
      </c>
      <c r="I186" s="14" t="s">
        <v>2717</v>
      </c>
      <c r="J186" s="14" t="s">
        <v>2718</v>
      </c>
      <c r="K186" s="14" t="s">
        <v>2719</v>
      </c>
      <c r="L186" s="14" t="s">
        <v>892</v>
      </c>
      <c r="M186" s="14" t="s">
        <v>2720</v>
      </c>
      <c r="N186" s="14">
        <v>2</v>
      </c>
      <c r="O186" s="14" t="s">
        <v>871</v>
      </c>
      <c r="P186" s="14">
        <v>1</v>
      </c>
      <c r="Q186" s="14">
        <v>0.9</v>
      </c>
      <c r="R186" s="14" t="s">
        <v>872</v>
      </c>
      <c r="S186" s="14" t="s">
        <v>1657</v>
      </c>
      <c r="T186" s="14" t="s">
        <v>1658</v>
      </c>
      <c r="U186" s="14" t="s">
        <v>1659</v>
      </c>
      <c r="V186" s="14" t="s">
        <v>2675</v>
      </c>
      <c r="X186" s="14">
        <v>0</v>
      </c>
      <c r="Z186" s="14">
        <v>0</v>
      </c>
      <c r="AA186" s="14">
        <v>1</v>
      </c>
      <c r="AB186" s="14">
        <v>1</v>
      </c>
      <c r="AD186" s="14">
        <v>0</v>
      </c>
      <c r="AF186" s="14">
        <v>0</v>
      </c>
      <c r="AG186" s="14">
        <v>2</v>
      </c>
      <c r="AH186" s="14">
        <v>2</v>
      </c>
      <c r="AJ186" s="14">
        <v>0</v>
      </c>
      <c r="AL186" s="14">
        <v>0</v>
      </c>
      <c r="AM186" s="14">
        <v>2</v>
      </c>
      <c r="AN186" s="14">
        <v>2</v>
      </c>
      <c r="AP186" s="14">
        <v>0</v>
      </c>
      <c r="AR186" s="14">
        <v>0</v>
      </c>
      <c r="AS186" s="14">
        <v>2</v>
      </c>
      <c r="AT186" s="14">
        <v>2</v>
      </c>
      <c r="AU186" s="14" t="s">
        <v>2719</v>
      </c>
    </row>
    <row r="187" spans="1:47">
      <c r="A187" s="14" t="s">
        <v>2721</v>
      </c>
      <c r="B187" s="14" t="s">
        <v>2722</v>
      </c>
      <c r="C187" s="14" t="s">
        <v>2723</v>
      </c>
      <c r="D187" s="14" t="s">
        <v>2724</v>
      </c>
      <c r="E187" s="14" t="s">
        <v>2725</v>
      </c>
      <c r="F187" s="14" t="s">
        <v>2726</v>
      </c>
      <c r="I187" s="14" t="s">
        <v>2727</v>
      </c>
      <c r="K187" s="14" t="s">
        <v>2728</v>
      </c>
      <c r="L187" s="14" t="s">
        <v>870</v>
      </c>
      <c r="M187" s="14" t="s">
        <v>2729</v>
      </c>
      <c r="N187" s="14">
        <v>1</v>
      </c>
      <c r="O187" s="14" t="s">
        <v>157</v>
      </c>
      <c r="P187" s="14">
        <v>1</v>
      </c>
      <c r="Q187" s="14">
        <v>0.9</v>
      </c>
      <c r="R187" s="14" t="s">
        <v>914</v>
      </c>
      <c r="S187" s="14" t="s">
        <v>1657</v>
      </c>
      <c r="T187" s="14" t="s">
        <v>1658</v>
      </c>
      <c r="U187" s="14" t="s">
        <v>1659</v>
      </c>
      <c r="V187" s="14" t="s">
        <v>2675</v>
      </c>
      <c r="W187" s="14">
        <v>1</v>
      </c>
      <c r="X187" s="14">
        <v>1</v>
      </c>
      <c r="Y187" s="14">
        <v>1</v>
      </c>
      <c r="Z187" s="14">
        <v>1</v>
      </c>
      <c r="AA187" s="14">
        <v>1</v>
      </c>
      <c r="AB187" s="14">
        <v>1</v>
      </c>
      <c r="AC187" s="14">
        <v>1</v>
      </c>
      <c r="AD187" s="14">
        <v>1</v>
      </c>
      <c r="AE187" s="14">
        <v>1</v>
      </c>
      <c r="AF187" s="14">
        <v>1</v>
      </c>
      <c r="AG187" s="14">
        <v>1</v>
      </c>
      <c r="AH187" s="14">
        <v>1</v>
      </c>
      <c r="AI187" s="14">
        <v>1</v>
      </c>
      <c r="AJ187" s="14">
        <v>1</v>
      </c>
      <c r="AK187" s="14">
        <v>1</v>
      </c>
      <c r="AL187" s="14">
        <v>1</v>
      </c>
      <c r="AM187" s="14">
        <v>1</v>
      </c>
      <c r="AN187" s="14">
        <v>1</v>
      </c>
      <c r="AO187" s="14">
        <v>1</v>
      </c>
      <c r="AP187" s="14">
        <v>1</v>
      </c>
      <c r="AQ187" s="14">
        <v>1</v>
      </c>
      <c r="AR187" s="14">
        <v>1</v>
      </c>
      <c r="AS187" s="14">
        <v>1</v>
      </c>
      <c r="AT187" s="14">
        <v>1</v>
      </c>
      <c r="AU187" s="14" t="s">
        <v>2728</v>
      </c>
    </row>
    <row r="188" spans="1:47">
      <c r="A188" s="14" t="s">
        <v>2665</v>
      </c>
      <c r="B188" s="14" t="s">
        <v>2730</v>
      </c>
      <c r="C188" s="14" t="s">
        <v>2667</v>
      </c>
      <c r="D188" s="14" t="s">
        <v>2668</v>
      </c>
      <c r="E188" s="14" t="s">
        <v>2669</v>
      </c>
      <c r="F188" s="14" t="s">
        <v>2731</v>
      </c>
      <c r="I188" s="14" t="s">
        <v>2732</v>
      </c>
      <c r="J188" s="14" t="s">
        <v>2733</v>
      </c>
      <c r="K188" s="14" t="s">
        <v>2734</v>
      </c>
      <c r="L188" s="14" t="s">
        <v>892</v>
      </c>
      <c r="M188" s="14" t="s">
        <v>2735</v>
      </c>
      <c r="N188" s="14">
        <v>1</v>
      </c>
      <c r="O188" s="14" t="s">
        <v>871</v>
      </c>
      <c r="P188" s="14">
        <v>1</v>
      </c>
      <c r="Q188" s="14">
        <v>0.9</v>
      </c>
      <c r="R188" s="14" t="s">
        <v>872</v>
      </c>
      <c r="S188" s="14" t="s">
        <v>1657</v>
      </c>
      <c r="T188" s="14" t="s">
        <v>1658</v>
      </c>
      <c r="U188" s="14" t="s">
        <v>1659</v>
      </c>
      <c r="V188" s="14" t="s">
        <v>2675</v>
      </c>
      <c r="X188" s="14">
        <v>0</v>
      </c>
      <c r="Z188" s="14">
        <v>0</v>
      </c>
      <c r="AA188" s="14">
        <v>11</v>
      </c>
      <c r="AB188" s="14">
        <v>11</v>
      </c>
      <c r="AD188" s="14">
        <v>0</v>
      </c>
      <c r="AF188" s="14">
        <v>0</v>
      </c>
      <c r="AG188" s="14">
        <v>7</v>
      </c>
      <c r="AH188" s="14">
        <v>7</v>
      </c>
      <c r="AJ188" s="14">
        <v>0</v>
      </c>
      <c r="AL188" s="14">
        <v>0</v>
      </c>
      <c r="AM188" s="14">
        <v>4</v>
      </c>
      <c r="AN188" s="14">
        <v>4</v>
      </c>
      <c r="AP188" s="14">
        <v>0</v>
      </c>
      <c r="AR188" s="14">
        <v>0</v>
      </c>
      <c r="AS188" s="14">
        <v>5</v>
      </c>
      <c r="AT188" s="14">
        <v>5</v>
      </c>
      <c r="AU188" s="14" t="s">
        <v>2734</v>
      </c>
    </row>
    <row r="189" spans="1:47">
      <c r="A189" s="14" t="s">
        <v>2665</v>
      </c>
      <c r="B189" s="14" t="s">
        <v>2736</v>
      </c>
      <c r="C189" s="14" t="s">
        <v>2667</v>
      </c>
      <c r="D189" s="14" t="s">
        <v>2668</v>
      </c>
      <c r="E189" s="14" t="s">
        <v>2669</v>
      </c>
      <c r="F189" s="14" t="s">
        <v>2737</v>
      </c>
      <c r="I189" s="14" t="s">
        <v>2738</v>
      </c>
      <c r="J189" s="14" t="s">
        <v>2739</v>
      </c>
      <c r="K189" s="14" t="s">
        <v>2740</v>
      </c>
      <c r="L189" s="14" t="s">
        <v>892</v>
      </c>
      <c r="M189" s="14" t="s">
        <v>2741</v>
      </c>
      <c r="N189" s="14">
        <v>1</v>
      </c>
      <c r="O189" s="14" t="s">
        <v>871</v>
      </c>
      <c r="P189" s="14">
        <v>0.7</v>
      </c>
      <c r="Q189" s="14" t="s">
        <v>1713</v>
      </c>
      <c r="R189" s="14" t="s">
        <v>988</v>
      </c>
      <c r="S189" s="14" t="s">
        <v>1714</v>
      </c>
      <c r="T189" s="14" t="s">
        <v>1715</v>
      </c>
      <c r="U189" s="14" t="s">
        <v>1716</v>
      </c>
      <c r="V189" s="14" t="s">
        <v>2675</v>
      </c>
      <c r="X189" s="14">
        <v>0</v>
      </c>
      <c r="Z189" s="14">
        <v>0</v>
      </c>
      <c r="AB189" s="14">
        <v>0</v>
      </c>
      <c r="AD189" s="14">
        <v>0</v>
      </c>
      <c r="AF189" s="14">
        <v>0</v>
      </c>
      <c r="AH189" s="14">
        <v>0</v>
      </c>
      <c r="AI189" s="14">
        <v>46041997376</v>
      </c>
      <c r="AJ189" s="14">
        <v>51011266531</v>
      </c>
      <c r="AK189" s="14">
        <v>46703431138</v>
      </c>
      <c r="AL189" s="14">
        <v>5106840456</v>
      </c>
      <c r="AN189" s="14">
        <v>0</v>
      </c>
      <c r="AP189" s="14">
        <v>0</v>
      </c>
      <c r="AR189" s="14">
        <v>0</v>
      </c>
      <c r="AT189" s="14">
        <v>0</v>
      </c>
      <c r="AU189" s="14" t="s">
        <v>2740</v>
      </c>
    </row>
    <row r="190" spans="1:47">
      <c r="A190" s="14" t="s">
        <v>1753</v>
      </c>
      <c r="B190" s="14" t="s">
        <v>2742</v>
      </c>
      <c r="C190" s="14" t="s">
        <v>1755</v>
      </c>
      <c r="D190" s="14" t="s">
        <v>1756</v>
      </c>
      <c r="F190" s="14" t="s">
        <v>2743</v>
      </c>
      <c r="I190" s="14" t="s">
        <v>2744</v>
      </c>
      <c r="J190" s="14" t="s">
        <v>2745</v>
      </c>
      <c r="K190" s="14" t="s">
        <v>2746</v>
      </c>
      <c r="L190" s="14" t="s">
        <v>892</v>
      </c>
      <c r="M190" s="14" t="s">
        <v>2747</v>
      </c>
      <c r="N190" s="14">
        <v>2</v>
      </c>
      <c r="O190" s="14" t="s">
        <v>871</v>
      </c>
      <c r="P190" s="14">
        <v>1</v>
      </c>
      <c r="Q190" s="14">
        <v>0.9</v>
      </c>
      <c r="R190" s="14" t="s">
        <v>910</v>
      </c>
      <c r="S190" s="14" t="s">
        <v>1657</v>
      </c>
      <c r="T190" s="14" t="s">
        <v>1658</v>
      </c>
      <c r="U190" s="14" t="s">
        <v>1659</v>
      </c>
      <c r="V190" s="14" t="s">
        <v>2748</v>
      </c>
      <c r="AC190" s="14">
        <v>812</v>
      </c>
      <c r="AD190" s="14">
        <v>812</v>
      </c>
      <c r="AS190" s="14">
        <v>156</v>
      </c>
      <c r="AT190" s="14">
        <v>156</v>
      </c>
      <c r="AU190" s="14" t="s">
        <v>2746</v>
      </c>
    </row>
    <row r="191" spans="1:47">
      <c r="A191" s="14" t="s">
        <v>2749</v>
      </c>
      <c r="B191" s="14" t="s">
        <v>2750</v>
      </c>
      <c r="C191" s="14" t="s">
        <v>2751</v>
      </c>
      <c r="D191" s="14" t="s">
        <v>2752</v>
      </c>
      <c r="F191" s="14" t="s">
        <v>2753</v>
      </c>
      <c r="I191" s="14" t="s">
        <v>2754</v>
      </c>
      <c r="K191" s="14" t="s">
        <v>2755</v>
      </c>
      <c r="L191" s="14" t="s">
        <v>870</v>
      </c>
      <c r="M191" s="14" t="s">
        <v>2756</v>
      </c>
      <c r="N191" s="14">
        <v>2</v>
      </c>
      <c r="O191" s="14" t="s">
        <v>1656</v>
      </c>
      <c r="P191" s="14">
        <v>1</v>
      </c>
      <c r="Q191" s="14">
        <v>0.9</v>
      </c>
      <c r="R191" s="14" t="s">
        <v>914</v>
      </c>
      <c r="S191" s="14" t="s">
        <v>1657</v>
      </c>
      <c r="T191" s="14" t="s">
        <v>1658</v>
      </c>
      <c r="U191" s="14" t="s">
        <v>1659</v>
      </c>
      <c r="V191" s="14" t="s">
        <v>2757</v>
      </c>
      <c r="AA191" s="14">
        <v>2</v>
      </c>
      <c r="AB191" s="14">
        <v>2</v>
      </c>
      <c r="AC191" s="14">
        <v>1</v>
      </c>
      <c r="AD191" s="14">
        <v>1</v>
      </c>
      <c r="AE191" s="14">
        <v>1</v>
      </c>
      <c r="AF191" s="14">
        <v>1</v>
      </c>
      <c r="AI191" s="14">
        <v>1</v>
      </c>
      <c r="AJ191" s="14">
        <v>1</v>
      </c>
      <c r="AK191" s="14">
        <v>1</v>
      </c>
      <c r="AL191" s="14">
        <v>1</v>
      </c>
      <c r="AM191" s="14">
        <v>1</v>
      </c>
      <c r="AN191" s="14">
        <v>1</v>
      </c>
      <c r="AO191" s="14">
        <v>1</v>
      </c>
      <c r="AP191" s="14">
        <v>1</v>
      </c>
      <c r="AU191" s="14" t="s">
        <v>2755</v>
      </c>
    </row>
    <row r="192" spans="1:47">
      <c r="A192" s="14" t="s">
        <v>2749</v>
      </c>
      <c r="B192" s="14" t="s">
        <v>2758</v>
      </c>
      <c r="C192" s="14" t="s">
        <v>2751</v>
      </c>
      <c r="D192" s="14" t="s">
        <v>2752</v>
      </c>
      <c r="F192" s="14" t="s">
        <v>2759</v>
      </c>
      <c r="I192" s="14" t="s">
        <v>2760</v>
      </c>
      <c r="J192" s="14" t="s">
        <v>2761</v>
      </c>
      <c r="K192" s="14" t="s">
        <v>2762</v>
      </c>
      <c r="L192" s="14" t="s">
        <v>892</v>
      </c>
      <c r="M192" s="14" t="s">
        <v>2763</v>
      </c>
      <c r="N192" s="14">
        <v>1</v>
      </c>
      <c r="O192" s="14" t="s">
        <v>871</v>
      </c>
      <c r="P192" s="14">
        <v>0.93</v>
      </c>
      <c r="Q192" s="14">
        <v>0.9</v>
      </c>
      <c r="R192" s="14" t="s">
        <v>988</v>
      </c>
      <c r="S192" s="14" t="s">
        <v>1657</v>
      </c>
      <c r="T192" s="14" t="s">
        <v>1658</v>
      </c>
      <c r="U192" s="14" t="s">
        <v>1659</v>
      </c>
      <c r="V192" s="14" t="s">
        <v>2757</v>
      </c>
      <c r="AG192" s="14">
        <v>191</v>
      </c>
      <c r="AH192" s="14">
        <v>191</v>
      </c>
      <c r="AS192" s="14">
        <v>219</v>
      </c>
      <c r="AT192" s="14">
        <v>219</v>
      </c>
      <c r="AU192" s="14" t="s">
        <v>2762</v>
      </c>
    </row>
    <row r="193" spans="1:47">
      <c r="A193" s="14" t="s">
        <v>2749</v>
      </c>
      <c r="B193" s="14" t="s">
        <v>2764</v>
      </c>
      <c r="C193" s="14" t="s">
        <v>2751</v>
      </c>
      <c r="D193" s="14" t="s">
        <v>2752</v>
      </c>
      <c r="F193" s="14" t="s">
        <v>2765</v>
      </c>
      <c r="I193" s="14" t="s">
        <v>2766</v>
      </c>
      <c r="K193" s="14" t="s">
        <v>2767</v>
      </c>
      <c r="L193" s="14" t="s">
        <v>870</v>
      </c>
      <c r="M193" s="14" t="s">
        <v>2768</v>
      </c>
      <c r="N193" s="14">
        <v>1</v>
      </c>
      <c r="O193" s="14" t="s">
        <v>1656</v>
      </c>
      <c r="P193" s="14">
        <v>1</v>
      </c>
      <c r="Q193" s="14">
        <v>0.9</v>
      </c>
      <c r="R193" s="14" t="s">
        <v>988</v>
      </c>
      <c r="S193" s="14" t="s">
        <v>1657</v>
      </c>
      <c r="T193" s="14" t="s">
        <v>1658</v>
      </c>
      <c r="U193" s="14" t="s">
        <v>1659</v>
      </c>
      <c r="V193" s="14" t="s">
        <v>2757</v>
      </c>
      <c r="AE193" s="14">
        <v>1</v>
      </c>
      <c r="AF193" s="14">
        <v>1</v>
      </c>
      <c r="AM193" s="14">
        <v>1</v>
      </c>
      <c r="AN193" s="14">
        <v>1</v>
      </c>
      <c r="AU193" s="14" t="s">
        <v>2767</v>
      </c>
    </row>
    <row r="194" spans="1:47">
      <c r="A194" s="14" t="s">
        <v>2749</v>
      </c>
      <c r="B194" s="14" t="s">
        <v>2769</v>
      </c>
      <c r="C194" s="14" t="s">
        <v>2751</v>
      </c>
      <c r="D194" s="14" t="s">
        <v>2752</v>
      </c>
      <c r="F194" s="14" t="s">
        <v>2770</v>
      </c>
      <c r="I194" s="14" t="s">
        <v>2771</v>
      </c>
      <c r="K194" s="14" t="s">
        <v>2772</v>
      </c>
      <c r="L194" s="14" t="s">
        <v>870</v>
      </c>
      <c r="M194" s="14" t="s">
        <v>2773</v>
      </c>
      <c r="N194" s="14">
        <v>1</v>
      </c>
      <c r="O194" s="14" t="s">
        <v>1656</v>
      </c>
      <c r="P194" s="14">
        <v>1</v>
      </c>
      <c r="Q194" s="14">
        <v>0.9</v>
      </c>
      <c r="R194" s="14" t="s">
        <v>988</v>
      </c>
      <c r="S194" s="14" t="s">
        <v>1657</v>
      </c>
      <c r="T194" s="14" t="s">
        <v>1658</v>
      </c>
      <c r="U194" s="14" t="s">
        <v>1659</v>
      </c>
      <c r="V194" s="14" t="s">
        <v>2757</v>
      </c>
      <c r="AA194" s="14">
        <v>1</v>
      </c>
      <c r="AB194" s="14">
        <v>1</v>
      </c>
      <c r="AM194" s="14">
        <v>1</v>
      </c>
      <c r="AN194" s="14">
        <v>1</v>
      </c>
      <c r="AU194" s="14" t="s">
        <v>2772</v>
      </c>
    </row>
    <row r="195" spans="1:47">
      <c r="A195" s="14" t="s">
        <v>2774</v>
      </c>
      <c r="B195" s="14" t="s">
        <v>2775</v>
      </c>
      <c r="C195" s="14" t="s">
        <v>2776</v>
      </c>
      <c r="D195" s="14" t="s">
        <v>2777</v>
      </c>
      <c r="E195" s="14" t="s">
        <v>2778</v>
      </c>
      <c r="F195" s="14" t="s">
        <v>2779</v>
      </c>
      <c r="I195" s="14" t="s">
        <v>2780</v>
      </c>
      <c r="K195" s="14" t="s">
        <v>2781</v>
      </c>
      <c r="L195" s="14" t="s">
        <v>870</v>
      </c>
      <c r="M195" s="14" t="s">
        <v>2782</v>
      </c>
      <c r="N195" s="14">
        <v>2</v>
      </c>
      <c r="O195" s="14" t="s">
        <v>2783</v>
      </c>
      <c r="P195" s="14">
        <v>1</v>
      </c>
      <c r="Q195" s="14">
        <v>0.9</v>
      </c>
      <c r="R195" s="14" t="s">
        <v>988</v>
      </c>
      <c r="S195" s="14" t="s">
        <v>1657</v>
      </c>
      <c r="T195" s="14" t="s">
        <v>1658</v>
      </c>
      <c r="U195" s="14" t="s">
        <v>1659</v>
      </c>
      <c r="V195" s="14" t="s">
        <v>359</v>
      </c>
      <c r="AG195" s="14">
        <v>6</v>
      </c>
      <c r="AH195" s="14">
        <v>6</v>
      </c>
      <c r="AS195" s="14">
        <v>5</v>
      </c>
      <c r="AT195" s="14">
        <v>5</v>
      </c>
      <c r="AU195" s="14" t="s">
        <v>2781</v>
      </c>
    </row>
    <row r="196" spans="1:47">
      <c r="A196" s="14" t="s">
        <v>2784</v>
      </c>
      <c r="B196" s="14" t="s">
        <v>362</v>
      </c>
      <c r="C196" s="14" t="s">
        <v>2785</v>
      </c>
      <c r="D196" s="14" t="s">
        <v>2786</v>
      </c>
      <c r="E196" s="14" t="s">
        <v>2787</v>
      </c>
      <c r="F196" s="14" t="s">
        <v>2788</v>
      </c>
      <c r="I196" s="14" t="s">
        <v>2789</v>
      </c>
      <c r="K196" s="14" t="s">
        <v>2790</v>
      </c>
      <c r="L196" s="14" t="s">
        <v>870</v>
      </c>
      <c r="M196" s="14" t="s">
        <v>2791</v>
      </c>
      <c r="N196" s="14">
        <v>2</v>
      </c>
      <c r="O196" s="14" t="s">
        <v>2783</v>
      </c>
      <c r="P196" s="14">
        <v>1</v>
      </c>
      <c r="Q196" s="14">
        <v>0.9</v>
      </c>
      <c r="R196" s="14" t="s">
        <v>914</v>
      </c>
      <c r="S196" s="14" t="s">
        <v>1657</v>
      </c>
      <c r="T196" s="14" t="s">
        <v>1658</v>
      </c>
      <c r="U196" s="14" t="s">
        <v>1659</v>
      </c>
      <c r="V196" s="14" t="s">
        <v>359</v>
      </c>
      <c r="X196" s="14">
        <v>14</v>
      </c>
      <c r="Z196" s="14">
        <v>14</v>
      </c>
      <c r="AA196" s="14">
        <v>38</v>
      </c>
      <c r="AB196" s="14">
        <v>10</v>
      </c>
      <c r="AC196" s="14">
        <v>13</v>
      </c>
      <c r="AD196" s="14">
        <v>13</v>
      </c>
      <c r="AE196" s="14">
        <v>17</v>
      </c>
      <c r="AF196" s="14">
        <v>17</v>
      </c>
      <c r="AG196" s="14">
        <v>8</v>
      </c>
      <c r="AH196" s="14">
        <v>8</v>
      </c>
      <c r="AM196" s="14">
        <v>35</v>
      </c>
      <c r="AN196" s="14">
        <v>35</v>
      </c>
      <c r="AS196" s="14">
        <v>31</v>
      </c>
      <c r="AT196" s="14">
        <v>31</v>
      </c>
      <c r="AU196" s="14" t="s">
        <v>2790</v>
      </c>
    </row>
    <row r="197" spans="1:47">
      <c r="A197" s="14" t="s">
        <v>2784</v>
      </c>
      <c r="B197" s="14" t="s">
        <v>2792</v>
      </c>
      <c r="C197" s="14" t="s">
        <v>2785</v>
      </c>
      <c r="D197" s="14" t="s">
        <v>2786</v>
      </c>
      <c r="E197" s="14" t="s">
        <v>2787</v>
      </c>
      <c r="F197" s="14" t="s">
        <v>2793</v>
      </c>
      <c r="I197" s="14" t="s">
        <v>2789</v>
      </c>
      <c r="K197" s="14" t="s">
        <v>2794</v>
      </c>
      <c r="L197" s="14" t="s">
        <v>870</v>
      </c>
      <c r="M197" s="14" t="s">
        <v>2795</v>
      </c>
      <c r="N197" s="14">
        <v>2</v>
      </c>
      <c r="O197" s="14" t="s">
        <v>2783</v>
      </c>
      <c r="P197" s="14">
        <v>1</v>
      </c>
      <c r="Q197" s="14">
        <v>0.9</v>
      </c>
      <c r="R197" s="14" t="s">
        <v>988</v>
      </c>
      <c r="S197" s="14" t="s">
        <v>1657</v>
      </c>
      <c r="T197" s="14" t="s">
        <v>1658</v>
      </c>
      <c r="U197" s="14" t="s">
        <v>1659</v>
      </c>
      <c r="V197" s="14" t="s">
        <v>359</v>
      </c>
      <c r="AC197" s="14">
        <v>1</v>
      </c>
      <c r="AD197" s="14">
        <v>1</v>
      </c>
      <c r="AO197" s="14">
        <v>1</v>
      </c>
      <c r="AP197" s="14">
        <v>1</v>
      </c>
      <c r="AU197" s="14" t="s">
        <v>2794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999D-33B2-4F2E-B893-7D75BBEC17AB}">
  <sheetPr codeName="Hoja16"/>
  <dimension ref="A1:I29"/>
  <sheetViews>
    <sheetView zoomScaleNormal="100" workbookViewId="0">
      <pane ySplit="9" topLeftCell="A10" activePane="bottomLeft" state="frozen"/>
      <selection activeCell="D16" sqref="D16"/>
      <selection pane="bottomLeft" activeCell="C10" sqref="C10"/>
    </sheetView>
  </sheetViews>
  <sheetFormatPr baseColWidth="10" defaultColWidth="0" defaultRowHeight="0" customHeight="1" zeroHeight="1"/>
  <cols>
    <col min="1" max="1" width="8.625" customWidth="1"/>
    <col min="2" max="2" width="9.5" customWidth="1"/>
    <col min="3" max="3" width="11" style="55" customWidth="1"/>
    <col min="4" max="4" width="50.125" customWidth="1"/>
    <col min="5" max="6" width="11" customWidth="1"/>
    <col min="7" max="9" width="0" hidden="1" customWidth="1"/>
    <col min="10" max="16384" width="11" hidden="1"/>
  </cols>
  <sheetData>
    <row r="1" spans="1:7" ht="14.25">
      <c r="A1" s="36"/>
      <c r="B1" s="36"/>
      <c r="C1" s="51"/>
      <c r="D1" s="36"/>
      <c r="E1" s="36"/>
      <c r="F1" s="36"/>
      <c r="G1" s="36"/>
    </row>
    <row r="2" spans="1:7" ht="14.25">
      <c r="A2" s="36"/>
      <c r="B2" s="36"/>
      <c r="C2" s="51"/>
      <c r="D2" s="36"/>
      <c r="E2" s="36"/>
      <c r="F2" s="36"/>
      <c r="G2" s="36"/>
    </row>
    <row r="3" spans="1:7" ht="14.25">
      <c r="A3" s="36"/>
      <c r="B3" s="36"/>
      <c r="C3" s="51"/>
      <c r="D3" s="36"/>
      <c r="E3" s="36"/>
      <c r="F3" s="36"/>
      <c r="G3" s="36"/>
    </row>
    <row r="4" spans="1:7" ht="14.25">
      <c r="A4" s="36"/>
      <c r="B4" s="36"/>
      <c r="C4" s="51"/>
      <c r="D4" s="36"/>
      <c r="E4" s="36"/>
      <c r="F4" s="36"/>
      <c r="G4" s="36"/>
    </row>
    <row r="5" spans="1:7" ht="15" thickBot="1">
      <c r="A5" s="36"/>
      <c r="B5" s="36"/>
      <c r="C5" s="51"/>
      <c r="D5" s="36"/>
      <c r="E5" s="36"/>
      <c r="F5" s="36"/>
      <c r="G5" s="36"/>
    </row>
    <row r="6" spans="1:7" ht="14.25">
      <c r="A6" s="36"/>
      <c r="B6" s="38"/>
      <c r="C6" s="52"/>
      <c r="D6" s="39"/>
      <c r="E6" s="40"/>
      <c r="F6" s="36"/>
      <c r="G6" s="36"/>
    </row>
    <row r="7" spans="1:7" ht="14.25">
      <c r="A7" s="36"/>
      <c r="B7" s="41"/>
      <c r="C7" s="658" t="s">
        <v>607</v>
      </c>
      <c r="D7" s="658"/>
      <c r="E7" s="42"/>
      <c r="F7" s="36"/>
      <c r="G7" s="36"/>
    </row>
    <row r="8" spans="1:7" ht="14.25">
      <c r="A8" s="36"/>
      <c r="B8" s="41"/>
      <c r="C8" s="658"/>
      <c r="D8" s="658"/>
      <c r="E8" s="42"/>
      <c r="F8" s="36"/>
      <c r="G8" s="36"/>
    </row>
    <row r="9" spans="1:7" ht="14.25">
      <c r="A9" s="36"/>
      <c r="B9" s="41"/>
      <c r="C9" s="51"/>
      <c r="D9" s="36"/>
      <c r="E9" s="42"/>
      <c r="F9" s="36"/>
      <c r="G9" s="36"/>
    </row>
    <row r="10" spans="1:7" ht="28.5">
      <c r="A10" s="36"/>
      <c r="B10" s="41"/>
      <c r="C10" s="56" t="s">
        <v>520</v>
      </c>
      <c r="D10" s="60" t="s">
        <v>1198</v>
      </c>
      <c r="E10" s="42"/>
      <c r="F10" s="36"/>
      <c r="G10" s="36"/>
    </row>
    <row r="11" spans="1:7" ht="28.5">
      <c r="A11" s="36"/>
      <c r="B11" s="41"/>
      <c r="C11" s="56" t="s">
        <v>1205</v>
      </c>
      <c r="D11" s="60" t="s">
        <v>1207</v>
      </c>
      <c r="E11" s="42"/>
      <c r="F11" s="36"/>
      <c r="G11" s="36"/>
    </row>
    <row r="12" spans="1:7" ht="14.25">
      <c r="A12" s="36"/>
      <c r="B12" s="41"/>
      <c r="C12" s="56" t="s">
        <v>525</v>
      </c>
      <c r="D12" s="60" t="s">
        <v>1213</v>
      </c>
      <c r="E12" s="42"/>
      <c r="F12" s="36"/>
      <c r="G12" s="36"/>
    </row>
    <row r="13" spans="1:7" ht="14.25">
      <c r="A13" s="36"/>
      <c r="B13" s="41"/>
      <c r="C13" s="56" t="s">
        <v>1218</v>
      </c>
      <c r="D13" s="60" t="s">
        <v>1220</v>
      </c>
      <c r="E13" s="42"/>
      <c r="F13" s="36"/>
      <c r="G13" s="36"/>
    </row>
    <row r="14" spans="1:7" ht="28.5">
      <c r="A14" s="36"/>
      <c r="B14" s="41"/>
      <c r="C14" s="56" t="s">
        <v>335</v>
      </c>
      <c r="D14" s="60" t="s">
        <v>618</v>
      </c>
      <c r="E14" s="42"/>
      <c r="F14" s="36"/>
      <c r="G14" s="36"/>
    </row>
    <row r="15" spans="1:7" ht="14.25">
      <c r="A15" s="36"/>
      <c r="B15" s="41"/>
      <c r="C15" s="56" t="s">
        <v>1229</v>
      </c>
      <c r="D15" s="60" t="s">
        <v>1231</v>
      </c>
      <c r="E15" s="42"/>
      <c r="F15" s="36"/>
      <c r="G15" s="36"/>
    </row>
    <row r="16" spans="1:7" ht="15" thickBot="1">
      <c r="A16" s="36"/>
      <c r="B16" s="43"/>
      <c r="C16" s="54"/>
      <c r="D16" s="44"/>
      <c r="E16" s="45"/>
      <c r="F16" s="36"/>
    </row>
    <row r="17" spans="1:6" ht="14.25">
      <c r="A17" s="36"/>
      <c r="B17" s="36"/>
      <c r="C17" s="51"/>
      <c r="D17" s="36"/>
      <c r="E17" s="36"/>
      <c r="F17" s="36"/>
    </row>
    <row r="18" spans="1:6" ht="14.25" customHeight="1"/>
    <row r="19" spans="1:6" ht="14.25" customHeight="1"/>
    <row r="20" spans="1:6" ht="14.25" customHeight="1"/>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sheetData>
  <mergeCells count="1">
    <mergeCell ref="C7:D8"/>
  </mergeCells>
  <hyperlinks>
    <hyperlink ref="C10" location="'GM01'!Área_de_impresión" display="GM01" xr:uid="{5A5A77C1-A6D9-41B6-8C73-EEC62A28DDD5}"/>
    <hyperlink ref="C11" location="'GM06'!Área_de_impresión" display="GM06" xr:uid="{EBCF7947-487B-4EBA-A26D-20E952CD5C44}"/>
    <hyperlink ref="C12" location="'GM03'!Área_de_impresión" display="GM03" xr:uid="{2BEFA4E1-D1B9-4B15-8406-B0DA5AE860ED}"/>
    <hyperlink ref="C13" location="'GM07'!Área_de_impresión" display="GM07" xr:uid="{9DFF3A1A-CC4F-4415-819F-CDC876E033A3}"/>
    <hyperlink ref="C14" location="'DE04'!Área_de_impresión" display="DE04" xr:uid="{9607353A-E874-45C1-8150-4D91DFDD61D6}"/>
    <hyperlink ref="C15" location="'DE01'!Área_de_impresión" display="DE01" xr:uid="{775188D7-4A68-4E5B-9C40-406243D8ACA6}"/>
  </hyperlinks>
  <pageMargins left="0.7" right="0.7" top="0.75" bottom="0.75" header="0.3" footer="0.3"/>
  <pageSetup paperSize="9" scale="7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6489F-C0EF-407C-8893-A8AF0A9ABF20}">
  <sheetPr codeName="Hoja12"/>
  <dimension ref="A1:I49"/>
  <sheetViews>
    <sheetView zoomScaleNormal="100" workbookViewId="0">
      <pane ySplit="9" topLeftCell="A10" activePane="bottomLeft" state="frozen"/>
      <selection activeCell="D16" sqref="D16"/>
      <selection pane="bottomLeft" activeCell="A10" sqref="A10"/>
    </sheetView>
  </sheetViews>
  <sheetFormatPr baseColWidth="10" defaultColWidth="0" defaultRowHeight="14.25" customHeight="1" zeroHeight="1"/>
  <cols>
    <col min="1" max="1" width="7.125" customWidth="1"/>
    <col min="2"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58" t="s">
        <v>359</v>
      </c>
      <c r="D7" s="658"/>
      <c r="E7" s="42"/>
      <c r="F7" s="36"/>
      <c r="G7" s="36"/>
    </row>
    <row r="8" spans="1:7" ht="20.25" customHeight="1">
      <c r="A8" s="36"/>
      <c r="B8" s="41"/>
      <c r="C8" s="658"/>
      <c r="D8" s="658"/>
      <c r="E8" s="42"/>
      <c r="F8" s="36"/>
      <c r="G8" s="36"/>
    </row>
    <row r="9" spans="1:7">
      <c r="A9" s="36"/>
      <c r="B9" s="41"/>
      <c r="C9" s="51"/>
      <c r="D9" s="36"/>
      <c r="E9" s="42"/>
      <c r="F9" s="36"/>
      <c r="G9" s="36"/>
    </row>
    <row r="10" spans="1:7" ht="28.5">
      <c r="A10" s="36"/>
      <c r="B10" s="41"/>
      <c r="C10" s="56" t="s">
        <v>529</v>
      </c>
      <c r="D10" s="60" t="s">
        <v>1589</v>
      </c>
      <c r="E10" s="42"/>
      <c r="F10" s="36"/>
      <c r="G10" s="36"/>
    </row>
    <row r="11" spans="1:7" ht="28.5">
      <c r="A11" s="36"/>
      <c r="B11" s="41"/>
      <c r="C11" s="56" t="s">
        <v>360</v>
      </c>
      <c r="D11" s="60" t="s">
        <v>362</v>
      </c>
      <c r="E11" s="42"/>
      <c r="F11" s="36"/>
      <c r="G11" s="36"/>
    </row>
    <row r="12" spans="1:7" ht="15" thickBot="1">
      <c r="A12" s="36"/>
      <c r="B12" s="43"/>
      <c r="C12" s="54"/>
      <c r="D12" s="44"/>
      <c r="E12" s="45"/>
      <c r="F12" s="36"/>
    </row>
    <row r="13" spans="1:7">
      <c r="A13" s="36"/>
      <c r="B13" s="36"/>
      <c r="C13" s="51"/>
      <c r="D13" s="36"/>
      <c r="E13" s="36"/>
      <c r="F13" s="36"/>
    </row>
    <row r="14" spans="1:7"/>
    <row r="15" spans="1:7" ht="14.25" customHeight="1"/>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sheetData>
  <mergeCells count="1">
    <mergeCell ref="C7:D8"/>
  </mergeCells>
  <hyperlinks>
    <hyperlink ref="C10" location="'GM04'!Área_de_impresión" display="GM04" xr:uid="{C896F908-4AA8-4BC1-84E5-19E2B85BE55F}"/>
    <hyperlink ref="C11" location="'GM05'!Área_de_impresión" display="GM05" xr:uid="{E32DD032-D3A7-4902-8424-D1EDDEC48AD0}"/>
  </hyperlinks>
  <pageMargins left="0.7" right="0.7" top="0.75" bottom="0.75" header="0.3" footer="0.3"/>
  <pageSetup paperSize="9" scale="7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2E44-6A44-4712-8635-4158F27465A1}">
  <sheetPr codeName="Hoja17"/>
  <dimension ref="A1:I103"/>
  <sheetViews>
    <sheetView zoomScaleNormal="100" workbookViewId="0">
      <pane ySplit="9" topLeftCell="A10" activePane="bottomLeft" state="frozen"/>
      <selection activeCell="D16" sqref="D16"/>
      <selection pane="bottomLeft" activeCell="C16" sqref="C16"/>
    </sheetView>
  </sheetViews>
  <sheetFormatPr baseColWidth="10" defaultColWidth="0" defaultRowHeight="0"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ht="14.25">
      <c r="A1" s="36"/>
      <c r="B1" s="36"/>
      <c r="C1" s="51"/>
      <c r="D1" s="36"/>
      <c r="E1" s="36"/>
      <c r="F1" s="36"/>
      <c r="G1" s="36"/>
    </row>
    <row r="2" spans="1:7" ht="14.25">
      <c r="A2" s="36"/>
      <c r="B2" s="36"/>
      <c r="C2" s="51"/>
      <c r="D2" s="36"/>
      <c r="E2" s="36"/>
      <c r="F2" s="36"/>
      <c r="G2" s="36"/>
    </row>
    <row r="3" spans="1:7" ht="14.25">
      <c r="A3" s="36"/>
      <c r="B3" s="36"/>
      <c r="C3" s="51"/>
      <c r="D3" s="36"/>
      <c r="E3" s="36"/>
      <c r="F3" s="36"/>
      <c r="G3" s="36"/>
    </row>
    <row r="4" spans="1:7" ht="14.25">
      <c r="A4" s="36"/>
      <c r="B4" s="36"/>
      <c r="C4" s="51"/>
      <c r="D4" s="36"/>
      <c r="E4" s="36"/>
      <c r="F4" s="36"/>
      <c r="G4" s="36"/>
    </row>
    <row r="5" spans="1:7" ht="15" thickBot="1">
      <c r="A5" s="36"/>
      <c r="B5" s="36"/>
      <c r="C5" s="51"/>
      <c r="D5" s="36"/>
      <c r="E5" s="36"/>
      <c r="F5" s="36"/>
      <c r="G5" s="36"/>
    </row>
    <row r="6" spans="1:7" ht="14.25">
      <c r="A6" s="36"/>
      <c r="B6" s="38"/>
      <c r="C6" s="52"/>
      <c r="D6" s="39"/>
      <c r="E6" s="40"/>
      <c r="F6" s="36"/>
      <c r="G6" s="36"/>
    </row>
    <row r="7" spans="1:7" ht="14.25">
      <c r="A7" s="36"/>
      <c r="B7" s="41"/>
      <c r="C7" s="658" t="s">
        <v>190</v>
      </c>
      <c r="D7" s="658"/>
      <c r="E7" s="42"/>
      <c r="F7" s="36"/>
      <c r="G7" s="36"/>
    </row>
    <row r="8" spans="1:7" ht="20.25" customHeight="1">
      <c r="A8" s="36"/>
      <c r="B8" s="41"/>
      <c r="C8" s="658"/>
      <c r="D8" s="658"/>
      <c r="E8" s="42"/>
      <c r="F8" s="36"/>
      <c r="G8" s="36"/>
    </row>
    <row r="9" spans="1:7" ht="14.25">
      <c r="A9" s="36"/>
      <c r="B9" s="41"/>
      <c r="C9" s="51"/>
      <c r="D9" s="36"/>
      <c r="E9" s="42"/>
      <c r="F9" s="36"/>
      <c r="G9" s="36"/>
    </row>
    <row r="10" spans="1:7" ht="28.5">
      <c r="A10" s="36"/>
      <c r="B10" s="41"/>
      <c r="C10" s="56" t="s">
        <v>480</v>
      </c>
      <c r="D10" s="60" t="s">
        <v>1425</v>
      </c>
      <c r="E10" s="42"/>
      <c r="F10" s="36"/>
      <c r="G10" s="36"/>
    </row>
    <row r="11" spans="1:7" ht="28.5">
      <c r="A11" s="36"/>
      <c r="B11" s="41"/>
      <c r="C11" s="56" t="s">
        <v>486</v>
      </c>
      <c r="D11" s="60" t="s">
        <v>488</v>
      </c>
      <c r="E11" s="42"/>
      <c r="F11" s="36"/>
      <c r="G11" s="36"/>
    </row>
    <row r="12" spans="1:7" ht="28.5">
      <c r="A12" s="36"/>
      <c r="B12" s="41"/>
      <c r="C12" s="56" t="s">
        <v>492</v>
      </c>
      <c r="D12" s="60" t="s">
        <v>1443</v>
      </c>
      <c r="E12" s="42"/>
      <c r="F12" s="36"/>
      <c r="G12" s="36"/>
    </row>
    <row r="13" spans="1:7" ht="28.5">
      <c r="A13" s="36"/>
      <c r="B13" s="41"/>
      <c r="C13" s="56" t="s">
        <v>498</v>
      </c>
      <c r="D13" s="60" t="s">
        <v>500</v>
      </c>
      <c r="E13" s="42"/>
      <c r="F13" s="36"/>
      <c r="G13" s="36"/>
    </row>
    <row r="14" spans="1:7" ht="42.75">
      <c r="A14" s="36"/>
      <c r="B14" s="41"/>
      <c r="C14" s="56" t="s">
        <v>503</v>
      </c>
      <c r="D14" s="60" t="s">
        <v>1453</v>
      </c>
      <c r="E14" s="42"/>
      <c r="F14" s="36"/>
      <c r="G14" s="36"/>
    </row>
    <row r="15" spans="1:7" ht="42.75">
      <c r="A15" s="36"/>
      <c r="B15" s="41"/>
      <c r="C15" s="56" t="s">
        <v>180</v>
      </c>
      <c r="D15" s="60" t="s">
        <v>640</v>
      </c>
      <c r="E15" s="42"/>
      <c r="F15" s="36"/>
      <c r="G15" s="36"/>
    </row>
    <row r="16" spans="1:7" ht="42.75">
      <c r="A16" s="36"/>
      <c r="B16" s="41"/>
      <c r="C16" s="56" t="s">
        <v>182</v>
      </c>
      <c r="D16" s="60" t="s">
        <v>621</v>
      </c>
      <c r="E16" s="42"/>
      <c r="F16" s="36"/>
      <c r="G16" s="36"/>
    </row>
    <row r="17" spans="1:7" ht="28.5">
      <c r="A17" s="36"/>
      <c r="B17" s="41"/>
      <c r="C17" s="56" t="s">
        <v>188</v>
      </c>
      <c r="D17" s="60" t="s">
        <v>1474</v>
      </c>
      <c r="E17" s="42"/>
      <c r="F17" s="36"/>
      <c r="G17" s="36"/>
    </row>
    <row r="18" spans="1:7" ht="28.5">
      <c r="A18" s="36"/>
      <c r="B18" s="41"/>
      <c r="C18" s="56" t="s">
        <v>196</v>
      </c>
      <c r="D18" s="60" t="s">
        <v>1480</v>
      </c>
      <c r="E18" s="42"/>
      <c r="F18" s="36"/>
      <c r="G18" s="36"/>
    </row>
    <row r="19" spans="1:7" ht="28.5">
      <c r="A19" s="36"/>
      <c r="B19" s="41"/>
      <c r="C19" s="56" t="s">
        <v>381</v>
      </c>
      <c r="D19" s="60" t="s">
        <v>383</v>
      </c>
      <c r="E19" s="42"/>
      <c r="F19" s="36"/>
      <c r="G19" s="36"/>
    </row>
    <row r="20" spans="1:7" ht="42.75">
      <c r="A20" s="36"/>
      <c r="B20" s="41"/>
      <c r="C20" s="56" t="s">
        <v>236</v>
      </c>
      <c r="D20" s="60" t="s">
        <v>1501</v>
      </c>
      <c r="E20" s="42"/>
      <c r="F20" s="36"/>
      <c r="G20" s="36"/>
    </row>
    <row r="21" spans="1:7" ht="42.75">
      <c r="A21" s="36"/>
      <c r="B21" s="41"/>
      <c r="C21" s="56" t="s">
        <v>244</v>
      </c>
      <c r="D21" s="60" t="s">
        <v>377</v>
      </c>
      <c r="E21" s="42"/>
      <c r="F21" s="36"/>
      <c r="G21" s="36"/>
    </row>
    <row r="22" spans="1:7" ht="85.5">
      <c r="A22" s="36"/>
      <c r="B22" s="41"/>
      <c r="C22" s="56" t="s">
        <v>1513</v>
      </c>
      <c r="D22" s="60" t="s">
        <v>1517</v>
      </c>
      <c r="E22" s="42"/>
      <c r="F22" s="36"/>
      <c r="G22" s="36"/>
    </row>
    <row r="23" spans="1:7" ht="42.75">
      <c r="A23" s="36"/>
      <c r="B23" s="41"/>
      <c r="C23" s="56" t="s">
        <v>1522</v>
      </c>
      <c r="D23" s="60" t="s">
        <v>1524</v>
      </c>
      <c r="E23" s="42"/>
      <c r="F23" s="36"/>
      <c r="G23" s="36"/>
    </row>
    <row r="24" spans="1:7" ht="14.25">
      <c r="A24" s="36"/>
      <c r="B24" s="41"/>
      <c r="C24" s="56" t="s">
        <v>251</v>
      </c>
      <c r="D24" s="60" t="s">
        <v>473</v>
      </c>
      <c r="E24" s="42"/>
      <c r="F24" s="36"/>
      <c r="G24" s="36"/>
    </row>
    <row r="25" spans="1:7" ht="28.5">
      <c r="A25" s="36"/>
      <c r="B25" s="41"/>
      <c r="C25" s="56" t="s">
        <v>1530</v>
      </c>
      <c r="D25" s="60" t="s">
        <v>1532</v>
      </c>
      <c r="E25" s="42"/>
      <c r="F25" s="36"/>
      <c r="G25" s="36"/>
    </row>
    <row r="26" spans="1:7" ht="28.5">
      <c r="A26" s="36"/>
      <c r="B26" s="41"/>
      <c r="C26" s="56" t="s">
        <v>398</v>
      </c>
      <c r="D26" s="60" t="s">
        <v>400</v>
      </c>
      <c r="E26" s="42"/>
      <c r="F26" s="36"/>
      <c r="G26" s="36"/>
    </row>
    <row r="27" spans="1:7" ht="14.25">
      <c r="A27" s="36"/>
      <c r="B27" s="41"/>
      <c r="C27" s="56" t="s">
        <v>403</v>
      </c>
      <c r="D27" s="60" t="s">
        <v>405</v>
      </c>
      <c r="E27" s="42"/>
      <c r="F27" s="36"/>
      <c r="G27" s="36"/>
    </row>
    <row r="28" spans="1:7" ht="28.5">
      <c r="A28" s="36"/>
      <c r="B28" s="41"/>
      <c r="C28" s="56" t="s">
        <v>408</v>
      </c>
      <c r="D28" s="60" t="s">
        <v>410</v>
      </c>
      <c r="E28" s="42"/>
      <c r="F28" s="36"/>
      <c r="G28" s="36"/>
    </row>
    <row r="29" spans="1:7" ht="28.5">
      <c r="A29" s="36"/>
      <c r="B29" s="41"/>
      <c r="C29" s="56" t="s">
        <v>191</v>
      </c>
      <c r="D29" s="60" t="s">
        <v>193</v>
      </c>
      <c r="E29" s="42"/>
      <c r="F29" s="36"/>
      <c r="G29" s="36"/>
    </row>
    <row r="30" spans="1:7" ht="28.5">
      <c r="A30" s="36"/>
      <c r="B30" s="41"/>
      <c r="C30" s="56" t="s">
        <v>397</v>
      </c>
      <c r="D30" s="60" t="s">
        <v>680</v>
      </c>
      <c r="E30" s="42"/>
      <c r="F30" s="36"/>
      <c r="G30" s="36"/>
    </row>
    <row r="31" spans="1:7" ht="42.75">
      <c r="A31" s="36"/>
      <c r="B31" s="41"/>
      <c r="C31" s="56" t="s">
        <v>226</v>
      </c>
      <c r="D31" s="60" t="s">
        <v>228</v>
      </c>
      <c r="E31" s="42"/>
      <c r="F31" s="36"/>
      <c r="G31" s="36"/>
    </row>
    <row r="32" spans="1:7" ht="14.25">
      <c r="A32" s="36"/>
      <c r="B32" s="41"/>
      <c r="C32" s="56" t="s">
        <v>231</v>
      </c>
      <c r="D32" s="60" t="s">
        <v>233</v>
      </c>
      <c r="E32" s="42"/>
      <c r="F32" s="36"/>
      <c r="G32" s="36"/>
    </row>
    <row r="33" spans="1:7" ht="14.25">
      <c r="A33" s="36"/>
      <c r="B33" s="41"/>
      <c r="C33" s="56" t="s">
        <v>216</v>
      </c>
      <c r="D33" s="60" t="s">
        <v>1561</v>
      </c>
      <c r="E33" s="42"/>
      <c r="F33" s="36"/>
      <c r="G33" s="36"/>
    </row>
    <row r="34" spans="1:7" ht="28.5">
      <c r="A34" s="36"/>
      <c r="B34" s="41"/>
      <c r="C34" s="56" t="s">
        <v>459</v>
      </c>
      <c r="D34" s="60" t="s">
        <v>553</v>
      </c>
      <c r="E34" s="42"/>
      <c r="F34" s="36"/>
      <c r="G34" s="36"/>
    </row>
    <row r="35" spans="1:7" ht="28.5">
      <c r="A35" s="36"/>
      <c r="B35" s="41"/>
      <c r="C35" s="56" t="s">
        <v>465</v>
      </c>
      <c r="D35" s="60" t="s">
        <v>1570</v>
      </c>
      <c r="E35" s="42"/>
      <c r="F35" s="36"/>
      <c r="G35" s="36"/>
    </row>
    <row r="36" spans="1:7" ht="28.5">
      <c r="A36" s="36"/>
      <c r="B36" s="41"/>
      <c r="C36" s="56" t="s">
        <v>453</v>
      </c>
      <c r="D36" s="60" t="s">
        <v>1575</v>
      </c>
      <c r="E36" s="42"/>
      <c r="F36" s="36"/>
      <c r="G36" s="36"/>
    </row>
    <row r="37" spans="1:7" ht="15" thickBot="1">
      <c r="A37" s="36"/>
      <c r="B37" s="43"/>
      <c r="C37" s="54"/>
      <c r="D37" s="44"/>
      <c r="E37" s="45"/>
      <c r="F37" s="36"/>
    </row>
    <row r="38" spans="1:7" ht="14.25">
      <c r="A38" s="36"/>
      <c r="B38" s="36"/>
      <c r="C38" s="51"/>
      <c r="D38" s="36"/>
      <c r="E38" s="36"/>
      <c r="F38" s="36"/>
    </row>
    <row r="39" spans="1:7" ht="14.25"/>
    <row r="40" spans="1:7" ht="14.25" customHeight="1"/>
    <row r="41" spans="1:7" ht="14.25" customHeight="1"/>
    <row r="42" spans="1:7" ht="14.25" customHeight="1"/>
    <row r="43" spans="1:7" ht="14.25" customHeight="1"/>
    <row r="44" spans="1:7" ht="14.25" customHeight="1"/>
    <row r="45" spans="1:7" ht="14.25" customHeight="1"/>
    <row r="46" spans="1:7" ht="14.25" customHeight="1"/>
    <row r="47" spans="1:7" ht="14.25" customHeight="1"/>
    <row r="48" spans="1:7"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sheetData>
  <mergeCells count="1">
    <mergeCell ref="C7:D8"/>
  </mergeCells>
  <hyperlinks>
    <hyperlink ref="C10" location="'PE01'!Área_de_impresión" display="PE01" xr:uid="{A1CF5A32-9096-4356-AF33-36FDB4FF8A90}"/>
    <hyperlink ref="C11" location="'PE02'!Área_de_impresión" display="PE02" xr:uid="{4C6D5968-201C-4F5F-A87E-C7B62CDA821F}"/>
    <hyperlink ref="C12" location="'PE03'!Área_de_impresión" display="PE03" xr:uid="{2512BFF5-BAA3-4564-9219-F0707D361108}"/>
    <hyperlink ref="C13" location="'PE04'!Área_de_impresión" display="PE04" xr:uid="{94053E8E-CCB6-4C91-BA0C-4570A7AB743F}"/>
    <hyperlink ref="C14" location="'PE05'!Área_de_impresión" display="PE05" xr:uid="{A3F8CCC7-4F22-4D60-B930-300C22E5A181}"/>
    <hyperlink ref="C22" location="'BS08'!Área_de_impresión" display="BS08" xr:uid="{F75260D7-7EAA-4E64-81CF-3B09F1622B66}"/>
    <hyperlink ref="C23" location="'BS09'!Área_de_impresión" display="BS09" xr:uid="{55FA7F9E-D12F-4D96-B396-42CD6645BA61}"/>
    <hyperlink ref="C25" location="'BS06'!Área_de_impresión" display="BS06" xr:uid="{DB6B78B8-0C33-464B-86BF-17C6780676C8}"/>
    <hyperlink ref="C26" location="'DI23'!Área_de_impresión" display="DI23" xr:uid="{BEC51655-567A-4643-8356-758CB67F6405}"/>
    <hyperlink ref="C28" location="'DI33'!Área_de_impresión" display="DI33" xr:uid="{49DF0D99-DA3F-4BD5-9B31-68F63D51E827}"/>
    <hyperlink ref="C31" location="'GF01'!Área_de_impresión" display="GF01" xr:uid="{D2692449-2238-42D0-902F-219EB1BBD6F3}"/>
    <hyperlink ref="C32" location="'GF02'!Área_de_impresión" display="GF02" xr:uid="{0D8296BA-BAC3-444E-A66A-B323543A94B7}"/>
    <hyperlink ref="C33" location="'GF07'!Área_de_impresión" display="GF07" xr:uid="{443EF96C-EB94-43A7-BF11-57EFFE9C9DF9}"/>
    <hyperlink ref="C34" location="'GF09'!Área_de_impresión" display="GF09" xr:uid="{898E66AE-60DD-43B1-B2AA-1A8379CDBD94}"/>
    <hyperlink ref="C30" location="'DI20'!Área_de_impresión" display="DI20" xr:uid="{9CDEDCDF-F1BA-4E75-AD51-0689DFEBB651}"/>
    <hyperlink ref="C35" location="'GF11'!Área_de_impresión" display="GF11" xr:uid="{737A2433-2ABB-4FDA-BD54-61E96A7C037F}"/>
    <hyperlink ref="C36" location="'GF08'!Área_de_impresión" display="GF08" xr:uid="{E54666A7-FA9E-4B42-B579-A369427125C0}"/>
    <hyperlink ref="C27" location="'DI24'!Área_de_impresión" display="DI24" xr:uid="{BC1E955B-C9BA-4E58-BD15-687A032CB820}"/>
    <hyperlink ref="C29" location="'DI18'!Área_de_impresión" display="DI18" xr:uid="{19DA745F-A1A1-4401-8B4E-663025A1C4D6}"/>
    <hyperlink ref="C19" location="'DI28'!Área_de_impresión" display="DI28" xr:uid="{A3A121B3-A427-48CB-8874-3A08FC5FFE6B}"/>
    <hyperlink ref="C20" location="'BS01'!Área_de_impresión" display="BS01" xr:uid="{88F589E2-6E89-4C6A-BE90-107CA6A4AAFE}"/>
    <hyperlink ref="C21" location="'BS04'!Área_de_impresión" display="BS04" xr:uid="{E270204C-6D4E-4934-9A8F-964FE73991E8}"/>
    <hyperlink ref="C15" location="'AC04'!Área_de_impresión" display="AC04" xr:uid="{E2A33495-A896-4509-973F-F4F7954397B2}"/>
    <hyperlink ref="C16" location="'AC05'!Área_de_impresión" display="AC05" xr:uid="{9B21378B-7128-48A3-B0FE-F849259A9763}"/>
    <hyperlink ref="C17" location="'AC06'!Área_de_impresión" display="AC06" xr:uid="{9FFF522A-4E20-4D05-B1A5-ECAAC3D968D8}"/>
    <hyperlink ref="C18" location="'AC07'!Área_de_impresión" display="AC07" xr:uid="{249865B5-991A-46F9-881C-C3EBF6B3E41A}"/>
    <hyperlink ref="C24" location="'BS05'!Área_de_impresión" display="BS05" xr:uid="{CF39D6C2-3595-4787-B011-6578F2ACDE9B}"/>
  </hyperlinks>
  <pageMargins left="0.7" right="0.7" top="0.75" bottom="0.75" header="0.3" footer="0.3"/>
  <pageSetup paperSize="9" scale="7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E4AEB-E5EE-46F1-9772-1DBCD7508B05}">
  <sheetPr codeName="Hoja18"/>
  <dimension ref="A1:I35"/>
  <sheetViews>
    <sheetView zoomScaleNormal="100" workbookViewId="0">
      <pane ySplit="9" topLeftCell="A10" activePane="bottomLeft" state="frozen"/>
      <selection activeCell="A13" sqref="A13:X13"/>
      <selection pane="bottomLeft" activeCell="C10" sqref="C10"/>
    </sheetView>
  </sheetViews>
  <sheetFormatPr baseColWidth="10" defaultColWidth="0" defaultRowHeight="0"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ht="14.25">
      <c r="A1" s="36"/>
      <c r="B1" s="36"/>
      <c r="C1" s="51"/>
      <c r="D1" s="36"/>
      <c r="E1" s="36"/>
      <c r="F1" s="36"/>
      <c r="G1" s="36"/>
    </row>
    <row r="2" spans="1:7" ht="14.25">
      <c r="A2" s="36"/>
      <c r="B2" s="36"/>
      <c r="C2" s="51"/>
      <c r="D2" s="36"/>
      <c r="E2" s="36"/>
      <c r="F2" s="36"/>
      <c r="G2" s="36"/>
    </row>
    <row r="3" spans="1:7" ht="14.25">
      <c r="A3" s="36"/>
      <c r="B3" s="36"/>
      <c r="C3" s="51"/>
      <c r="D3" s="36"/>
      <c r="E3" s="36"/>
      <c r="F3" s="36"/>
      <c r="G3" s="36"/>
    </row>
    <row r="4" spans="1:7" ht="14.25">
      <c r="A4" s="36"/>
      <c r="B4" s="36"/>
      <c r="C4" s="51"/>
      <c r="D4" s="36"/>
      <c r="E4" s="36"/>
      <c r="F4" s="36"/>
      <c r="G4" s="36"/>
    </row>
    <row r="5" spans="1:7" ht="15" thickBot="1">
      <c r="A5" s="36"/>
      <c r="B5" s="36"/>
      <c r="C5" s="51"/>
      <c r="D5" s="36"/>
      <c r="E5" s="36"/>
      <c r="F5" s="36"/>
      <c r="G5" s="36"/>
    </row>
    <row r="6" spans="1:7" ht="14.25">
      <c r="A6" s="36"/>
      <c r="B6" s="38"/>
      <c r="C6" s="52"/>
      <c r="D6" s="39"/>
      <c r="E6" s="40"/>
      <c r="F6" s="36"/>
      <c r="G6" s="36"/>
    </row>
    <row r="7" spans="1:7" ht="14.25">
      <c r="A7" s="36"/>
      <c r="B7" s="41"/>
      <c r="C7" s="658" t="s">
        <v>592</v>
      </c>
      <c r="D7" s="658"/>
      <c r="E7" s="42"/>
      <c r="F7" s="36"/>
      <c r="G7" s="36"/>
    </row>
    <row r="8" spans="1:7" ht="20.25" customHeight="1">
      <c r="A8" s="36"/>
      <c r="B8" s="41"/>
      <c r="C8" s="658"/>
      <c r="D8" s="658"/>
      <c r="E8" s="42"/>
      <c r="F8" s="36"/>
      <c r="G8" s="36"/>
    </row>
    <row r="9" spans="1:7" ht="14.25">
      <c r="A9" s="36"/>
      <c r="B9" s="41"/>
      <c r="C9" s="51"/>
      <c r="D9" s="36"/>
      <c r="E9" s="42"/>
      <c r="F9" s="36"/>
      <c r="G9" s="36"/>
    </row>
    <row r="10" spans="1:7" ht="28.5">
      <c r="A10" s="36"/>
      <c r="B10" s="41"/>
      <c r="C10" s="56" t="s">
        <v>288</v>
      </c>
      <c r="D10" s="60" t="s">
        <v>1590</v>
      </c>
      <c r="E10" s="42"/>
      <c r="F10" s="36"/>
      <c r="G10" s="36"/>
    </row>
    <row r="11" spans="1:7" ht="57">
      <c r="A11" s="36"/>
      <c r="B11" s="41"/>
      <c r="C11" s="56" t="s">
        <v>646</v>
      </c>
      <c r="D11" s="60" t="s">
        <v>1192</v>
      </c>
      <c r="E11" s="42"/>
      <c r="F11" s="36"/>
      <c r="G11" s="36"/>
    </row>
    <row r="12" spans="1:7" ht="28.5">
      <c r="A12" s="36"/>
      <c r="B12" s="41"/>
      <c r="C12" s="56" t="s">
        <v>611</v>
      </c>
      <c r="D12" s="60" t="s">
        <v>1591</v>
      </c>
      <c r="E12" s="42"/>
      <c r="F12" s="36"/>
      <c r="G12" s="36"/>
    </row>
    <row r="13" spans="1:7" ht="15" thickBot="1">
      <c r="A13" s="36"/>
      <c r="B13" s="43"/>
      <c r="C13" s="54"/>
      <c r="D13" s="44"/>
      <c r="E13" s="45"/>
      <c r="F13" s="36"/>
    </row>
    <row r="14" spans="1:7" ht="14.25">
      <c r="A14" s="36"/>
      <c r="B14" s="36"/>
      <c r="C14" s="51"/>
      <c r="D14" s="36"/>
      <c r="E14" s="36"/>
      <c r="F14" s="36"/>
    </row>
    <row r="15" spans="1:7" ht="14.25"/>
    <row r="16" spans="1:7" ht="14.25"/>
    <row r="17" ht="14.25"/>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sheetData>
  <mergeCells count="1">
    <mergeCell ref="C7:D8"/>
  </mergeCells>
  <hyperlinks>
    <hyperlink ref="C10" location="'CT17'!Área_de_impresión" display="CT17" xr:uid="{8B570BBC-EC0F-4370-BE48-9A115FE9BF40}"/>
    <hyperlink ref="C12" location="'SE25'!A1" display="SE25" xr:uid="{3F5F9893-9354-4723-A228-E5ADEC576545}"/>
    <hyperlink ref="C11" location="'SE46'!Área_de_impresión" display="SE46" xr:uid="{105C5891-A328-4BF9-A55E-A5E51F2D4C3D}"/>
  </hyperlinks>
  <pageMargins left="0.25" right="0.25" top="0.75" bottom="0.75" header="0.3" footer="0.3"/>
  <pageSetup paperSize="5" scale="76"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E6636-6914-404B-9D92-733DFE935512}">
  <sheetPr codeName="Hoja19"/>
  <dimension ref="A1:Q67"/>
  <sheetViews>
    <sheetView view="pageBreakPreview" topLeftCell="A5" zoomScale="80" zoomScaleNormal="73" zoomScaleSheetLayoutView="80" zoomScalePageLayoutView="55" workbookViewId="0">
      <selection activeCell="R20" sqref="R20"/>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15.75">
      <c r="A6" s="789" t="s">
        <v>8</v>
      </c>
      <c r="B6" s="790"/>
      <c r="C6" s="711" t="str">
        <f>VLOOKUP(L12,Reporte!$N$5:$BN$133,2,FALSE)</f>
        <v>Porcentaje de actos administrativos expedidos</v>
      </c>
      <c r="D6" s="711"/>
      <c r="E6" s="711"/>
      <c r="F6" s="711"/>
      <c r="G6" s="711"/>
      <c r="H6" s="711"/>
      <c r="I6" s="711"/>
      <c r="J6" s="711"/>
      <c r="K6" s="711"/>
      <c r="L6" s="711"/>
      <c r="M6" s="711"/>
      <c r="N6" s="711"/>
      <c r="O6" s="791"/>
      <c r="P6" s="128"/>
    </row>
    <row r="7" spans="1:17" ht="60.7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15.75">
      <c r="A8" s="792" t="s">
        <v>1594</v>
      </c>
      <c r="B8" s="774"/>
      <c r="C8" s="711" t="str">
        <f>VLOOKUP(L12,Reporte!$A$5:$N$133,13,FALSE)</f>
        <v xml:space="preserve">Expedir los actos administrativos de la DIA en el marco del proceso administrativo sancionatorio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actos administrativos expedidos </v>
      </c>
      <c r="D10" s="711"/>
      <c r="E10" s="711"/>
      <c r="F10" s="799" t="str">
        <f>VLOOKUP(L12,Reporte!$N$5:$BN$133,6,FALSE)</f>
        <v>Este indicador mide el número de actos administrativos expedidos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solicitudes de investigación aceptadas en el semestre de reporte*100</v>
      </c>
      <c r="D12" s="711"/>
      <c r="E12" s="711"/>
      <c r="F12" s="799"/>
      <c r="G12" s="799"/>
      <c r="H12" s="799"/>
      <c r="I12" s="799"/>
      <c r="J12" s="712" t="str">
        <f>VLOOKUP(L12,Reporte!$N$5:$BN$133,7,FALSE)</f>
        <v>Eficiencia</v>
      </c>
      <c r="K12" s="712"/>
      <c r="L12" s="713" t="s">
        <v>323</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Cuatrimestral</v>
      </c>
      <c r="G15" s="741"/>
      <c r="H15" s="707" t="s">
        <v>37</v>
      </c>
      <c r="I15" s="707"/>
      <c r="J15" s="746" t="s">
        <v>1595</v>
      </c>
      <c r="K15" s="747"/>
      <c r="L15" s="748"/>
      <c r="M15" s="775" t="str">
        <f>VLOOKUP(L12,Reporte!$N$5:$BN$133,28,FALSE)</f>
        <v>Delegatura de Investigaciones Administrativas</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321</v>
      </c>
      <c r="F22" s="139">
        <f>VLOOKUP(L12,Reporte!$N$5:$BN$133,33,FALSE)</f>
        <v>0</v>
      </c>
      <c r="G22" s="132">
        <f>VLOOKUP(L12,Reporte!$N$5:$BN$133,34,FALSE)</f>
        <v>0</v>
      </c>
      <c r="H22" s="139">
        <f>VLOOKUP(L12,Reporte!$N$5:$BN$133,35,FALSE)</f>
        <v>464</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644</v>
      </c>
      <c r="O22" s="133">
        <f>SUM(C22:N22)</f>
        <v>1429</v>
      </c>
      <c r="P22" s="128"/>
    </row>
    <row r="23" spans="1:17" ht="16.5" thickBot="1">
      <c r="A23" s="690" t="s">
        <v>76</v>
      </c>
      <c r="B23" s="691"/>
      <c r="C23" s="140">
        <f>VLOOKUP(L12,Reporte!$N$5:$BN$133,42,FALSE)</f>
        <v>0</v>
      </c>
      <c r="D23" s="140">
        <f>VLOOKUP(L12,Reporte!$N$5:$BN$133,43,FALSE)</f>
        <v>0</v>
      </c>
      <c r="E23" s="140">
        <f>VLOOKUP(L12,Reporte!$N$5:$BN$133,44,FALSE)</f>
        <v>124</v>
      </c>
      <c r="F23" s="140">
        <f>VLOOKUP(L12,Reporte!$N$5:$BN$133,45,FALSE)</f>
        <v>0</v>
      </c>
      <c r="G23" s="140">
        <f>VLOOKUP(L12,Reporte!$N$5:$BN$133,46,FALSE)</f>
        <v>0</v>
      </c>
      <c r="H23" s="140">
        <f>VLOOKUP(L12,Reporte!$N$5:$BN$133,47,FALSE)</f>
        <v>65</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212</v>
      </c>
      <c r="O23" s="133">
        <f>SUM(C23:N23)</f>
        <v>401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2.588709677419355</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7.1384615384615389</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3.0377358490566038</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432">
        <f>IF(ISERROR($O$22/$O$23),0,$O$22/$O$23)</f>
        <v>3.5635910224438905</v>
      </c>
      <c r="C38" s="432">
        <f>+C37</f>
        <v>1</v>
      </c>
      <c r="D38" s="432">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20.25" customHeight="1" thickBot="1">
      <c r="A45" s="682" t="str">
        <f>VLOOKUP(L12,Reporte!$N$5:$BZ$133,56,FALSE)</f>
        <v xml:space="preserve">Indicador a demanda, en donde se concluye que se expidieron 321 actos administrativos y el número de solicitudes de investigación aceptadas en el trimestre fueron 124 en total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77" customHeight="1" thickBot="1">
      <c r="A51" s="670" t="str">
        <f>VLOOKUP(L12,Reporte!$N$5:$BZ$133,59,FALSE)</f>
        <v xml:space="preserve">​INDICADOR A DEMANDA
Total de actos administrativos expedidos en el semestre a demanda 
* por Direcciones 
1) Dirección de aseguramiento: De abril a junio de 2025 : 167 y en total en el semestre 513 
2) Dirección de prestadores : De abril a junio de 2025: 90 y en total en el semestre 169
3) Dirección de OLFERGART: De abril a junio de 2025 : 55 y en total en el semestre 103
Total de actos expedidos en el trimestre: 167+90+55: 312
Total de actos expedidos en el semestre : 785
Numero de solicitudes aceptadas en el semestre: 
1) Dirección de aseguramiento : 54
2) Dirección de Prestadores: 61
3) Dirección OLFERGART: 74
total 189
aplicación de formula 189/1785*100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20.25" customHeight="1" thickBot="1">
      <c r="A63" s="673" t="str">
        <f>VLOOKUP(L12,Reporte!$N$5:$BZ$133,65,FALSE)</f>
        <v xml:space="preserve">​Indicador a demanda, en donde se concluye que se expidieron 318 actos administrativos en el trimestre y el número de solicitudes de investigación aceptadas fueron 147 en total 
</v>
      </c>
      <c r="B63" s="674"/>
      <c r="C63" s="674"/>
      <c r="D63" s="674"/>
      <c r="E63" s="674"/>
      <c r="F63" s="674"/>
      <c r="G63" s="674"/>
      <c r="H63" s="674"/>
      <c r="I63" s="674"/>
      <c r="J63" s="674"/>
      <c r="K63" s="674"/>
      <c r="L63" s="674"/>
      <c r="M63" s="674"/>
      <c r="N63" s="674"/>
      <c r="O63" s="675"/>
      <c r="P63" s="155"/>
      <c r="Q63" s="156"/>
    </row>
    <row r="64" spans="1:17" ht="37.5" customHeight="1">
      <c r="A64" s="676" t="str">
        <f>VLOOKUP(L12,Reporte!$AP$5:$CB$133,39,FALSE)</f>
        <v>OBSERVACIONES: Se expidieron 1429 actos adminsitrativos a partir de las 401 solicitudes tramitadas en la vigencia,  estableció que por cada solicitud de investigación aceptada se emiten en promedio 3 actos administrativos; al revisar la redacción de los análisis se encuentra un aparente sobrecumplimiento, sin embargo por la forma en que se formulo el indicador realmente no es concordante con la meta, se sugiere que este indicador se evalué como un índice o tasa.</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1:B4"/>
    <mergeCell ref="C1:K2"/>
    <mergeCell ref="N1:O2"/>
    <mergeCell ref="C3:K4"/>
    <mergeCell ref="N3:O3"/>
    <mergeCell ref="N4:O4"/>
    <mergeCell ref="L3:M3"/>
    <mergeCell ref="M15:O17"/>
    <mergeCell ref="A5:B5"/>
    <mergeCell ref="C5:O5"/>
    <mergeCell ref="A6:B6"/>
    <mergeCell ref="C6:O6"/>
    <mergeCell ref="A7:B7"/>
    <mergeCell ref="C7:O7"/>
    <mergeCell ref="A8:B8"/>
    <mergeCell ref="C8:O8"/>
    <mergeCell ref="A9:B12"/>
    <mergeCell ref="C9:E9"/>
    <mergeCell ref="F9:I9"/>
    <mergeCell ref="J9:O9"/>
    <mergeCell ref="C10:E10"/>
    <mergeCell ref="F10:I12"/>
    <mergeCell ref="J10:K11"/>
    <mergeCell ref="L10:M11"/>
    <mergeCell ref="N10:O11"/>
    <mergeCell ref="C11:E11"/>
    <mergeCell ref="C12:E12"/>
    <mergeCell ref="J12:K12"/>
    <mergeCell ref="L12:M12"/>
    <mergeCell ref="N12:O12"/>
    <mergeCell ref="J17:L17"/>
    <mergeCell ref="A13:O13"/>
    <mergeCell ref="A14:B14"/>
    <mergeCell ref="C14:E14"/>
    <mergeCell ref="F14:G14"/>
    <mergeCell ref="H14:L14"/>
    <mergeCell ref="A15:B17"/>
    <mergeCell ref="C15:E17"/>
    <mergeCell ref="F15:G17"/>
    <mergeCell ref="H15:I15"/>
    <mergeCell ref="J15:L15"/>
    <mergeCell ref="H16:I16"/>
    <mergeCell ref="J16:L16"/>
    <mergeCell ref="H17:I17"/>
    <mergeCell ref="M14:O14"/>
    <mergeCell ref="A23:B23"/>
    <mergeCell ref="G28:H28"/>
    <mergeCell ref="I28:J28"/>
    <mergeCell ref="G27:H27"/>
    <mergeCell ref="I27:J27"/>
    <mergeCell ref="A18:O18"/>
    <mergeCell ref="A19:E19"/>
    <mergeCell ref="F19:J19"/>
    <mergeCell ref="K19:O19"/>
    <mergeCell ref="A20:O20"/>
    <mergeCell ref="A24:O24"/>
    <mergeCell ref="G25:H25"/>
    <mergeCell ref="I25:J26"/>
    <mergeCell ref="K25:K26"/>
    <mergeCell ref="L25:O25"/>
    <mergeCell ref="G26:H26"/>
    <mergeCell ref="L26:O38"/>
    <mergeCell ref="I30:J30"/>
    <mergeCell ref="A22:B22"/>
    <mergeCell ref="A21:B21"/>
    <mergeCell ref="G33:H33"/>
    <mergeCell ref="I33:J33"/>
    <mergeCell ref="G34:H34"/>
    <mergeCell ref="I34:J34"/>
    <mergeCell ref="G35:H35"/>
    <mergeCell ref="I35:J35"/>
    <mergeCell ref="G32:H32"/>
    <mergeCell ref="I32:J32"/>
    <mergeCell ref="G29:H29"/>
    <mergeCell ref="I29:J29"/>
    <mergeCell ref="G30:H30"/>
    <mergeCell ref="G31:H31"/>
    <mergeCell ref="I31:J31"/>
    <mergeCell ref="A44:O44"/>
    <mergeCell ref="A45:O45"/>
    <mergeCell ref="A46:O46"/>
    <mergeCell ref="A47:O47"/>
    <mergeCell ref="A48:O48"/>
    <mergeCell ref="G36:H36"/>
    <mergeCell ref="I36:J36"/>
    <mergeCell ref="G38:H38"/>
    <mergeCell ref="I38:J38"/>
    <mergeCell ref="A39:O39"/>
    <mergeCell ref="A67:D67"/>
    <mergeCell ref="E67:F67"/>
    <mergeCell ref="L1:M2"/>
    <mergeCell ref="L4:M4"/>
    <mergeCell ref="A58:O58"/>
    <mergeCell ref="A59:O59"/>
    <mergeCell ref="A60:O60"/>
    <mergeCell ref="A61:O61"/>
    <mergeCell ref="A62:O62"/>
    <mergeCell ref="A63:O63"/>
    <mergeCell ref="A64:O65"/>
    <mergeCell ref="A49:O49"/>
    <mergeCell ref="A50:O50"/>
    <mergeCell ref="A51:O51"/>
    <mergeCell ref="A52:O52"/>
    <mergeCell ref="A53:O53"/>
    <mergeCell ref="A54:O54"/>
    <mergeCell ref="A55:O55"/>
    <mergeCell ref="A56:O56"/>
    <mergeCell ref="A57:O57"/>
    <mergeCell ref="A40:O40"/>
    <mergeCell ref="A41:O41"/>
    <mergeCell ref="A42:O42"/>
    <mergeCell ref="A43:O43"/>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13424-32E6-4911-9256-5D43811F1423}">
  <sheetPr codeName="Hoja3"/>
  <dimension ref="A1:DF443"/>
  <sheetViews>
    <sheetView topLeftCell="B1" zoomScaleNormal="100" workbookViewId="0">
      <selection activeCell="F3" sqref="F3"/>
    </sheetView>
  </sheetViews>
  <sheetFormatPr baseColWidth="10" defaultColWidth="37.125" defaultRowHeight="64.5" customHeight="1"/>
  <cols>
    <col min="1" max="1" width="15.625" style="349" customWidth="1"/>
    <col min="2" max="2" width="14.375" style="209" customWidth="1"/>
    <col min="3" max="3" width="8.375" style="209" customWidth="1"/>
    <col min="4" max="5" width="19.125" style="209" customWidth="1"/>
    <col min="6" max="6" width="14.5" style="349" customWidth="1"/>
    <col min="7" max="7" width="8.5" style="209" customWidth="1"/>
    <col min="8" max="8" width="7.125" style="243" customWidth="1"/>
    <col min="9" max="9" width="17.625" style="324" bestFit="1" customWidth="1"/>
    <col min="10" max="10" width="17.75" style="323" bestFit="1" customWidth="1"/>
    <col min="11" max="11" width="9.75" style="290" customWidth="1"/>
    <col min="12" max="12" width="37.625" style="209" customWidth="1"/>
    <col min="13" max="13" width="14" style="209" customWidth="1"/>
    <col min="14" max="14" width="13.125" style="209" customWidth="1"/>
    <col min="15" max="15" width="8" style="209" customWidth="1"/>
    <col min="16" max="16" width="9.875" style="209" customWidth="1"/>
    <col min="17" max="17" width="17.25" style="209" customWidth="1"/>
    <col min="18" max="19" width="19.125" style="209" customWidth="1"/>
    <col min="20" max="20" width="19" style="243" bestFit="1" customWidth="1"/>
    <col min="21" max="21" width="22" style="243" bestFit="1" customWidth="1"/>
    <col min="22" max="22" width="10.125" style="243" bestFit="1" customWidth="1"/>
    <col min="23" max="23" width="11.875" style="243" bestFit="1" customWidth="1"/>
    <col min="24" max="24" width="10.875" style="243" bestFit="1" customWidth="1"/>
    <col min="25" max="25" width="6.375" style="243" bestFit="1" customWidth="1"/>
    <col min="26" max="26" width="11.875" style="243" bestFit="1" customWidth="1"/>
    <col min="27" max="27" width="6.375" style="243" bestFit="1" customWidth="1"/>
    <col min="28" max="28" width="11.875" style="243" bestFit="1" customWidth="1"/>
    <col min="29" max="29" width="13.25" style="209" bestFit="1" customWidth="1"/>
    <col min="30" max="30" width="10.375" style="209" bestFit="1" customWidth="1"/>
    <col min="31" max="31" width="12.25" style="209" bestFit="1" customWidth="1"/>
    <col min="32" max="32" width="11.875" style="209" bestFit="1" customWidth="1"/>
    <col min="33" max="33" width="12.625" style="209" bestFit="1" customWidth="1"/>
    <col min="34" max="35" width="11.875" style="209" bestFit="1" customWidth="1"/>
    <col min="36" max="36" width="21.125" style="209" bestFit="1" customWidth="1"/>
    <col min="37" max="37" width="22" style="244" bestFit="1" customWidth="1"/>
    <col min="38" max="38" width="10.125" style="244" bestFit="1" customWidth="1"/>
    <col min="39" max="39" width="11.75" style="244" bestFit="1" customWidth="1"/>
    <col min="40" max="40" width="11.875" style="244" bestFit="1" customWidth="1"/>
    <col min="41" max="41" width="6.375" style="244" bestFit="1" customWidth="1"/>
    <col min="42" max="42" width="11.875" style="244" bestFit="1" customWidth="1"/>
    <col min="43" max="43" width="6.375" style="244" bestFit="1" customWidth="1"/>
    <col min="44" max="44" width="11.875" style="244" bestFit="1" customWidth="1"/>
    <col min="45" max="45" width="13.25" style="244" bestFit="1" customWidth="1"/>
    <col min="46" max="46" width="10.375" style="209" bestFit="1" customWidth="1"/>
    <col min="47" max="47" width="12.25" style="209" bestFit="1" customWidth="1"/>
    <col min="48" max="48" width="11.875" style="209" bestFit="1" customWidth="1"/>
    <col min="49" max="49" width="12.625" style="209" bestFit="1" customWidth="1"/>
    <col min="50" max="50" width="22.625" style="209" customWidth="1"/>
    <col min="51" max="51" width="19" style="209" bestFit="1" customWidth="1"/>
    <col min="52" max="52" width="22.625" style="209" bestFit="1" customWidth="1"/>
    <col min="53" max="53" width="7.25" style="209" customWidth="1"/>
    <col min="54" max="55" width="11" style="209" customWidth="1"/>
    <col min="56" max="56" width="15.375" style="209" bestFit="1" customWidth="1"/>
    <col min="57" max="57" width="13.125" style="209" bestFit="1" customWidth="1"/>
    <col min="58" max="58" width="11" style="209" customWidth="1"/>
    <col min="59" max="59" width="15.125" style="209" bestFit="1" customWidth="1"/>
    <col min="60" max="60" width="11" style="209" customWidth="1"/>
    <col min="61" max="61" width="14.625" style="209" bestFit="1" customWidth="1"/>
    <col min="62" max="62" width="15.125" style="209" bestFit="1" customWidth="1"/>
    <col min="63" max="78" width="11" style="209" customWidth="1"/>
    <col min="79" max="79" width="11.75" style="274" customWidth="1"/>
    <col min="80" max="91" width="43.625" style="209" customWidth="1"/>
    <col min="92" max="92" width="37.125" style="209"/>
    <col min="93" max="93" width="15.625" style="209" customWidth="1"/>
    <col min="94" max="94" width="11.75" style="209" customWidth="1"/>
    <col min="95" max="95" width="8.375" style="209" bestFit="1" customWidth="1"/>
    <col min="96" max="96" width="26.75" style="209" customWidth="1"/>
    <col min="97" max="97" width="47.875" style="209" customWidth="1"/>
    <col min="98" max="98" width="7.375" style="209" bestFit="1" customWidth="1"/>
    <col min="99" max="16384" width="37.125" style="209"/>
  </cols>
  <sheetData>
    <row r="1" spans="1:110" s="234" customFormat="1" ht="64.5" customHeight="1">
      <c r="A1" s="347" t="s">
        <v>121</v>
      </c>
      <c r="B1" s="285" t="s">
        <v>122</v>
      </c>
      <c r="C1" s="285" t="s">
        <v>123</v>
      </c>
      <c r="D1" s="285" t="s">
        <v>124</v>
      </c>
      <c r="E1" s="285" t="s">
        <v>125</v>
      </c>
      <c r="F1" s="347" t="s">
        <v>126</v>
      </c>
      <c r="G1" s="285" t="s">
        <v>127</v>
      </c>
      <c r="H1" s="286" t="s">
        <v>128</v>
      </c>
      <c r="I1" s="435" t="s">
        <v>129</v>
      </c>
      <c r="J1" s="322" t="s">
        <v>130</v>
      </c>
      <c r="K1" s="287" t="s">
        <v>131</v>
      </c>
      <c r="L1" s="285" t="s">
        <v>132</v>
      </c>
      <c r="M1" s="285" t="s">
        <v>133</v>
      </c>
      <c r="N1" s="285" t="s">
        <v>134</v>
      </c>
      <c r="O1" s="285" t="s">
        <v>135</v>
      </c>
      <c r="P1" s="285" t="s">
        <v>136</v>
      </c>
      <c r="Q1" s="285" t="s">
        <v>137</v>
      </c>
      <c r="R1" s="235" t="s">
        <v>875</v>
      </c>
      <c r="S1" s="235"/>
      <c r="T1" s="267" t="s">
        <v>875</v>
      </c>
      <c r="U1" s="267" t="s">
        <v>138</v>
      </c>
      <c r="V1" s="267" t="s">
        <v>139</v>
      </c>
      <c r="W1" s="267" t="s">
        <v>140</v>
      </c>
      <c r="X1" s="267" t="s">
        <v>141</v>
      </c>
      <c r="Y1" s="267" t="s">
        <v>142</v>
      </c>
      <c r="Z1" s="267" t="s">
        <v>143</v>
      </c>
      <c r="AA1" s="267" t="s">
        <v>144</v>
      </c>
      <c r="AB1" s="267" t="s">
        <v>145</v>
      </c>
      <c r="AC1" s="267" t="s">
        <v>146</v>
      </c>
      <c r="AD1" s="267" t="s">
        <v>147</v>
      </c>
      <c r="AE1" s="267" t="s">
        <v>148</v>
      </c>
      <c r="AF1" s="267" t="s">
        <v>149</v>
      </c>
      <c r="AG1" s="234" t="s">
        <v>875</v>
      </c>
      <c r="AH1" s="234" t="s">
        <v>875</v>
      </c>
      <c r="AI1" s="234" t="s">
        <v>875</v>
      </c>
      <c r="AJ1" s="234" t="s">
        <v>875</v>
      </c>
      <c r="AK1" s="268" t="s">
        <v>138</v>
      </c>
      <c r="AL1" s="268" t="s">
        <v>139</v>
      </c>
      <c r="AM1" s="268" t="s">
        <v>140</v>
      </c>
      <c r="AN1" s="268" t="s">
        <v>141</v>
      </c>
      <c r="AO1" s="268" t="s">
        <v>142</v>
      </c>
      <c r="AP1" s="268" t="s">
        <v>143</v>
      </c>
      <c r="AQ1" s="268" t="s">
        <v>144</v>
      </c>
      <c r="AR1" s="268" t="s">
        <v>145</v>
      </c>
      <c r="AS1" s="268" t="s">
        <v>146</v>
      </c>
      <c r="AT1" s="267" t="s">
        <v>147</v>
      </c>
      <c r="AU1" s="267" t="s">
        <v>148</v>
      </c>
      <c r="AV1" s="267" t="s">
        <v>149</v>
      </c>
      <c r="AW1" s="267"/>
      <c r="AX1" s="267"/>
      <c r="AY1" s="234" t="s">
        <v>875</v>
      </c>
      <c r="AZ1" s="234" t="s">
        <v>875</v>
      </c>
      <c r="BA1" s="237"/>
      <c r="BB1" s="644" t="s">
        <v>172</v>
      </c>
      <c r="BC1" s="645"/>
      <c r="BD1" s="645"/>
      <c r="BE1" s="645"/>
      <c r="BF1" s="645"/>
      <c r="BG1" s="645"/>
      <c r="BH1" s="645"/>
      <c r="BI1" s="645"/>
      <c r="BJ1" s="645"/>
      <c r="BK1" s="645"/>
      <c r="BL1" s="645"/>
      <c r="BM1" s="646"/>
      <c r="BN1" s="644" t="s">
        <v>173</v>
      </c>
      <c r="BO1" s="645"/>
      <c r="BP1" s="645"/>
      <c r="BQ1" s="645"/>
      <c r="BR1" s="645"/>
      <c r="BS1" s="645"/>
      <c r="BT1" s="645"/>
      <c r="BU1" s="645"/>
      <c r="BV1" s="645"/>
      <c r="BW1" s="645"/>
      <c r="BX1" s="645"/>
      <c r="BY1" s="646"/>
      <c r="BZ1" s="279"/>
      <c r="CA1" s="279"/>
      <c r="CO1" s="285" t="s">
        <v>121</v>
      </c>
      <c r="CP1" s="285" t="s">
        <v>122</v>
      </c>
      <c r="CQ1" s="285" t="s">
        <v>123</v>
      </c>
      <c r="CR1" s="285" t="s">
        <v>124</v>
      </c>
      <c r="CS1" s="285" t="s">
        <v>132</v>
      </c>
      <c r="CT1" s="234" t="s">
        <v>123</v>
      </c>
      <c r="CU1" s="237" t="s">
        <v>138</v>
      </c>
      <c r="CV1" s="237" t="s">
        <v>139</v>
      </c>
      <c r="CW1" s="237" t="s">
        <v>140</v>
      </c>
      <c r="CX1" s="237" t="s">
        <v>141</v>
      </c>
      <c r="CY1" s="237" t="s">
        <v>142</v>
      </c>
      <c r="CZ1" s="237" t="s">
        <v>143</v>
      </c>
      <c r="DA1" s="237" t="s">
        <v>144</v>
      </c>
      <c r="DB1" s="237" t="s">
        <v>145</v>
      </c>
      <c r="DC1" s="237" t="s">
        <v>146</v>
      </c>
      <c r="DD1" s="237" t="s">
        <v>147</v>
      </c>
      <c r="DE1" s="237" t="s">
        <v>148</v>
      </c>
      <c r="DF1" s="237" t="s">
        <v>149</v>
      </c>
    </row>
    <row r="2" spans="1:110" s="211" customFormat="1" ht="127.5">
      <c r="A2" s="348" t="s">
        <v>317</v>
      </c>
      <c r="B2" s="211" t="s">
        <v>138</v>
      </c>
      <c r="C2" s="211" t="s">
        <v>318</v>
      </c>
      <c r="D2" s="211" t="s">
        <v>319</v>
      </c>
      <c r="E2" s="211" t="s">
        <v>320</v>
      </c>
      <c r="F2" s="348" t="s">
        <v>321</v>
      </c>
      <c r="G2" s="211" t="s">
        <v>157</v>
      </c>
      <c r="H2" s="211">
        <v>1</v>
      </c>
      <c r="I2" s="323">
        <v>1</v>
      </c>
      <c r="J2" s="323">
        <v>1</v>
      </c>
      <c r="K2" s="288">
        <v>1</v>
      </c>
      <c r="L2" s="211" t="s">
        <v>3099</v>
      </c>
      <c r="M2" s="211" t="b">
        <v>0</v>
      </c>
      <c r="O2" s="209" t="s">
        <v>2832</v>
      </c>
      <c r="P2" s="211" t="s">
        <v>159</v>
      </c>
      <c r="Q2" s="211" t="s">
        <v>160</v>
      </c>
      <c r="R2" s="211" t="s">
        <v>875</v>
      </c>
      <c r="T2" s="291" t="s">
        <v>161</v>
      </c>
      <c r="U2" s="291" t="s">
        <v>162</v>
      </c>
      <c r="V2" s="269"/>
      <c r="W2" s="269"/>
      <c r="X2" s="269"/>
      <c r="Y2" s="269"/>
      <c r="Z2" s="269"/>
      <c r="AA2" s="269"/>
      <c r="AB2" s="269"/>
      <c r="AC2" s="269"/>
      <c r="AD2" s="269"/>
      <c r="AE2" s="269"/>
      <c r="AF2" s="269"/>
      <c r="AG2" s="269"/>
      <c r="AH2"/>
      <c r="AI2"/>
      <c r="AJ2" s="291" t="s">
        <v>163</v>
      </c>
      <c r="AK2" s="291" t="s">
        <v>162</v>
      </c>
      <c r="AL2" s="269"/>
      <c r="AM2" s="269"/>
      <c r="AN2" s="269"/>
      <c r="AO2" s="269"/>
      <c r="AP2" s="269"/>
      <c r="AQ2" s="269"/>
      <c r="AR2" s="269"/>
      <c r="AS2" s="269"/>
      <c r="AT2" s="269"/>
      <c r="AU2" s="269"/>
      <c r="AV2" s="269"/>
      <c r="AW2" s="269"/>
      <c r="AX2" s="236"/>
      <c r="AY2" s="236" t="s">
        <v>164</v>
      </c>
      <c r="AZ2" s="236"/>
      <c r="BA2" s="238" t="s">
        <v>181</v>
      </c>
      <c r="BB2" s="237" t="s">
        <v>138</v>
      </c>
      <c r="BC2" s="237" t="s">
        <v>139</v>
      </c>
      <c r="BD2" s="237" t="s">
        <v>140</v>
      </c>
      <c r="BE2" s="237" t="s">
        <v>141</v>
      </c>
      <c r="BF2" s="237" t="s">
        <v>142</v>
      </c>
      <c r="BG2" s="237" t="s">
        <v>143</v>
      </c>
      <c r="BH2" s="237" t="s">
        <v>144</v>
      </c>
      <c r="BI2" s="237" t="s">
        <v>145</v>
      </c>
      <c r="BJ2" s="237" t="s">
        <v>146</v>
      </c>
      <c r="BK2" s="237" t="s">
        <v>147</v>
      </c>
      <c r="BL2" s="237" t="s">
        <v>148</v>
      </c>
      <c r="BM2" s="237" t="s">
        <v>149</v>
      </c>
      <c r="BN2" s="237" t="s">
        <v>138</v>
      </c>
      <c r="BO2" s="237" t="s">
        <v>139</v>
      </c>
      <c r="BP2" s="237" t="s">
        <v>140</v>
      </c>
      <c r="BQ2" s="237" t="s">
        <v>141</v>
      </c>
      <c r="BR2" s="237" t="s">
        <v>142</v>
      </c>
      <c r="BS2" s="237" t="s">
        <v>143</v>
      </c>
      <c r="BT2" s="237" t="s">
        <v>144</v>
      </c>
      <c r="BU2" s="237" t="s">
        <v>145</v>
      </c>
      <c r="BV2" s="237" t="s">
        <v>146</v>
      </c>
      <c r="BW2" s="237" t="s">
        <v>147</v>
      </c>
      <c r="BX2" s="237" t="s">
        <v>148</v>
      </c>
      <c r="BY2" s="237" t="s">
        <v>149</v>
      </c>
      <c r="BZ2" s="274"/>
      <c r="CA2" s="274"/>
      <c r="CB2" s="237" t="s">
        <v>138</v>
      </c>
      <c r="CC2" s="237" t="s">
        <v>139</v>
      </c>
      <c r="CD2" s="237" t="s">
        <v>140</v>
      </c>
      <c r="CE2" s="237" t="s">
        <v>141</v>
      </c>
      <c r="CF2" s="237" t="s">
        <v>142</v>
      </c>
      <c r="CG2" s="237" t="s">
        <v>143</v>
      </c>
      <c r="CH2" s="237" t="s">
        <v>144</v>
      </c>
      <c r="CI2" s="237" t="s">
        <v>145</v>
      </c>
      <c r="CJ2" s="237" t="s">
        <v>146</v>
      </c>
      <c r="CK2" s="237" t="s">
        <v>147</v>
      </c>
      <c r="CL2" s="237" t="s">
        <v>148</v>
      </c>
      <c r="CM2" s="237" t="s">
        <v>149</v>
      </c>
      <c r="CO2" s="211" t="s">
        <v>317</v>
      </c>
      <c r="CP2" s="211" t="s">
        <v>138</v>
      </c>
      <c r="CQ2" s="211" t="s">
        <v>318</v>
      </c>
      <c r="CR2" s="211" t="s">
        <v>319</v>
      </c>
      <c r="CS2" s="211" t="s">
        <v>3099</v>
      </c>
      <c r="CT2" s="211" t="s">
        <v>318</v>
      </c>
      <c r="CU2" s="211" t="str">
        <f>+IF(CP2=$CU$1,CS2,"N/A")</f>
        <v>​Durante el mes de enero de 2025 se da cumplimiento a la actividad: "Actualizar los riesgos contemplados en la defensa jurídica del estado y fortalecerlos con el apoyo de la Guía para la Administración del Riesgo." formulada en el cronograma de implementación y sostenibilidad de la política de Defensa Jurídica se realiza la revisión y monitoreo de los riesgos y la efectividad de los controles, se adjunta las evidencias de ejecución de la actividad.</v>
      </c>
      <c r="CV2" s="211" t="str">
        <f>+IF(CP2=$CV$1,CS2,"N/A")</f>
        <v>N/A</v>
      </c>
      <c r="CW2" s="211" t="str">
        <f>+IF(CP2=$CW$1,CS2,"N/A")</f>
        <v>N/A</v>
      </c>
      <c r="CX2" s="211" t="str">
        <f>+IF(CP2=$CX$1,CS2,"N/A")</f>
        <v>N/A</v>
      </c>
      <c r="CY2" s="211" t="str">
        <f>+IF(CP2=$CY$1,CS2,"N/A")</f>
        <v>N/A</v>
      </c>
      <c r="CZ2" s="211" t="str">
        <f>+IF(CP2=$CZ$1,CS2,"N/A")</f>
        <v>N/A</v>
      </c>
      <c r="DA2" s="211" t="str">
        <f>+IF(CP2=$DA$1,CS2,"N/A")</f>
        <v>N/A</v>
      </c>
      <c r="DB2" s="211" t="str">
        <f>+IF(CP2=$DB$1,CS2,"N/A")</f>
        <v>N/A</v>
      </c>
      <c r="DC2" s="211" t="str">
        <f>+IF(CP2=$DC$1,CS2,"N/A")</f>
        <v>N/A</v>
      </c>
      <c r="DD2" s="211" t="str">
        <f>+IF(CP2=$DD$1,CS2,"N/A")</f>
        <v>N/A</v>
      </c>
      <c r="DE2" s="211" t="str">
        <f>+IF(CP2=$DE$1,CS2,"N/A")</f>
        <v>N/A</v>
      </c>
      <c r="DF2" s="211" t="str">
        <f>+IF(CP2=$DF$1,CS2,"N/A")</f>
        <v>N/A</v>
      </c>
    </row>
    <row r="3" spans="1:110" s="211" customFormat="1" ht="409.5">
      <c r="A3" s="348" t="s">
        <v>190</v>
      </c>
      <c r="B3" s="211" t="s">
        <v>138</v>
      </c>
      <c r="C3" s="211" t="s">
        <v>216</v>
      </c>
      <c r="D3" s="211" t="s">
        <v>217</v>
      </c>
      <c r="E3" s="211" t="s">
        <v>218</v>
      </c>
      <c r="F3" s="348" t="s">
        <v>219</v>
      </c>
      <c r="G3" s="211" t="s">
        <v>178</v>
      </c>
      <c r="H3" s="211">
        <v>1</v>
      </c>
      <c r="I3" s="323">
        <v>42</v>
      </c>
      <c r="J3" s="323">
        <v>42</v>
      </c>
      <c r="K3" s="288">
        <v>1</v>
      </c>
      <c r="L3" s="211" t="s">
        <v>3100</v>
      </c>
      <c r="M3" s="211" t="b">
        <v>0</v>
      </c>
      <c r="O3" s="209" t="s">
        <v>2832</v>
      </c>
      <c r="P3" s="211" t="s">
        <v>159</v>
      </c>
      <c r="Q3" s="211" t="s">
        <v>160</v>
      </c>
      <c r="T3" s="291" t="s">
        <v>170</v>
      </c>
      <c r="U3" s="269" t="s">
        <v>138</v>
      </c>
      <c r="V3" s="269" t="s">
        <v>139</v>
      </c>
      <c r="W3" s="269" t="s">
        <v>140</v>
      </c>
      <c r="X3" s="269" t="s">
        <v>141</v>
      </c>
      <c r="Y3" s="269" t="s">
        <v>142</v>
      </c>
      <c r="Z3" s="269" t="s">
        <v>143</v>
      </c>
      <c r="AA3" s="269" t="s">
        <v>144</v>
      </c>
      <c r="AB3" s="269" t="s">
        <v>145</v>
      </c>
      <c r="AC3" s="269" t="s">
        <v>146</v>
      </c>
      <c r="AD3" s="269" t="s">
        <v>147</v>
      </c>
      <c r="AE3" s="269" t="s">
        <v>148</v>
      </c>
      <c r="AF3" s="269" t="s">
        <v>149</v>
      </c>
      <c r="AG3" s="269" t="s">
        <v>171</v>
      </c>
      <c r="AH3"/>
      <c r="AI3"/>
      <c r="AJ3" s="291" t="s">
        <v>170</v>
      </c>
      <c r="AK3" s="269" t="s">
        <v>138</v>
      </c>
      <c r="AL3" s="269" t="s">
        <v>139</v>
      </c>
      <c r="AM3" s="269" t="s">
        <v>140</v>
      </c>
      <c r="AN3" s="269" t="s">
        <v>141</v>
      </c>
      <c r="AO3" s="269" t="s">
        <v>142</v>
      </c>
      <c r="AP3" s="269" t="s">
        <v>143</v>
      </c>
      <c r="AQ3" s="269" t="s">
        <v>144</v>
      </c>
      <c r="AR3" s="269" t="s">
        <v>145</v>
      </c>
      <c r="AS3" s="269" t="s">
        <v>146</v>
      </c>
      <c r="AT3" s="269" t="s">
        <v>147</v>
      </c>
      <c r="AU3" s="269" t="s">
        <v>148</v>
      </c>
      <c r="AV3" s="269" t="s">
        <v>149</v>
      </c>
      <c r="AW3" s="269" t="s">
        <v>171</v>
      </c>
      <c r="AX3" s="236"/>
      <c r="AY3" s="236"/>
      <c r="AZ3" s="236"/>
      <c r="BA3" s="239" t="s">
        <v>180</v>
      </c>
      <c r="BB3" s="240">
        <f>+VLOOKUP(BA3,$T$4:$AB$140,2,FALSE)</f>
        <v>0</v>
      </c>
      <c r="BC3" s="240">
        <f>+VLOOKUP(BA3,$T$3:$AF$140,3,FALSE)</f>
        <v>0</v>
      </c>
      <c r="BD3" s="240">
        <f>+VLOOKUP(BA3,$T$3:$AF$140,4,FALSE)</f>
        <v>0</v>
      </c>
      <c r="BE3" s="240">
        <f>+VLOOKUP(BA3,$T$3:$AF$140,5,FALSE)</f>
        <v>4</v>
      </c>
      <c r="BF3" s="240">
        <f>+VLOOKUP(BA3,$T$3:$AF$140,6,FALSE)</f>
        <v>0</v>
      </c>
      <c r="BG3" s="240">
        <f>+VLOOKUP(BA3,$T$3:$AF$140,7,FALSE)</f>
        <v>0</v>
      </c>
      <c r="BH3" s="240">
        <f>+VLOOKUP(BA3,$T$3:$AF$140,8,FALSE)</f>
        <v>0</v>
      </c>
      <c r="BI3" s="240">
        <f>+VLOOKUP(BA3,$T$3:$AF$140,9,FALSE)</f>
        <v>9</v>
      </c>
      <c r="BJ3" s="240">
        <f>+VLOOKUP(BA3,$T$3:$AF$140,10,FALSE)</f>
        <v>0</v>
      </c>
      <c r="BK3" s="240">
        <f>+VLOOKUP(BA3,$T$3:$AF$140,11,FALSE)</f>
        <v>0</v>
      </c>
      <c r="BL3" s="240">
        <f>+VLOOKUP(BA3,$T$3:$AF$140,12,FALSE)</f>
        <v>0</v>
      </c>
      <c r="BM3" s="240">
        <f>+VLOOKUP(BA3,$T$3:$AF$140,13,FALSE)</f>
        <v>6</v>
      </c>
      <c r="BN3" s="211">
        <f>+VLOOKUP(BA3,$AJ$3:$AV$140,2,FALSE)</f>
        <v>0</v>
      </c>
      <c r="BO3" s="236">
        <f>+VLOOKUP(BA3,$AJ$3:$AV$140,3,FALSE)</f>
        <v>0</v>
      </c>
      <c r="BP3" s="236">
        <f>+VLOOKUP(BA3,$AJ$3:$AV$140,4,FALSE)</f>
        <v>0</v>
      </c>
      <c r="BQ3" s="236">
        <f>+VLOOKUP(BA3,$AJ$3:$AV$140,5,FALSE)</f>
        <v>4</v>
      </c>
      <c r="BR3" s="236">
        <f>+VLOOKUP(BA3,$AJ$3:$AV$140,6,FALSE)</f>
        <v>0</v>
      </c>
      <c r="BS3" s="236">
        <f>+VLOOKUP(BA3,$AJ$3:$AV$140,7,FALSE)</f>
        <v>0</v>
      </c>
      <c r="BT3" s="236">
        <f>+VLOOKUP(BA3,$AJ$3:$AV$140,8,FALSE)</f>
        <v>0</v>
      </c>
      <c r="BU3" s="236">
        <f>+VLOOKUP(BA3,$AJ$3:$AV$140,9,FALSE)</f>
        <v>9</v>
      </c>
      <c r="BV3" s="236">
        <f>+VLOOKUP(BA3,$AJ$3:$AV$140,10,FALSE)</f>
        <v>0</v>
      </c>
      <c r="BW3" s="236">
        <f>+VLOOKUP(BA3,$AJ$3:$AV$140,11,FALSE)</f>
        <v>0</v>
      </c>
      <c r="BX3" s="236">
        <f>+VLOOKUP(BA3,$AJ$3:$AV$140,12,FALSE)</f>
        <v>0</v>
      </c>
      <c r="BY3" s="236">
        <f>+VLOOKUP(BA3,$AJ$3:$AV$140,13,FALSE)</f>
        <v>6</v>
      </c>
      <c r="BZ3" s="236"/>
      <c r="CA3" s="275" t="s">
        <v>272</v>
      </c>
      <c r="CB3" s="272" t="str">
        <f t="shared" ref="CB3:CB34" si="0">+VLOOKUP(CA3,CT:DF,2,FALSE)</f>
        <v>N/A</v>
      </c>
      <c r="CC3" s="272" t="str">
        <f t="shared" ref="CC3:CC34" si="1">+VLOOKUP(CA3,CT:DF,3,FALSE)</f>
        <v>N/A</v>
      </c>
      <c r="CD3" s="272" t="str">
        <f t="shared" ref="CD3:CD34" si="2">+VLOOKUP(CA3,CT:DF,4,FALSE)</f>
        <v xml:space="preserve">​La meta estuvo muy cerca de alcanzarse, hizo falta una regional más con un nuevo actor del sistema apoyado, sin embargo ete indicador subirá en el siguiente reporte.
Todas Las regionales vienen realizado actividades con los 4 actores acumulados que se llevan (Etidades territoriales, Usuarios, Gestores Farmacéuticos y Aseguradores)  y han comenzado su apoyo a Prestadores también.  Esto en apoyo a las respectivas Delegadas.
De acuerdo a las Regionales que han activado apoyo con prestadores, este se calcula en un 62,5% (5 de 8 regionales) de acuerdo a la evidencia adjunta
Sumando los 4 actores iniciales más el 62,5%  del nuevo actor (prestadores)  y comparándolos con los 9 para el cuatrienio, se tiene un 51,39%,  (4,625/9) lo cual es un avance importante rumbo a la meta de 66% propuesta para 2025.  Es decir, que a final de 2025 debe consolidarse el apoyo a prestadores e incluir además un sexto grupo de valor, y así lograr ese 66%.
La razón por la cual se tiene una meta de 66% (6 de 9) para este año, es que para cada año del cuatrienio se tiene la misma meta (con excepción del último, donde son 3 de 9, es decir, el 33,3%, de tal forma que al sumar los 4 porcentajes de los 4 años deberá darel 100%, es decir, 9 actores de 9 posibles en 4 años.
Se anexan las evidencias correspondientes dentro del URL adjunto.  ya que hay evidencias de todas las regionales y estas son muy pesadas para ser cargadas aquí.  Se han concedido algunos permisos para este URL. (Andrea del Pilar López, Mónica Liliana Salazar, Gloria Rocío PEreira, Peter William VArgas, Johana Patricia Orjuela).  Si Alguien mas de la OAP o de la OCI requiere ingresar al URL, solicitarlo a Rafael Enrique García Cadavid.
</v>
      </c>
      <c r="CE3" s="284" t="str">
        <f t="shared" ref="CE3:CE34" si="3">+VLOOKUP(CA3,CT:DF,5,FALSE)</f>
        <v>N/A</v>
      </c>
      <c r="CF3" s="284" t="str">
        <f t="shared" ref="CF3:CF34" si="4">+VLOOKUP(CA3,CT:DF,6,FALSE)</f>
        <v>N/A</v>
      </c>
      <c r="CG3" s="284" t="str">
        <f t="shared" ref="CG3:CG34" si="5">+VLOOKUP(CA3,CT:DF,7,FALSE)</f>
        <v>N/A</v>
      </c>
      <c r="CH3" s="272" t="str">
        <f t="shared" ref="CH3:CH34" si="6">+VLOOKUP(CA3,CT:DF,8,FALSE)</f>
        <v>N/A</v>
      </c>
      <c r="CI3" s="211" t="str">
        <f t="shared" ref="CI3:CI34" si="7">+VLOOKUP(CA3,CT:DF,9,FALSE)</f>
        <v>N/A</v>
      </c>
      <c r="CJ3" s="211" t="str">
        <f t="shared" ref="CJ3:CJ34" si="8">+VLOOKUP(CA3,CT:DF,10,FALSE)</f>
        <v>N/A</v>
      </c>
      <c r="CK3" s="211" t="str">
        <f t="shared" ref="CK3:CK34" si="9">+VLOOKUP(CA3,CT:DF,11,FALSE)</f>
        <v>N/A</v>
      </c>
      <c r="CL3" s="211" t="str">
        <f t="shared" ref="CL3:CL34" si="10">+VLOOKUP(CA3,CT:DF,12,FALSE)</f>
        <v>N/A</v>
      </c>
      <c r="CM3" s="211" t="str">
        <f t="shared" ref="CM3:CM34" si="11">+VLOOKUP(CA3,CT:DF,13,FALSE)</f>
        <v>N/A</v>
      </c>
      <c r="CO3" s="211" t="s">
        <v>190</v>
      </c>
      <c r="CP3" s="211" t="s">
        <v>138</v>
      </c>
      <c r="CQ3" s="211" t="s">
        <v>216</v>
      </c>
      <c r="CR3" s="211" t="s">
        <v>217</v>
      </c>
      <c r="CS3" s="211" t="s">
        <v>3100</v>
      </c>
      <c r="CT3" s="211" t="s">
        <v>216</v>
      </c>
      <c r="CU3" s="211" t="str">
        <f t="shared" ref="CU3:CU66" si="12">+IF(CP3=$CU$1,CS3,"N/A")</f>
        <v>​Durante el mes de Enero, se gestionaron  42 cuentas que fueron radicadas en los tiempos estipulados de acuerdo con la Circular Interna 2022920020000026-4 de 2022,asi mismo, los documentos radicados despues del dia 25 calendario se tramitaron en el siguiente mes. Por lo cual, se cumplió con la meta del indicador del 100%, (42/42) habiendo gestionado la totalidad de las cuentas radicadas con un tiempo de gestión de 1,1 dias hábiles. Se adjunta base con relación de cuentas radicadas y gestionadas, asi como el reporte del indicador con la correspondiente gráfica.</v>
      </c>
      <c r="CV3" s="211" t="str">
        <f t="shared" ref="CV3:CV66" si="13">+IF(CP3=$CV$1,CS3,"N/A")</f>
        <v>N/A</v>
      </c>
      <c r="CW3" s="211" t="str">
        <f t="shared" ref="CW3:CW66" si="14">+IF(CP3=$CW$1,CS3,"N/A")</f>
        <v>N/A</v>
      </c>
      <c r="CX3" s="211" t="str">
        <f t="shared" ref="CX3:CX66" si="15">+IF(CP3=$CX$1,CS3,"N/A")</f>
        <v>N/A</v>
      </c>
      <c r="CY3" s="211" t="str">
        <f>+IF(CP3=$CY$1,CS3,"N/A")</f>
        <v>N/A</v>
      </c>
      <c r="CZ3" s="211" t="str">
        <f t="shared" ref="CZ3:CZ66" si="16">+IF(CP3=$CZ$1,CS3,"N/A")</f>
        <v>N/A</v>
      </c>
      <c r="DA3" s="211" t="str">
        <f t="shared" ref="DA3:DA66" si="17">+IF(CP3=$DA$1,CS3,"N/A")</f>
        <v>N/A</v>
      </c>
      <c r="DB3" s="211" t="str">
        <f t="shared" ref="DB3:DB66" si="18">+IF(CP3=$DB$1,CS3,"N/A")</f>
        <v>N/A</v>
      </c>
      <c r="DC3" s="211" t="str">
        <f t="shared" ref="DC3:DC66" si="19">+IF(CP3=$DC$1,CS3,"N/A")</f>
        <v>N/A</v>
      </c>
      <c r="DD3" s="211" t="str">
        <f t="shared" ref="DD3:DD66" si="20">+IF(CP3=$DD$1,CS3,"N/A")</f>
        <v>N/A</v>
      </c>
      <c r="DE3" s="211" t="str">
        <f t="shared" ref="DE3:DE66" si="21">+IF(CP3=$DE$1,CS3,"N/A")</f>
        <v>N/A</v>
      </c>
      <c r="DF3" s="211" t="str">
        <f t="shared" ref="DF3:DF66" si="22">+IF(CP3=$DF$1,CS3,"N/A")</f>
        <v>N/A</v>
      </c>
    </row>
    <row r="4" spans="1:110" s="211" customFormat="1" ht="185.25">
      <c r="A4" s="348" t="s">
        <v>454</v>
      </c>
      <c r="B4" s="211" t="s">
        <v>139</v>
      </c>
      <c r="C4" s="211" t="s">
        <v>223</v>
      </c>
      <c r="D4" s="211" t="s">
        <v>455</v>
      </c>
      <c r="E4" s="211" t="s">
        <v>456</v>
      </c>
      <c r="F4" s="348" t="s">
        <v>457</v>
      </c>
      <c r="G4" s="211" t="s">
        <v>157</v>
      </c>
      <c r="H4" s="211">
        <v>1</v>
      </c>
      <c r="I4" s="323">
        <v>1</v>
      </c>
      <c r="J4" s="323">
        <v>1</v>
      </c>
      <c r="K4" s="288">
        <v>1</v>
      </c>
      <c r="L4" s="211" t="s">
        <v>3101</v>
      </c>
      <c r="M4" s="211" t="b">
        <v>0</v>
      </c>
      <c r="O4" s="209" t="s">
        <v>2832</v>
      </c>
      <c r="P4" s="211" t="s">
        <v>159</v>
      </c>
      <c r="Q4" s="211" t="s">
        <v>160</v>
      </c>
      <c r="T4" s="236" t="s">
        <v>180</v>
      </c>
      <c r="U4" s="269"/>
      <c r="V4" s="269"/>
      <c r="W4" s="269"/>
      <c r="X4" s="269">
        <v>4</v>
      </c>
      <c r="Y4" s="269"/>
      <c r="Z4" s="269"/>
      <c r="AA4" s="269"/>
      <c r="AB4" s="269">
        <v>9</v>
      </c>
      <c r="AC4" s="269"/>
      <c r="AD4" s="269"/>
      <c r="AE4" s="269"/>
      <c r="AF4" s="269">
        <v>6</v>
      </c>
      <c r="AG4" s="269">
        <v>19</v>
      </c>
      <c r="AH4"/>
      <c r="AI4"/>
      <c r="AJ4" s="236" t="s">
        <v>180</v>
      </c>
      <c r="AK4" s="269"/>
      <c r="AL4" s="269"/>
      <c r="AM4" s="269"/>
      <c r="AN4" s="269">
        <v>4</v>
      </c>
      <c r="AO4" s="269"/>
      <c r="AP4" s="269"/>
      <c r="AQ4" s="269"/>
      <c r="AR4" s="269">
        <v>9</v>
      </c>
      <c r="AS4" s="269"/>
      <c r="AT4" s="269"/>
      <c r="AU4" s="269"/>
      <c r="AV4" s="269">
        <v>6</v>
      </c>
      <c r="AW4" s="269">
        <v>19</v>
      </c>
      <c r="AX4" s="236"/>
      <c r="AY4" s="236"/>
      <c r="AZ4" s="236"/>
      <c r="BA4" s="239" t="s">
        <v>182</v>
      </c>
      <c r="BB4" s="240">
        <f>+VLOOKUP(BA4,$T$4:$AB$140,2,FALSE)</f>
        <v>0</v>
      </c>
      <c r="BC4" s="240">
        <f>+VLOOKUP(BA4,$T$3:$AF$140,3,FALSE)</f>
        <v>95</v>
      </c>
      <c r="BD4" s="240">
        <f>+VLOOKUP(BA4,$T$3:$AF$140,4,FALSE)</f>
        <v>0</v>
      </c>
      <c r="BE4" s="240">
        <f>+VLOOKUP(BA4,$T$3:$AF$140,5,FALSE)</f>
        <v>101</v>
      </c>
      <c r="BF4" s="240">
        <f>+VLOOKUP(BA4,$T$3:$AF$140,6,FALSE)</f>
        <v>0</v>
      </c>
      <c r="BG4" s="240">
        <f>+VLOOKUP(BA4,$T$3:$AF$140,7,FALSE)</f>
        <v>64</v>
      </c>
      <c r="BH4" s="240">
        <f>+VLOOKUP(BA4,$T$3:$AF$140,8,FALSE)</f>
        <v>0</v>
      </c>
      <c r="BI4" s="240">
        <f>+VLOOKUP(BA4,$T$3:$AF$140,9,FALSE)</f>
        <v>63</v>
      </c>
      <c r="BJ4" s="240">
        <f>+VLOOKUP(BA4,$T$3:$AF$140,10,FALSE)</f>
        <v>0</v>
      </c>
      <c r="BK4" s="240">
        <f t="shared" ref="BK4:BK67" si="23">+VLOOKUP(BA4,$T$3:$AF$140,11,FALSE)</f>
        <v>29</v>
      </c>
      <c r="BL4" s="240">
        <f t="shared" ref="BL4:BL67" si="24">+VLOOKUP(BA4,$T$3:$AF$140,12,FALSE)</f>
        <v>0</v>
      </c>
      <c r="BM4" s="240">
        <f t="shared" ref="BM4:BM67" si="25">+VLOOKUP(BA4,$T$3:$AF$140,13,FALSE)</f>
        <v>26</v>
      </c>
      <c r="BN4" s="211">
        <f>+VLOOKUP(BA4,$AJ$3:$AV$140,2,FALSE)</f>
        <v>0</v>
      </c>
      <c r="BO4" s="236">
        <f>+VLOOKUP(BA4,$AJ$3:$AV$140,3,FALSE)</f>
        <v>95</v>
      </c>
      <c r="BP4" s="236">
        <f>+VLOOKUP(BA4,$AJ$3:$AV$140,4,FALSE)</f>
        <v>0</v>
      </c>
      <c r="BQ4" s="236">
        <f>+VLOOKUP(BA4,$AJ$3:$AV$140,5,FALSE)</f>
        <v>101</v>
      </c>
      <c r="BR4" s="236">
        <f>+VLOOKUP(BA4,$AJ$3:$AV$140,6,FALSE)</f>
        <v>0</v>
      </c>
      <c r="BS4" s="236">
        <f>+VLOOKUP(BA4,$AJ$3:$AV$140,7,FALSE)</f>
        <v>64</v>
      </c>
      <c r="BT4" s="236">
        <f>+VLOOKUP(BA4,$AJ$3:$AV$140,8,FALSE)</f>
        <v>0</v>
      </c>
      <c r="BU4" s="236">
        <f>+VLOOKUP(BA4,$AJ$3:$AV$140,9,FALSE)</f>
        <v>63</v>
      </c>
      <c r="BV4" s="236">
        <f>+VLOOKUP(BA4,$AJ$3:$AV$140,10,FALSE)</f>
        <v>0</v>
      </c>
      <c r="BW4" s="236">
        <f t="shared" ref="BW4:BW67" si="26">+VLOOKUP(BA4,$AJ$3:$AV$140,11,FALSE)</f>
        <v>29</v>
      </c>
      <c r="BX4" s="236">
        <f t="shared" ref="BX4:BX67" si="27">+VLOOKUP(BA4,$AJ$3:$AV$140,12,FALSE)</f>
        <v>0</v>
      </c>
      <c r="BY4" s="236">
        <f t="shared" ref="BY4:BY67" si="28">+VLOOKUP(BA4,$AJ$3:$AV$140,13,FALSE)</f>
        <v>26</v>
      </c>
      <c r="BZ4" s="236"/>
      <c r="CA4" s="275" t="s">
        <v>278</v>
      </c>
      <c r="CB4" s="272" t="str">
        <f t="shared" si="0"/>
        <v>N/A</v>
      </c>
      <c r="CC4" s="272" t="str">
        <f t="shared" si="1"/>
        <v>N/A</v>
      </c>
      <c r="CD4" s="272" t="str">
        <f t="shared" si="2"/>
        <v xml:space="preserve">Se programaron 18  Nuevos Territorios nuevos para la vigencia a los cuales se llegó con acciones por parte de las Direcciones Regionales., cumpliendo con el 100% del indicador. En las evidencias que se anexan puede verse cuales son esos 18 territorios nuevos y algunas de las acciones en los mismos.  Para Chocó y Caribe, los nuevos territorios están programados para siguientes trimestres.​
Se adjunta en carpeta compartida:  Excel con la relación de los 18 nuevos  territorios y subcarpetas con una muestra de acciones en cada uno de ellos.
</v>
      </c>
      <c r="CE4" s="284" t="str">
        <f t="shared" si="3"/>
        <v>N/A</v>
      </c>
      <c r="CF4" s="284" t="str">
        <f t="shared" si="4"/>
        <v>N/A</v>
      </c>
      <c r="CG4" s="284" t="str">
        <f t="shared" si="5"/>
        <v>N/A</v>
      </c>
      <c r="CH4" s="272" t="str">
        <f t="shared" si="6"/>
        <v>N/A</v>
      </c>
      <c r="CI4" s="211" t="str">
        <f t="shared" si="7"/>
        <v>N/A</v>
      </c>
      <c r="CJ4" s="211" t="str">
        <f t="shared" si="8"/>
        <v>N/A</v>
      </c>
      <c r="CK4" s="211" t="str">
        <f t="shared" si="9"/>
        <v>N/A</v>
      </c>
      <c r="CL4" s="211" t="str">
        <f t="shared" si="10"/>
        <v>N/A</v>
      </c>
      <c r="CM4" s="211" t="str">
        <f t="shared" si="11"/>
        <v>N/A</v>
      </c>
      <c r="CO4" s="211" t="s">
        <v>454</v>
      </c>
      <c r="CP4" s="211" t="s">
        <v>139</v>
      </c>
      <c r="CQ4" s="211" t="s">
        <v>223</v>
      </c>
      <c r="CR4" s="211" t="s">
        <v>455</v>
      </c>
      <c r="CS4" s="211" t="s">
        <v>3101</v>
      </c>
      <c r="CT4" s="211" t="s">
        <v>223</v>
      </c>
      <c r="CU4" s="211" t="str">
        <f t="shared" si="12"/>
        <v>N/A</v>
      </c>
      <c r="CV4" s="211" t="str">
        <f t="shared" si="13"/>
        <v>​Se realizó auditoria integral  en al Gestor Farmaceutico Pharmasan en el departamento de Santander, del 10 al 14 de febrero ordenada a través de Auto 202500000000134-7, las auditorias son fundamentales en el desarrollo de las acciones de IVC a nuestros vigilados y el cumplimiento al Programa de Auditorias. Se da cumplimiento al 100% de lo propuesto para el mes de febrero.</v>
      </c>
      <c r="CW4" s="211" t="str">
        <f t="shared" si="14"/>
        <v>N/A</v>
      </c>
      <c r="CX4" s="211" t="str">
        <f t="shared" si="15"/>
        <v>N/A</v>
      </c>
      <c r="CY4" s="211" t="str">
        <f t="shared" ref="CY4:CY66" si="29">+IF(CP4=$CY$1,CS4,"N/A")</f>
        <v>N/A</v>
      </c>
      <c r="CZ4" s="211" t="str">
        <f t="shared" si="16"/>
        <v>N/A</v>
      </c>
      <c r="DA4" s="211" t="str">
        <f t="shared" si="17"/>
        <v>N/A</v>
      </c>
      <c r="DB4" s="211" t="str">
        <f t="shared" si="18"/>
        <v>N/A</v>
      </c>
      <c r="DC4" s="211" t="str">
        <f t="shared" si="19"/>
        <v>N/A</v>
      </c>
      <c r="DD4" s="211" t="str">
        <f t="shared" si="20"/>
        <v>N/A</v>
      </c>
      <c r="DE4" s="211" t="str">
        <f t="shared" si="21"/>
        <v>N/A</v>
      </c>
      <c r="DF4" s="211" t="str">
        <f t="shared" si="22"/>
        <v>N/A</v>
      </c>
    </row>
    <row r="5" spans="1:110" s="211" customFormat="1" ht="409.5">
      <c r="A5" s="348" t="s">
        <v>317</v>
      </c>
      <c r="B5" s="211" t="s">
        <v>139</v>
      </c>
      <c r="C5" s="211" t="s">
        <v>324</v>
      </c>
      <c r="D5" s="211" t="s">
        <v>325</v>
      </c>
      <c r="E5" s="211" t="s">
        <v>326</v>
      </c>
      <c r="F5" s="348" t="s">
        <v>327</v>
      </c>
      <c r="G5" s="211" t="s">
        <v>157</v>
      </c>
      <c r="H5" s="211">
        <v>1</v>
      </c>
      <c r="I5" s="323">
        <v>1</v>
      </c>
      <c r="J5" s="323">
        <v>1</v>
      </c>
      <c r="K5" s="288">
        <v>1</v>
      </c>
      <c r="L5" s="211" t="s">
        <v>2805</v>
      </c>
      <c r="M5" s="211" t="b">
        <v>0</v>
      </c>
      <c r="O5" s="209" t="s">
        <v>2832</v>
      </c>
      <c r="P5" s="211" t="s">
        <v>159</v>
      </c>
      <c r="Q5" s="211" t="s">
        <v>160</v>
      </c>
      <c r="T5" s="236" t="s">
        <v>182</v>
      </c>
      <c r="U5" s="269"/>
      <c r="V5" s="269">
        <v>95</v>
      </c>
      <c r="W5" s="269"/>
      <c r="X5" s="269">
        <v>101</v>
      </c>
      <c r="Y5" s="269"/>
      <c r="Z5" s="269">
        <v>64</v>
      </c>
      <c r="AA5" s="269"/>
      <c r="AB5" s="269">
        <v>63</v>
      </c>
      <c r="AC5" s="269"/>
      <c r="AD5" s="269">
        <v>29</v>
      </c>
      <c r="AE5" s="269"/>
      <c r="AF5" s="269">
        <v>26</v>
      </c>
      <c r="AG5" s="269">
        <v>378</v>
      </c>
      <c r="AH5"/>
      <c r="AI5"/>
      <c r="AJ5" s="236" t="s">
        <v>182</v>
      </c>
      <c r="AK5" s="269"/>
      <c r="AL5" s="269">
        <v>95</v>
      </c>
      <c r="AM5" s="269"/>
      <c r="AN5" s="269">
        <v>101</v>
      </c>
      <c r="AO5" s="269"/>
      <c r="AP5" s="269">
        <v>64</v>
      </c>
      <c r="AQ5" s="269"/>
      <c r="AR5" s="269">
        <v>63</v>
      </c>
      <c r="AS5" s="269"/>
      <c r="AT5" s="269">
        <v>29</v>
      </c>
      <c r="AU5" s="269"/>
      <c r="AV5" s="269">
        <v>26</v>
      </c>
      <c r="AW5" s="269">
        <v>378</v>
      </c>
      <c r="AX5" s="236"/>
      <c r="AY5" s="236"/>
      <c r="AZ5" s="236"/>
      <c r="BA5" s="239" t="s">
        <v>188</v>
      </c>
      <c r="BB5" s="240">
        <f t="shared" ref="BB5:BB68" si="30">+VLOOKUP(BA5,$T$4:$AB$140,2,FALSE)</f>
        <v>0</v>
      </c>
      <c r="BC5" s="240">
        <f t="shared" ref="BC5:BC68" si="31">+VLOOKUP(BA5,$T$3:$AF$140,3,FALSE)</f>
        <v>0</v>
      </c>
      <c r="BD5" s="240">
        <f t="shared" ref="BD5:BD68" si="32">+VLOOKUP(BA5,$T$3:$AF$140,4,FALSE)</f>
        <v>0</v>
      </c>
      <c r="BE5" s="240">
        <f t="shared" ref="BE5:BE68" si="33">+VLOOKUP(BA5,$T$3:$AF$140,5,FALSE)</f>
        <v>0</v>
      </c>
      <c r="BF5" s="240">
        <f t="shared" ref="BF5:BF68" si="34">+VLOOKUP(BA5,$T$3:$AF$140,6,FALSE)</f>
        <v>0</v>
      </c>
      <c r="BG5" s="240">
        <f t="shared" ref="BG5:BG68" si="35">+VLOOKUP(BA5,$T$3:$AF$140,7,FALSE)</f>
        <v>132</v>
      </c>
      <c r="BH5" s="240">
        <f t="shared" ref="BH5:BH68" si="36">+VLOOKUP(BA5,$T$3:$AF$140,8,FALSE)</f>
        <v>0</v>
      </c>
      <c r="BI5" s="240">
        <f t="shared" ref="BI5:BI68" si="37">+VLOOKUP(BA5,$T$3:$AF$140,9,FALSE)</f>
        <v>0</v>
      </c>
      <c r="BJ5" s="240">
        <f t="shared" ref="BJ5:BJ68" si="38">+VLOOKUP(BA5,$T$3:$AF$140,10,FALSE)</f>
        <v>0</v>
      </c>
      <c r="BK5" s="240">
        <f t="shared" si="23"/>
        <v>0</v>
      </c>
      <c r="BL5" s="240">
        <f t="shared" si="24"/>
        <v>0</v>
      </c>
      <c r="BM5" s="240">
        <f t="shared" si="25"/>
        <v>200</v>
      </c>
      <c r="BN5" s="211">
        <f t="shared" ref="BN5:BN68" si="39">+VLOOKUP(BA5,$AJ$3:$AV$140,2,FALSE)</f>
        <v>0</v>
      </c>
      <c r="BO5" s="236">
        <f t="shared" ref="BO5:BO68" si="40">+VLOOKUP(BA5,$AJ$3:$AV$140,3,FALSE)</f>
        <v>0</v>
      </c>
      <c r="BP5" s="236">
        <f t="shared" ref="BP5:BP68" si="41">+VLOOKUP(BA5,$AJ$3:$AV$140,4,FALSE)</f>
        <v>0</v>
      </c>
      <c r="BQ5" s="236">
        <f t="shared" ref="BQ5:BQ68" si="42">+VLOOKUP(BA5,$AJ$3:$AV$140,5,FALSE)</f>
        <v>0</v>
      </c>
      <c r="BR5" s="236">
        <f t="shared" ref="BR5:BR68" si="43">+VLOOKUP(BA5,$AJ$3:$AV$140,6,FALSE)</f>
        <v>0</v>
      </c>
      <c r="BS5" s="236">
        <f t="shared" ref="BS5:BS68" si="44">+VLOOKUP(BA5,$AJ$3:$AV$140,7,FALSE)</f>
        <v>215</v>
      </c>
      <c r="BT5" s="236">
        <f t="shared" ref="BT5:BT68" si="45">+VLOOKUP(BA5,$AJ$3:$AV$140,8,FALSE)</f>
        <v>0</v>
      </c>
      <c r="BU5" s="236">
        <f t="shared" ref="BU5:BU68" si="46">+VLOOKUP(BA5,$AJ$3:$AV$140,9,FALSE)</f>
        <v>0</v>
      </c>
      <c r="BV5" s="236">
        <f t="shared" ref="BV5:BV68" si="47">+VLOOKUP(BA5,$AJ$3:$AV$140,10,FALSE)</f>
        <v>0</v>
      </c>
      <c r="BW5" s="236">
        <f t="shared" si="26"/>
        <v>0</v>
      </c>
      <c r="BX5" s="236">
        <f t="shared" si="27"/>
        <v>0</v>
      </c>
      <c r="BY5" s="236">
        <f t="shared" si="28"/>
        <v>304</v>
      </c>
      <c r="BZ5" s="236"/>
      <c r="CA5" s="275" t="s">
        <v>284</v>
      </c>
      <c r="CB5" s="272" t="str">
        <f t="shared" si="0"/>
        <v>N/A</v>
      </c>
      <c r="CC5" s="272" t="str">
        <f t="shared" si="1"/>
        <v>N/A</v>
      </c>
      <c r="CD5" s="272" t="str">
        <f t="shared" si="2"/>
        <v xml:space="preserve">​ Se anexa informe aportado por la Dirección de Inspección y Vigilancia a Generadores, recaudadores y Administradores de Recursos del SGSSS.  Este informe contiene las alertas detectadas en las acciones de IV de esa Dirección, y frente a cada una, se detalla qué acciones de seguimiento o supervisión se han realizado.
Se realiza informe de seguimiento a las alertas generadas en las acciones de Inspección y Vigilancia a Generadores, Recaudadores y Administradores de recursos del SGSSS.
En el informe, Frente a cada alerta que se encuentra abierta, se relacionan las acciones que se han realizado para su seguimiento o supervisión.
Puede evidenciarse que para cada una de las 30 alertas encontradas hay acciones de supervisión o seguimiento generadas, es decir, se tiene el 100% de cumplimiento.
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
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  
</v>
      </c>
      <c r="CE5" s="284" t="str">
        <f t="shared" si="3"/>
        <v>N/A</v>
      </c>
      <c r="CF5" s="284" t="str">
        <f t="shared" si="4"/>
        <v>N/A</v>
      </c>
      <c r="CG5" s="284" t="str">
        <f t="shared" si="5"/>
        <v>N/A</v>
      </c>
      <c r="CH5" s="272" t="str">
        <f t="shared" si="6"/>
        <v>N/A</v>
      </c>
      <c r="CI5" s="211" t="str">
        <f t="shared" si="7"/>
        <v>N/A</v>
      </c>
      <c r="CJ5" s="211" t="str">
        <f t="shared" si="8"/>
        <v>N/A</v>
      </c>
      <c r="CK5" s="211" t="str">
        <f t="shared" si="9"/>
        <v>N/A</v>
      </c>
      <c r="CL5" s="211" t="str">
        <f t="shared" si="10"/>
        <v>N/A</v>
      </c>
      <c r="CM5" s="211" t="str">
        <f t="shared" si="11"/>
        <v>N/A</v>
      </c>
      <c r="CO5" s="211" t="s">
        <v>317</v>
      </c>
      <c r="CP5" s="211" t="s">
        <v>139</v>
      </c>
      <c r="CQ5" s="211" t="s">
        <v>324</v>
      </c>
      <c r="CR5" s="211" t="s">
        <v>325</v>
      </c>
      <c r="CS5" s="211" t="s">
        <v>2805</v>
      </c>
      <c r="CT5" s="211" t="s">
        <v>324</v>
      </c>
      <c r="CU5" s="211" t="str">
        <f t="shared" si="12"/>
        <v>N/A</v>
      </c>
      <c r="CV5" s="211" t="str">
        <f t="shared" si="13"/>
        <v>​Durante el primer trimestre de 2025 fue publicado el nuevo formato de boletín (Magazine Jurídico) correspondiente al último trimestre de 2024, en este se hizo una recopilación de los conceptos más relevantes emitidos por la Dirección Jurídica sobre el tema de medicamentos.</v>
      </c>
      <c r="CW5" s="211" t="str">
        <f t="shared" si="14"/>
        <v>N/A</v>
      </c>
      <c r="CX5" s="211" t="str">
        <f t="shared" si="15"/>
        <v>N/A</v>
      </c>
      <c r="CY5" s="211" t="str">
        <f t="shared" si="29"/>
        <v>N/A</v>
      </c>
      <c r="CZ5" s="211" t="str">
        <f t="shared" si="16"/>
        <v>N/A</v>
      </c>
      <c r="DA5" s="211" t="str">
        <f t="shared" si="17"/>
        <v>N/A</v>
      </c>
      <c r="DB5" s="211" t="str">
        <f t="shared" si="18"/>
        <v>N/A</v>
      </c>
      <c r="DC5" s="211" t="str">
        <f t="shared" si="19"/>
        <v>N/A</v>
      </c>
      <c r="DD5" s="211" t="str">
        <f t="shared" si="20"/>
        <v>N/A</v>
      </c>
      <c r="DE5" s="211" t="str">
        <f t="shared" si="21"/>
        <v>N/A</v>
      </c>
      <c r="DF5" s="211" t="str">
        <f t="shared" si="22"/>
        <v>N/A</v>
      </c>
    </row>
    <row r="6" spans="1:110" s="211" customFormat="1" ht="409.5">
      <c r="A6" s="348" t="s">
        <v>317</v>
      </c>
      <c r="B6" s="211" t="s">
        <v>139</v>
      </c>
      <c r="C6" s="211" t="s">
        <v>330</v>
      </c>
      <c r="D6" s="211" t="s">
        <v>331</v>
      </c>
      <c r="E6" s="211" t="s">
        <v>332</v>
      </c>
      <c r="F6" s="348" t="s">
        <v>333</v>
      </c>
      <c r="G6" s="211" t="s">
        <v>157</v>
      </c>
      <c r="H6" s="211">
        <v>1</v>
      </c>
      <c r="I6" s="323">
        <v>1</v>
      </c>
      <c r="J6" s="323">
        <v>1</v>
      </c>
      <c r="K6" s="288">
        <f>+I6/J6</f>
        <v>1</v>
      </c>
      <c r="L6" s="211" t="s">
        <v>3102</v>
      </c>
      <c r="M6" s="211" t="b">
        <v>0</v>
      </c>
      <c r="O6" s="209" t="s">
        <v>2832</v>
      </c>
      <c r="P6" s="211" t="s">
        <v>159</v>
      </c>
      <c r="Q6" s="211" t="s">
        <v>160</v>
      </c>
      <c r="T6" s="236" t="s">
        <v>188</v>
      </c>
      <c r="U6" s="269"/>
      <c r="V6" s="269"/>
      <c r="W6" s="269"/>
      <c r="X6" s="269"/>
      <c r="Y6" s="269"/>
      <c r="Z6" s="269">
        <v>132</v>
      </c>
      <c r="AA6" s="269"/>
      <c r="AB6" s="269"/>
      <c r="AC6" s="269"/>
      <c r="AD6" s="269"/>
      <c r="AE6" s="269"/>
      <c r="AF6" s="269">
        <v>200</v>
      </c>
      <c r="AG6" s="269">
        <v>332</v>
      </c>
      <c r="AH6"/>
      <c r="AI6"/>
      <c r="AJ6" s="236" t="s">
        <v>188</v>
      </c>
      <c r="AK6" s="269"/>
      <c r="AL6" s="269"/>
      <c r="AM6" s="269"/>
      <c r="AN6" s="269"/>
      <c r="AO6" s="269"/>
      <c r="AP6" s="269">
        <v>215</v>
      </c>
      <c r="AQ6" s="269"/>
      <c r="AR6" s="269"/>
      <c r="AS6" s="269"/>
      <c r="AT6" s="269"/>
      <c r="AU6" s="269"/>
      <c r="AV6" s="269">
        <v>304</v>
      </c>
      <c r="AW6" s="269">
        <v>519</v>
      </c>
      <c r="AX6" s="236"/>
      <c r="AY6" s="236"/>
      <c r="AZ6" s="236"/>
      <c r="BA6" s="239" t="s">
        <v>196</v>
      </c>
      <c r="BB6" s="240">
        <f t="shared" si="30"/>
        <v>0</v>
      </c>
      <c r="BC6" s="240">
        <f t="shared" si="31"/>
        <v>0</v>
      </c>
      <c r="BD6" s="240">
        <f t="shared" si="32"/>
        <v>0</v>
      </c>
      <c r="BE6" s="240">
        <f t="shared" si="33"/>
        <v>0</v>
      </c>
      <c r="BF6" s="240">
        <f t="shared" si="34"/>
        <v>0</v>
      </c>
      <c r="BG6" s="240">
        <f t="shared" si="35"/>
        <v>2</v>
      </c>
      <c r="BH6" s="240">
        <f t="shared" si="36"/>
        <v>0</v>
      </c>
      <c r="BI6" s="240">
        <f t="shared" si="37"/>
        <v>0</v>
      </c>
      <c r="BJ6" s="240">
        <f t="shared" si="38"/>
        <v>0</v>
      </c>
      <c r="BK6" s="240">
        <f t="shared" si="23"/>
        <v>0</v>
      </c>
      <c r="BL6" s="240">
        <f t="shared" si="24"/>
        <v>0</v>
      </c>
      <c r="BM6" s="240">
        <f t="shared" si="25"/>
        <v>4</v>
      </c>
      <c r="BN6" s="211">
        <f t="shared" si="39"/>
        <v>0</v>
      </c>
      <c r="BO6" s="236">
        <f t="shared" si="40"/>
        <v>0</v>
      </c>
      <c r="BP6" s="236">
        <f t="shared" si="41"/>
        <v>0</v>
      </c>
      <c r="BQ6" s="236">
        <f t="shared" si="42"/>
        <v>0</v>
      </c>
      <c r="BR6" s="236">
        <f t="shared" si="43"/>
        <v>0</v>
      </c>
      <c r="BS6" s="236">
        <f t="shared" si="44"/>
        <v>4</v>
      </c>
      <c r="BT6" s="236">
        <f t="shared" si="45"/>
        <v>0</v>
      </c>
      <c r="BU6" s="236">
        <f t="shared" si="46"/>
        <v>0</v>
      </c>
      <c r="BV6" s="236">
        <f t="shared" si="47"/>
        <v>0</v>
      </c>
      <c r="BW6" s="236">
        <f t="shared" si="26"/>
        <v>0</v>
      </c>
      <c r="BX6" s="236">
        <f t="shared" si="27"/>
        <v>0</v>
      </c>
      <c r="BY6" s="236">
        <f t="shared" si="28"/>
        <v>7</v>
      </c>
      <c r="BZ6" s="236"/>
      <c r="CA6" s="275" t="s">
        <v>289</v>
      </c>
      <c r="CB6" s="272" t="str">
        <f t="shared" si="0"/>
        <v>N/A</v>
      </c>
      <c r="CC6" s="272" t="str">
        <f t="shared" si="1"/>
        <v>N/A</v>
      </c>
      <c r="CD6" s="272" t="str">
        <f t="shared" si="2"/>
        <v xml:space="preserve">Inicialmente se programó activiar la red en un solo territorio para el primer trimestre, sin embargo se reprogramaron acciones para agilizar el tema por la importancia que reviste la red de controladores.  
En este sentido se activó la redes en 5 departamentos adelantando lo que se tenía planeado para meses siguientes.  La meta anual es de 10 departamentos con red activada.​
Se adjunta: Carpeta compartida con  subcarpetas por departamento donde se activó la red de controladores.  En cada subcarpeta pueden verse actas, listas de asistencia entre otras evidencias que enmarcan la activación de la red en cada uno de estos territorios. 
La red de controladores se ha activado en 5 nuevos departamentos de acuerdo a lo planeado.  Como la meta es 10 para el año, haber avanzado con 5 este primer trimestre se considera un buen reporte.  Estos departamentos son:
* Caldas
* Risaralda
* Quindío
* Boyacá
* Guajira
Adicionalmente se adjunta evidencia de una reunión de articulación de la red a nivel nacional.
</v>
      </c>
      <c r="CE6" s="284" t="str">
        <f t="shared" si="3"/>
        <v>N/A</v>
      </c>
      <c r="CF6" s="284" t="str">
        <f t="shared" si="4"/>
        <v>N/A</v>
      </c>
      <c r="CG6" s="284" t="str">
        <f t="shared" si="5"/>
        <v>N/A</v>
      </c>
      <c r="CH6" s="272" t="str">
        <f t="shared" si="6"/>
        <v>N/A</v>
      </c>
      <c r="CI6" s="211" t="str">
        <f t="shared" si="7"/>
        <v>N/A</v>
      </c>
      <c r="CJ6" s="211" t="str">
        <f t="shared" si="8"/>
        <v>N/A</v>
      </c>
      <c r="CK6" s="211" t="str">
        <f t="shared" si="9"/>
        <v>N/A</v>
      </c>
      <c r="CL6" s="211" t="str">
        <f t="shared" si="10"/>
        <v>N/A</v>
      </c>
      <c r="CM6" s="211" t="str">
        <f t="shared" si="11"/>
        <v>N/A</v>
      </c>
      <c r="CO6" s="211" t="s">
        <v>317</v>
      </c>
      <c r="CP6" s="211" t="s">
        <v>139</v>
      </c>
      <c r="CQ6" s="211" t="s">
        <v>330</v>
      </c>
      <c r="CR6" s="211" t="s">
        <v>331</v>
      </c>
      <c r="CS6" s="211" t="s">
        <v>3102</v>
      </c>
      <c r="CT6" s="211" t="s">
        <v>330</v>
      </c>
      <c r="CU6" s="211" t="str">
        <f t="shared" si="12"/>
        <v>N/A</v>
      </c>
      <c r="CV6" s="211" t="str">
        <f t="shared" si="13"/>
        <v>​Para el primer trimestre de 2025 se llevao a cabo 1 reunion entre la Dirección Jurídica y la Dirección de Innovación y Desarrollo respecto de la implementación de la politica de mejora normativa al interior de la Superintendencia y en la que además se recopilaron datos al respecto para reporte FURAG. Adicionalmente, se realizarón 2 reuniones más del equipo de política de mejora normativa al interior de la Dirección Jurídica</v>
      </c>
      <c r="CW6" s="211" t="str">
        <f t="shared" si="14"/>
        <v>N/A</v>
      </c>
      <c r="CX6" s="211" t="str">
        <f t="shared" si="15"/>
        <v>N/A</v>
      </c>
      <c r="CY6" s="211" t="str">
        <f t="shared" si="29"/>
        <v>N/A</v>
      </c>
      <c r="CZ6" s="211" t="str">
        <f t="shared" si="16"/>
        <v>N/A</v>
      </c>
      <c r="DA6" s="211" t="str">
        <f t="shared" si="17"/>
        <v>N/A</v>
      </c>
      <c r="DB6" s="211" t="str">
        <f t="shared" si="18"/>
        <v>N/A</v>
      </c>
      <c r="DC6" s="211" t="str">
        <f t="shared" si="19"/>
        <v>N/A</v>
      </c>
      <c r="DD6" s="211" t="str">
        <f t="shared" si="20"/>
        <v>N/A</v>
      </c>
      <c r="DE6" s="211" t="str">
        <f t="shared" si="21"/>
        <v>N/A</v>
      </c>
      <c r="DF6" s="211" t="str">
        <f t="shared" si="22"/>
        <v>N/A</v>
      </c>
    </row>
    <row r="7" spans="1:110" s="211" customFormat="1" ht="409.5">
      <c r="A7" s="348" t="s">
        <v>607</v>
      </c>
      <c r="B7" s="211" t="s">
        <v>139</v>
      </c>
      <c r="C7" s="211" t="s">
        <v>520</v>
      </c>
      <c r="D7" s="211" t="s">
        <v>608</v>
      </c>
      <c r="E7" s="211" t="s">
        <v>609</v>
      </c>
      <c r="F7" s="348" t="s">
        <v>610</v>
      </c>
      <c r="G7" s="211" t="s">
        <v>178</v>
      </c>
      <c r="H7" s="321">
        <v>0.98</v>
      </c>
      <c r="I7" s="324">
        <v>0.97</v>
      </c>
      <c r="J7" s="325">
        <v>1</v>
      </c>
      <c r="K7" s="289">
        <v>0.97</v>
      </c>
      <c r="L7" s="211" t="s">
        <v>2819</v>
      </c>
      <c r="M7" s="211" t="b">
        <v>0</v>
      </c>
      <c r="O7" s="209" t="s">
        <v>2832</v>
      </c>
      <c r="P7" s="211" t="s">
        <v>159</v>
      </c>
      <c r="Q7" s="211" t="s">
        <v>160</v>
      </c>
      <c r="T7" s="236" t="s">
        <v>196</v>
      </c>
      <c r="U7" s="269"/>
      <c r="V7" s="269"/>
      <c r="W7" s="269"/>
      <c r="X7" s="269"/>
      <c r="Y7" s="269"/>
      <c r="Z7" s="269">
        <v>2</v>
      </c>
      <c r="AA7" s="269"/>
      <c r="AB7" s="269"/>
      <c r="AC7" s="269"/>
      <c r="AD7" s="269"/>
      <c r="AE7" s="269"/>
      <c r="AF7" s="269">
        <v>4</v>
      </c>
      <c r="AG7" s="269">
        <v>6</v>
      </c>
      <c r="AH7"/>
      <c r="AI7"/>
      <c r="AJ7" s="236" t="s">
        <v>196</v>
      </c>
      <c r="AK7" s="269"/>
      <c r="AL7" s="269"/>
      <c r="AM7" s="269"/>
      <c r="AN7" s="269"/>
      <c r="AO7" s="269"/>
      <c r="AP7" s="269">
        <v>4</v>
      </c>
      <c r="AQ7" s="269"/>
      <c r="AR7" s="269"/>
      <c r="AS7" s="269"/>
      <c r="AT7" s="269"/>
      <c r="AU7" s="269"/>
      <c r="AV7" s="269">
        <v>7</v>
      </c>
      <c r="AW7" s="269">
        <v>11</v>
      </c>
      <c r="AX7" s="236"/>
      <c r="AY7" s="236"/>
      <c r="AZ7" s="236"/>
      <c r="BA7" s="239" t="s">
        <v>200</v>
      </c>
      <c r="BB7" s="240">
        <f t="shared" si="30"/>
        <v>0</v>
      </c>
      <c r="BC7" s="240">
        <f t="shared" si="31"/>
        <v>0</v>
      </c>
      <c r="BD7" s="240">
        <f t="shared" si="32"/>
        <v>19</v>
      </c>
      <c r="BE7" s="240">
        <f t="shared" si="33"/>
        <v>0</v>
      </c>
      <c r="BF7" s="240">
        <f t="shared" si="34"/>
        <v>0</v>
      </c>
      <c r="BG7" s="240">
        <f t="shared" si="35"/>
        <v>18</v>
      </c>
      <c r="BH7" s="240">
        <f t="shared" si="36"/>
        <v>0</v>
      </c>
      <c r="BI7" s="240">
        <f t="shared" si="37"/>
        <v>0</v>
      </c>
      <c r="BJ7" s="240">
        <f t="shared" si="38"/>
        <v>12</v>
      </c>
      <c r="BK7" s="240">
        <f t="shared" si="23"/>
        <v>0</v>
      </c>
      <c r="BL7" s="240">
        <f t="shared" si="24"/>
        <v>0</v>
      </c>
      <c r="BM7" s="240">
        <f t="shared" si="25"/>
        <v>24</v>
      </c>
      <c r="BN7" s="211">
        <f t="shared" si="39"/>
        <v>0</v>
      </c>
      <c r="BO7" s="236">
        <f t="shared" si="40"/>
        <v>0</v>
      </c>
      <c r="BP7" s="236">
        <f t="shared" si="41"/>
        <v>19</v>
      </c>
      <c r="BQ7" s="236">
        <f t="shared" si="42"/>
        <v>0</v>
      </c>
      <c r="BR7" s="236">
        <f t="shared" si="43"/>
        <v>0</v>
      </c>
      <c r="BS7" s="236">
        <f t="shared" si="44"/>
        <v>17</v>
      </c>
      <c r="BT7" s="236">
        <f t="shared" si="45"/>
        <v>0</v>
      </c>
      <c r="BU7" s="236">
        <f t="shared" si="46"/>
        <v>0</v>
      </c>
      <c r="BV7" s="236">
        <f t="shared" si="47"/>
        <v>12</v>
      </c>
      <c r="BW7" s="236">
        <f t="shared" si="26"/>
        <v>0</v>
      </c>
      <c r="BX7" s="236">
        <f t="shared" si="27"/>
        <v>0</v>
      </c>
      <c r="BY7" s="236">
        <f t="shared" si="28"/>
        <v>16</v>
      </c>
      <c r="BZ7" s="236"/>
      <c r="CA7" s="275" t="s">
        <v>221</v>
      </c>
      <c r="CB7" s="272" t="str">
        <f t="shared" si="0"/>
        <v>N/A</v>
      </c>
      <c r="CC7" s="272" t="str">
        <f t="shared" si="1"/>
        <v>N/A</v>
      </c>
      <c r="CD7" s="272" t="str">
        <f t="shared" si="2"/>
        <v>N/A</v>
      </c>
      <c r="CE7" s="284" t="str">
        <f t="shared" si="3"/>
        <v xml:space="preserve">​Se realizaron 4 auditorías en el cuatrimestre.
 Dos de estas auditorías fueron compartidas con la Delegada de Aseguramiento quien ordenó las mismas, sin embargo, como puede evidenciarse en los autos, funcionarios de la Delegada para Entidades Territoriales trabajaron como auditores en tales auditorías junto con funcionarios de la Delegada de Aseguramiento.
Las auditorías fueron en: * Departamento delQuindío, Secretaría Departamental de Salud
* CAJA DECOMPENSACIÓN FAMILIAR DEL ORIENTE COLOMBIANO “COMFAORIENTE EPSS” (Compartida)
* Municipio de Neiva, Secretaría de Salud.
* Mutual Ser (Compartida)
La meta no se cumplió puesto que desde la delegada para entidades territoriales surgieron otras actividades de Inspección y vigilancia que requirieron atención inmediata.  Además, se tiene planeado realizar en los próximos meses, las auditorías que no se lograron en este cuatrimestre, con lo que la Delegada se pondrá al día en este indicador en próximos períodos.
</v>
      </c>
      <c r="CF7" s="284" t="str">
        <f t="shared" si="4"/>
        <v>N/A</v>
      </c>
      <c r="CG7" s="284" t="str">
        <f t="shared" si="5"/>
        <v>N/A</v>
      </c>
      <c r="CH7" s="272" t="str">
        <f t="shared" si="6"/>
        <v>N/A</v>
      </c>
      <c r="CI7" s="211" t="str">
        <f t="shared" si="7"/>
        <v>N/A</v>
      </c>
      <c r="CJ7" s="211" t="str">
        <f t="shared" si="8"/>
        <v>N/A</v>
      </c>
      <c r="CK7" s="211" t="str">
        <f t="shared" si="9"/>
        <v>N/A</v>
      </c>
      <c r="CL7" s="211" t="str">
        <f t="shared" si="10"/>
        <v>N/A</v>
      </c>
      <c r="CM7" s="211" t="str">
        <f t="shared" si="11"/>
        <v>N/A</v>
      </c>
      <c r="CO7" s="211" t="s">
        <v>607</v>
      </c>
      <c r="CP7" s="211" t="s">
        <v>139</v>
      </c>
      <c r="CQ7" s="211" t="s">
        <v>520</v>
      </c>
      <c r="CR7" s="211" t="s">
        <v>608</v>
      </c>
      <c r="CS7" s="211" t="s">
        <v>2819</v>
      </c>
      <c r="CT7" s="211" t="s">
        <v>520</v>
      </c>
      <c r="CU7" s="211" t="str">
        <f t="shared" si="12"/>
        <v>N/A</v>
      </c>
      <c r="CV7" s="211" t="str">
        <f t="shared" si="13"/>
        <v xml:space="preserve">Durante el cuarto trimestre del año 2024, se elaboró el informe de seguimiento de los planes institucionales PAG, evidenciando que el 97% de las metas establecidas por las dependencias fueron cumplidas. Estos resultados reflejan un avance significativo hacia el logro de los objetivos propuestos por la entidad.
</v>
      </c>
      <c r="CW7" s="211" t="str">
        <f t="shared" si="14"/>
        <v>N/A</v>
      </c>
      <c r="CX7" s="211" t="str">
        <f t="shared" si="15"/>
        <v>N/A</v>
      </c>
      <c r="CY7" s="211" t="str">
        <f t="shared" si="29"/>
        <v>N/A</v>
      </c>
      <c r="CZ7" s="211" t="str">
        <f t="shared" si="16"/>
        <v>N/A</v>
      </c>
      <c r="DA7" s="211" t="str">
        <f t="shared" si="17"/>
        <v>N/A</v>
      </c>
      <c r="DB7" s="211" t="str">
        <f t="shared" si="18"/>
        <v>N/A</v>
      </c>
      <c r="DC7" s="211" t="str">
        <f t="shared" si="19"/>
        <v>N/A</v>
      </c>
      <c r="DD7" s="211" t="str">
        <f t="shared" si="20"/>
        <v>N/A</v>
      </c>
      <c r="DE7" s="211" t="str">
        <f t="shared" si="21"/>
        <v>N/A</v>
      </c>
      <c r="DF7" s="211" t="str">
        <f t="shared" si="22"/>
        <v>N/A</v>
      </c>
    </row>
    <row r="8" spans="1:110" s="211" customFormat="1" ht="191.25">
      <c r="A8" s="348" t="s">
        <v>190</v>
      </c>
      <c r="B8" s="211" t="s">
        <v>139</v>
      </c>
      <c r="C8" s="211" t="s">
        <v>182</v>
      </c>
      <c r="D8" s="211" t="s">
        <v>620</v>
      </c>
      <c r="E8" s="211" t="s">
        <v>621</v>
      </c>
      <c r="F8" s="348" t="s">
        <v>622</v>
      </c>
      <c r="G8" s="211" t="s">
        <v>178</v>
      </c>
      <c r="H8" s="211">
        <v>0.15</v>
      </c>
      <c r="I8" s="323">
        <v>95</v>
      </c>
      <c r="J8" s="323">
        <v>95</v>
      </c>
      <c r="K8" s="288">
        <v>1</v>
      </c>
      <c r="L8" s="211" t="s">
        <v>623</v>
      </c>
      <c r="M8" s="211" t="b">
        <v>0</v>
      </c>
      <c r="O8" s="209" t="s">
        <v>2832</v>
      </c>
      <c r="P8" s="211" t="s">
        <v>159</v>
      </c>
      <c r="Q8" s="211" t="s">
        <v>160</v>
      </c>
      <c r="T8" s="236" t="s">
        <v>200</v>
      </c>
      <c r="U8" s="269"/>
      <c r="V8" s="269"/>
      <c r="W8" s="269">
        <v>19</v>
      </c>
      <c r="X8" s="269"/>
      <c r="Y8" s="269"/>
      <c r="Z8" s="269">
        <v>18</v>
      </c>
      <c r="AA8" s="269"/>
      <c r="AB8" s="269"/>
      <c r="AC8" s="269">
        <v>12</v>
      </c>
      <c r="AD8" s="269"/>
      <c r="AE8" s="269"/>
      <c r="AF8" s="269">
        <v>24</v>
      </c>
      <c r="AG8" s="269">
        <v>73</v>
      </c>
      <c r="AH8"/>
      <c r="AI8"/>
      <c r="AJ8" s="236" t="s">
        <v>200</v>
      </c>
      <c r="AK8" s="269"/>
      <c r="AL8" s="269"/>
      <c r="AM8" s="269">
        <v>19</v>
      </c>
      <c r="AN8" s="269"/>
      <c r="AO8" s="269"/>
      <c r="AP8" s="269">
        <v>17</v>
      </c>
      <c r="AQ8" s="269"/>
      <c r="AR8" s="269"/>
      <c r="AS8" s="269">
        <v>12</v>
      </c>
      <c r="AT8" s="269"/>
      <c r="AU8" s="269"/>
      <c r="AV8" s="269">
        <v>16</v>
      </c>
      <c r="AW8" s="269">
        <v>64</v>
      </c>
      <c r="AX8" s="236"/>
      <c r="AY8" s="236"/>
      <c r="AZ8" s="236"/>
      <c r="BA8" s="239" t="s">
        <v>204</v>
      </c>
      <c r="BB8" s="240">
        <f t="shared" si="30"/>
        <v>0</v>
      </c>
      <c r="BC8" s="240">
        <f t="shared" si="31"/>
        <v>0</v>
      </c>
      <c r="BD8" s="240">
        <f t="shared" si="32"/>
        <v>88</v>
      </c>
      <c r="BE8" s="240">
        <f t="shared" si="33"/>
        <v>0</v>
      </c>
      <c r="BF8" s="240">
        <f t="shared" si="34"/>
        <v>0</v>
      </c>
      <c r="BG8" s="240">
        <f t="shared" si="35"/>
        <v>75</v>
      </c>
      <c r="BH8" s="240">
        <f t="shared" si="36"/>
        <v>0</v>
      </c>
      <c r="BI8" s="240">
        <f t="shared" si="37"/>
        <v>0</v>
      </c>
      <c r="BJ8" s="240">
        <f t="shared" si="38"/>
        <v>73</v>
      </c>
      <c r="BK8" s="240">
        <f t="shared" si="23"/>
        <v>0</v>
      </c>
      <c r="BL8" s="240">
        <f t="shared" si="24"/>
        <v>0</v>
      </c>
      <c r="BM8" s="240">
        <f t="shared" si="25"/>
        <v>50</v>
      </c>
      <c r="BN8" s="211">
        <f t="shared" si="39"/>
        <v>0</v>
      </c>
      <c r="BO8" s="236">
        <f t="shared" si="40"/>
        <v>0</v>
      </c>
      <c r="BP8" s="236">
        <f t="shared" si="41"/>
        <v>88</v>
      </c>
      <c r="BQ8" s="236">
        <f t="shared" si="42"/>
        <v>0</v>
      </c>
      <c r="BR8" s="236">
        <f t="shared" si="43"/>
        <v>0</v>
      </c>
      <c r="BS8" s="236">
        <f t="shared" si="44"/>
        <v>77</v>
      </c>
      <c r="BT8" s="236">
        <f t="shared" si="45"/>
        <v>0</v>
      </c>
      <c r="BU8" s="236">
        <f t="shared" si="46"/>
        <v>0</v>
      </c>
      <c r="BV8" s="236">
        <f t="shared" si="47"/>
        <v>73</v>
      </c>
      <c r="BW8" s="236">
        <f t="shared" si="26"/>
        <v>0</v>
      </c>
      <c r="BX8" s="236">
        <f t="shared" si="27"/>
        <v>0</v>
      </c>
      <c r="BY8" s="236">
        <f t="shared" si="28"/>
        <v>50</v>
      </c>
      <c r="BZ8" s="236"/>
      <c r="CA8" s="275" t="s">
        <v>225</v>
      </c>
      <c r="CB8" s="272" t="str">
        <f t="shared" si="0"/>
        <v>N/A</v>
      </c>
      <c r="CC8" s="272" t="str">
        <f t="shared" si="1"/>
        <v>N/A</v>
      </c>
      <c r="CD8" s="272" t="str">
        <f t="shared" si="2"/>
        <v xml:space="preserve">​Se realiza el seguimiento programado para el período.  En este caso al municipio de Dabeiba Antioquia.
Se adjuntan las evidencias de seguimiento.
</v>
      </c>
      <c r="CE8" s="284" t="str">
        <f t="shared" si="3"/>
        <v>N/A</v>
      </c>
      <c r="CF8" s="284" t="str">
        <f t="shared" si="4"/>
        <v>N/A</v>
      </c>
      <c r="CG8" s="284" t="str">
        <f t="shared" si="5"/>
        <v>N/A</v>
      </c>
      <c r="CH8" s="272" t="str">
        <f t="shared" si="6"/>
        <v>N/A</v>
      </c>
      <c r="CI8" s="211" t="str">
        <f t="shared" si="7"/>
        <v>N/A</v>
      </c>
      <c r="CJ8" s="211" t="str">
        <f t="shared" si="8"/>
        <v>N/A</v>
      </c>
      <c r="CK8" s="211" t="str">
        <f t="shared" si="9"/>
        <v>N/A</v>
      </c>
      <c r="CL8" s="211" t="str">
        <f t="shared" si="10"/>
        <v>N/A</v>
      </c>
      <c r="CM8" s="211" t="str">
        <f t="shared" si="11"/>
        <v>N/A</v>
      </c>
      <c r="CO8" s="211" t="s">
        <v>190</v>
      </c>
      <c r="CP8" s="211" t="s">
        <v>139</v>
      </c>
      <c r="CQ8" s="211" t="s">
        <v>182</v>
      </c>
      <c r="CR8" s="211" t="s">
        <v>620</v>
      </c>
      <c r="CS8" s="211" t="s">
        <v>623</v>
      </c>
      <c r="CT8" s="211" t="s">
        <v>182</v>
      </c>
      <c r="CU8" s="211" t="str">
        <f t="shared" si="12"/>
        <v>N/A</v>
      </c>
      <c r="CV8" s="211" t="str">
        <f t="shared" si="13"/>
        <v xml:space="preserve">​De las (95) noticias disciplinarias (Quejas, informe de servidor público o de oficio) recibidas en el primer bimestre de 2025 (Enero - Febrero), se adelantaron las siguientes actuaciones: 31 (33%) Aperturas de indagación Previa; 47 (49%) Autos Inhibitorios; 8 (8%) Traslados por competencia y 9 (9%) Aperturas de Investigación Disciplinaria, profiriendo igual número de autos por el Coordinador del Grupo de Instrucción Disciplinaria en el periodo.
</v>
      </c>
      <c r="CW8" s="211" t="str">
        <f t="shared" si="14"/>
        <v>N/A</v>
      </c>
      <c r="CX8" s="211" t="str">
        <f t="shared" si="15"/>
        <v>N/A</v>
      </c>
      <c r="CY8" s="211" t="str">
        <f t="shared" si="29"/>
        <v>N/A</v>
      </c>
      <c r="CZ8" s="211" t="str">
        <f t="shared" si="16"/>
        <v>N/A</v>
      </c>
      <c r="DA8" s="211" t="str">
        <f t="shared" si="17"/>
        <v>N/A</v>
      </c>
      <c r="DB8" s="211" t="str">
        <f t="shared" si="18"/>
        <v>N/A</v>
      </c>
      <c r="DC8" s="211" t="str">
        <f t="shared" si="19"/>
        <v>N/A</v>
      </c>
      <c r="DD8" s="211" t="str">
        <f t="shared" si="20"/>
        <v>N/A</v>
      </c>
      <c r="DE8" s="211" t="str">
        <f t="shared" si="21"/>
        <v>N/A</v>
      </c>
      <c r="DF8" s="211" t="str">
        <f t="shared" si="22"/>
        <v>N/A</v>
      </c>
    </row>
    <row r="9" spans="1:110" s="211" customFormat="1" ht="360">
      <c r="A9" s="348" t="s">
        <v>190</v>
      </c>
      <c r="B9" s="211" t="s">
        <v>139</v>
      </c>
      <c r="C9" s="211" t="s">
        <v>216</v>
      </c>
      <c r="D9" s="211" t="s">
        <v>217</v>
      </c>
      <c r="E9" s="211" t="s">
        <v>218</v>
      </c>
      <c r="F9" s="348" t="s">
        <v>219</v>
      </c>
      <c r="G9" s="211" t="s">
        <v>178</v>
      </c>
      <c r="H9" s="211">
        <v>1</v>
      </c>
      <c r="I9" s="323">
        <v>129</v>
      </c>
      <c r="J9" s="323">
        <v>129</v>
      </c>
      <c r="K9" s="288">
        <v>1</v>
      </c>
      <c r="L9" s="211" t="s">
        <v>222</v>
      </c>
      <c r="M9" s="211" t="b">
        <v>0</v>
      </c>
      <c r="O9" s="209" t="s">
        <v>2832</v>
      </c>
      <c r="P9" s="211" t="s">
        <v>159</v>
      </c>
      <c r="Q9" s="211" t="s">
        <v>160</v>
      </c>
      <c r="T9" s="236" t="s">
        <v>204</v>
      </c>
      <c r="U9" s="269"/>
      <c r="V9" s="269"/>
      <c r="W9" s="269">
        <v>88</v>
      </c>
      <c r="X9" s="269"/>
      <c r="Y9" s="269"/>
      <c r="Z9" s="269">
        <v>75</v>
      </c>
      <c r="AA9" s="269"/>
      <c r="AB9" s="269"/>
      <c r="AC9" s="269">
        <v>73</v>
      </c>
      <c r="AD9" s="269"/>
      <c r="AE9" s="269"/>
      <c r="AF9" s="269">
        <v>50</v>
      </c>
      <c r="AG9" s="269">
        <v>286</v>
      </c>
      <c r="AH9"/>
      <c r="AI9"/>
      <c r="AJ9" s="236" t="s">
        <v>204</v>
      </c>
      <c r="AK9" s="269"/>
      <c r="AL9" s="269"/>
      <c r="AM9" s="269">
        <v>88</v>
      </c>
      <c r="AN9" s="269"/>
      <c r="AO9" s="269"/>
      <c r="AP9" s="269">
        <v>77</v>
      </c>
      <c r="AQ9" s="269"/>
      <c r="AR9" s="269"/>
      <c r="AS9" s="269">
        <v>73</v>
      </c>
      <c r="AT9" s="269"/>
      <c r="AU9" s="269"/>
      <c r="AV9" s="269">
        <v>50</v>
      </c>
      <c r="AW9" s="269">
        <v>288</v>
      </c>
      <c r="AX9" s="236"/>
      <c r="AY9" s="236"/>
      <c r="AZ9" s="236"/>
      <c r="BA9" s="239" t="s">
        <v>214</v>
      </c>
      <c r="BB9" s="240">
        <f t="shared" si="30"/>
        <v>0</v>
      </c>
      <c r="BC9" s="240">
        <f t="shared" si="31"/>
        <v>0</v>
      </c>
      <c r="BD9" s="240">
        <f t="shared" si="32"/>
        <v>33</v>
      </c>
      <c r="BE9" s="240">
        <f t="shared" si="33"/>
        <v>0</v>
      </c>
      <c r="BF9" s="240">
        <f t="shared" si="34"/>
        <v>0</v>
      </c>
      <c r="BG9" s="240">
        <f t="shared" si="35"/>
        <v>33</v>
      </c>
      <c r="BH9" s="240">
        <f t="shared" si="36"/>
        <v>0</v>
      </c>
      <c r="BI9" s="240">
        <f t="shared" si="37"/>
        <v>0</v>
      </c>
      <c r="BJ9" s="240">
        <f t="shared" si="38"/>
        <v>26</v>
      </c>
      <c r="BK9" s="240">
        <f t="shared" si="23"/>
        <v>0</v>
      </c>
      <c r="BL9" s="240">
        <f t="shared" si="24"/>
        <v>0</v>
      </c>
      <c r="BM9" s="240">
        <f t="shared" si="25"/>
        <v>28</v>
      </c>
      <c r="BN9" s="211">
        <f t="shared" si="39"/>
        <v>0</v>
      </c>
      <c r="BO9" s="236">
        <f t="shared" si="40"/>
        <v>0</v>
      </c>
      <c r="BP9" s="236">
        <f t="shared" si="41"/>
        <v>27</v>
      </c>
      <c r="BQ9" s="236">
        <f t="shared" si="42"/>
        <v>0</v>
      </c>
      <c r="BR9" s="236">
        <f t="shared" si="43"/>
        <v>0</v>
      </c>
      <c r="BS9" s="236">
        <f t="shared" si="44"/>
        <v>38</v>
      </c>
      <c r="BT9" s="236">
        <f t="shared" si="45"/>
        <v>0</v>
      </c>
      <c r="BU9" s="236">
        <f t="shared" si="46"/>
        <v>0</v>
      </c>
      <c r="BV9" s="236">
        <f t="shared" si="47"/>
        <v>27</v>
      </c>
      <c r="BW9" s="236">
        <f t="shared" si="26"/>
        <v>0</v>
      </c>
      <c r="BX9" s="236">
        <f t="shared" si="27"/>
        <v>0</v>
      </c>
      <c r="BY9" s="236">
        <f t="shared" si="28"/>
        <v>28</v>
      </c>
      <c r="BZ9" s="236"/>
      <c r="CA9" s="275" t="s">
        <v>540</v>
      </c>
      <c r="CB9" s="272" t="str">
        <f t="shared" si="0"/>
        <v>N/A</v>
      </c>
      <c r="CC9" s="272" t="str">
        <f t="shared" si="1"/>
        <v>N/A</v>
      </c>
      <c r="CD9" s="272" t="str">
        <f t="shared" si="2"/>
        <v>N/A</v>
      </c>
      <c r="CE9" s="284" t="str">
        <f t="shared" si="3"/>
        <v xml:space="preserve">​Se realizaron las 6 mesas de fortalecimiento de competencias de la siguiente manera:
* 3 Mesas de Fortalecimiento de competencias en el aplicativo / Guía de Auditoría GAUDI a todas las Entidades territoriales Se hacen 3 mesas ya que se dividen las entidades territoriales en 3 grupos como se ve en la evidencia adjunta.
* 1 mesa de fortalecimiento de competencias en circular 030 en el chocó
* 1 mesa de fortalecimiento de competencias en Rentas cedidas en el departamento del quindío.  Se aclara que dentro de la mesa de inspección y vigilancia, también se realizó fortalecimiento de competencias a los vigilados en este tema.
* 1 mesa de fortalecimiento de competencias en Fiscalización de rentas cedidas para el departamento del Vichada.  Se aclara que dentro de la mesa de inspección y vigilancia, también se realizó fortalecimiento de competencias a los vigilados en este tema.
</v>
      </c>
      <c r="CF9" s="284" t="str">
        <f t="shared" si="4"/>
        <v>N/A</v>
      </c>
      <c r="CG9" s="284" t="str">
        <f t="shared" si="5"/>
        <v>N/A</v>
      </c>
      <c r="CH9" s="272" t="str">
        <f t="shared" si="6"/>
        <v>N/A</v>
      </c>
      <c r="CI9" s="211" t="str">
        <f t="shared" si="7"/>
        <v>N/A</v>
      </c>
      <c r="CJ9" s="211" t="str">
        <f t="shared" si="8"/>
        <v>N/A</v>
      </c>
      <c r="CK9" s="211" t="str">
        <f t="shared" si="9"/>
        <v>N/A</v>
      </c>
      <c r="CL9" s="211" t="str">
        <f t="shared" si="10"/>
        <v>N/A</v>
      </c>
      <c r="CM9" s="211" t="str">
        <f t="shared" si="11"/>
        <v>N/A</v>
      </c>
      <c r="CO9" s="211" t="s">
        <v>190</v>
      </c>
      <c r="CP9" s="211" t="s">
        <v>139</v>
      </c>
      <c r="CQ9" s="211" t="s">
        <v>216</v>
      </c>
      <c r="CR9" s="211" t="s">
        <v>217</v>
      </c>
      <c r="CS9" s="211" t="s">
        <v>222</v>
      </c>
      <c r="CT9" s="211" t="s">
        <v>216</v>
      </c>
      <c r="CU9" s="211" t="str">
        <f t="shared" si="12"/>
        <v>N/A</v>
      </c>
      <c r="CV9" s="211" t="str">
        <f t="shared" si="13"/>
        <v>Durante el mes de Febrero, se gestionaron  129 cuentas que fueron radicadas en los tiempos estipulados de acuerdo con la Circular Interna 2022920020000026-4 de 2022,asi mismo, los documentos radicados despues del dia 25 calendario se tramitaron en el siguiente mes. Por lo cual, se cumplió con la meta del indicador del 100%, (129/129) habiendo gestionado la totalidad de las cuentas radicadas con un tiempo de gestión de 1,6 dias hábiles. Se adjunta base con relación de cuentas radicadas y gestionadas, asi como el reporte del indicador con la correspondiente gráfica.</v>
      </c>
      <c r="CW9" s="211" t="str">
        <f t="shared" si="14"/>
        <v>N/A</v>
      </c>
      <c r="CX9" s="211" t="str">
        <f t="shared" si="15"/>
        <v>N/A</v>
      </c>
      <c r="CY9" s="211" t="str">
        <f t="shared" si="29"/>
        <v>N/A</v>
      </c>
      <c r="CZ9" s="211" t="str">
        <f t="shared" si="16"/>
        <v>N/A</v>
      </c>
      <c r="DA9" s="211" t="str">
        <f t="shared" si="17"/>
        <v>N/A</v>
      </c>
      <c r="DB9" s="211" t="str">
        <f t="shared" si="18"/>
        <v>N/A</v>
      </c>
      <c r="DC9" s="211" t="str">
        <f t="shared" si="19"/>
        <v>N/A</v>
      </c>
      <c r="DD9" s="211" t="str">
        <f t="shared" si="20"/>
        <v>N/A</v>
      </c>
      <c r="DE9" s="211" t="str">
        <f t="shared" si="21"/>
        <v>N/A</v>
      </c>
      <c r="DF9" s="211" t="str">
        <f t="shared" si="22"/>
        <v>N/A</v>
      </c>
    </row>
    <row r="10" spans="1:110" s="211" customFormat="1" ht="375">
      <c r="A10" s="348" t="s">
        <v>348</v>
      </c>
      <c r="B10" s="211" t="s">
        <v>140</v>
      </c>
      <c r="C10" s="211" t="s">
        <v>316</v>
      </c>
      <c r="D10" s="211" t="s">
        <v>427</v>
      </c>
      <c r="E10" s="211" t="s">
        <v>428</v>
      </c>
      <c r="F10" s="348" t="s">
        <v>429</v>
      </c>
      <c r="G10" s="211" t="s">
        <v>178</v>
      </c>
      <c r="H10" s="211">
        <v>1</v>
      </c>
      <c r="I10" s="323">
        <v>0</v>
      </c>
      <c r="J10" s="323">
        <v>1</v>
      </c>
      <c r="K10" s="288">
        <v>0</v>
      </c>
      <c r="L10" s="211" t="s">
        <v>430</v>
      </c>
      <c r="M10" s="211" t="b">
        <v>0</v>
      </c>
      <c r="O10" s="209" t="s">
        <v>2832</v>
      </c>
      <c r="P10" s="211" t="s">
        <v>159</v>
      </c>
      <c r="Q10" s="211" t="s">
        <v>160</v>
      </c>
      <c r="T10" s="236" t="s">
        <v>214</v>
      </c>
      <c r="U10" s="269"/>
      <c r="V10" s="269"/>
      <c r="W10" s="269">
        <v>33</v>
      </c>
      <c r="X10" s="269"/>
      <c r="Y10" s="269"/>
      <c r="Z10" s="269">
        <v>33</v>
      </c>
      <c r="AA10" s="269"/>
      <c r="AB10" s="269"/>
      <c r="AC10" s="269">
        <v>26</v>
      </c>
      <c r="AD10" s="269"/>
      <c r="AE10" s="269"/>
      <c r="AF10" s="269">
        <v>28</v>
      </c>
      <c r="AG10" s="269">
        <v>120</v>
      </c>
      <c r="AH10"/>
      <c r="AI10"/>
      <c r="AJ10" s="236" t="s">
        <v>214</v>
      </c>
      <c r="AK10" s="269"/>
      <c r="AL10" s="269"/>
      <c r="AM10" s="269">
        <v>27</v>
      </c>
      <c r="AN10" s="269"/>
      <c r="AO10" s="269"/>
      <c r="AP10" s="269">
        <v>38</v>
      </c>
      <c r="AQ10" s="269"/>
      <c r="AR10" s="269"/>
      <c r="AS10" s="269">
        <v>27</v>
      </c>
      <c r="AT10" s="269"/>
      <c r="AU10" s="269"/>
      <c r="AV10" s="269">
        <v>28</v>
      </c>
      <c r="AW10" s="269">
        <v>120</v>
      </c>
      <c r="AX10" s="236"/>
      <c r="AY10" s="236"/>
      <c r="AZ10" s="236"/>
      <c r="BA10" s="239" t="s">
        <v>221</v>
      </c>
      <c r="BB10" s="240">
        <f t="shared" si="30"/>
        <v>0</v>
      </c>
      <c r="BC10" s="240">
        <f t="shared" si="31"/>
        <v>0</v>
      </c>
      <c r="BD10" s="240">
        <f t="shared" si="32"/>
        <v>0</v>
      </c>
      <c r="BE10" s="240">
        <f t="shared" si="33"/>
        <v>4</v>
      </c>
      <c r="BF10" s="240">
        <f t="shared" si="34"/>
        <v>0</v>
      </c>
      <c r="BG10" s="240">
        <f t="shared" si="35"/>
        <v>0</v>
      </c>
      <c r="BH10" s="240">
        <f t="shared" si="36"/>
        <v>0</v>
      </c>
      <c r="BI10" s="240">
        <f t="shared" si="37"/>
        <v>14</v>
      </c>
      <c r="BJ10" s="240">
        <f t="shared" si="38"/>
        <v>0</v>
      </c>
      <c r="BK10" s="240">
        <f t="shared" si="23"/>
        <v>0</v>
      </c>
      <c r="BL10" s="240">
        <f t="shared" si="24"/>
        <v>0</v>
      </c>
      <c r="BM10" s="240">
        <f t="shared" si="25"/>
        <v>2</v>
      </c>
      <c r="BN10" s="211">
        <f t="shared" si="39"/>
        <v>0</v>
      </c>
      <c r="BO10" s="236">
        <f t="shared" si="40"/>
        <v>0</v>
      </c>
      <c r="BP10" s="236">
        <f t="shared" si="41"/>
        <v>0</v>
      </c>
      <c r="BQ10" s="236">
        <f t="shared" si="42"/>
        <v>7</v>
      </c>
      <c r="BR10" s="236">
        <f t="shared" si="43"/>
        <v>0</v>
      </c>
      <c r="BS10" s="236">
        <f t="shared" si="44"/>
        <v>0</v>
      </c>
      <c r="BT10" s="236">
        <f t="shared" si="45"/>
        <v>0</v>
      </c>
      <c r="BU10" s="236">
        <f t="shared" si="46"/>
        <v>7</v>
      </c>
      <c r="BV10" s="236">
        <f t="shared" si="47"/>
        <v>0</v>
      </c>
      <c r="BW10" s="236">
        <f t="shared" si="26"/>
        <v>0</v>
      </c>
      <c r="BX10" s="236">
        <f t="shared" si="27"/>
        <v>0</v>
      </c>
      <c r="BY10" s="236">
        <f t="shared" si="28"/>
        <v>6</v>
      </c>
      <c r="BZ10" s="236"/>
      <c r="CA10" s="275" t="s">
        <v>341</v>
      </c>
      <c r="CB10" s="272" t="str">
        <f t="shared" si="0"/>
        <v>N/A</v>
      </c>
      <c r="CC10" s="272" t="str">
        <f t="shared" si="1"/>
        <v>N/A</v>
      </c>
      <c r="CD10" s="272" t="str">
        <f t="shared" si="2"/>
        <v>N/A</v>
      </c>
      <c r="CE10" s="284" t="str">
        <f t="shared" si="3"/>
        <v xml:space="preserve">​Se realizaron las 4 mesas de apropiación del SIG programadas.
En el marco de las autoevaluaciones generalmente se refuerza la aprehensión del SIG y se diseñan presentaciones especialmente para esto.
Así las cosas, en Febrero, Marzo y Abril, en el marco de las mencionadas reunones, se realizó también apropiación del SIG como consta en las actas y en las presentaciones adjuntas.  Se hizo eénfasis en los procesos , en especial Seguimiento y evaluación al vigilado, y se dieron TIPS sobre gestión de calidad como puede verse en las 3 presentaciones de los menses mencionados.
En el mes de enero también se realizó una mesa de aprehensión del SIG, esta vez dirigida por la Regional Andina, la cual pertenece a nuestra Delegada de acuerdo al decreto 1080 de 2021.  Esta mesa se enfocó en el sistema de gestión ambiental, el cual es un componente muy importante del SIG.
</v>
      </c>
      <c r="CF10" s="284" t="str">
        <f t="shared" si="4"/>
        <v>N/A</v>
      </c>
      <c r="CG10" s="284" t="str">
        <f t="shared" si="5"/>
        <v>N/A</v>
      </c>
      <c r="CH10" s="272" t="str">
        <f t="shared" si="6"/>
        <v>N/A</v>
      </c>
      <c r="CI10" s="211" t="str">
        <f t="shared" si="7"/>
        <v>N/A</v>
      </c>
      <c r="CJ10" s="211" t="str">
        <f t="shared" si="8"/>
        <v>N/A</v>
      </c>
      <c r="CK10" s="211" t="str">
        <f t="shared" si="9"/>
        <v>N/A</v>
      </c>
      <c r="CL10" s="211" t="str">
        <f t="shared" si="10"/>
        <v>N/A</v>
      </c>
      <c r="CM10" s="211" t="str">
        <f t="shared" si="11"/>
        <v>N/A</v>
      </c>
      <c r="CO10" s="211" t="s">
        <v>348</v>
      </c>
      <c r="CP10" s="211" t="s">
        <v>140</v>
      </c>
      <c r="CQ10" s="211" t="s">
        <v>316</v>
      </c>
      <c r="CR10" s="211" t="s">
        <v>427</v>
      </c>
      <c r="CS10" s="211" t="s">
        <v>430</v>
      </c>
      <c r="CT10" s="211" t="s">
        <v>316</v>
      </c>
      <c r="CU10" s="211" t="str">
        <f t="shared" si="12"/>
        <v>N/A</v>
      </c>
      <c r="CV10" s="211" t="str">
        <f t="shared" si="13"/>
        <v>N/A</v>
      </c>
      <c r="CW10" s="211" t="str">
        <f t="shared" si="14"/>
        <v xml:space="preserve">​Este indicador es a demanda y a la fecha no se han expedido procesos con priorización  , es importante resaltar que el denominador aplicado es el del total de expedientes con averiguación/apertura/ improcedencia que son 37 en total 
</v>
      </c>
      <c r="CX10" s="211" t="str">
        <f t="shared" si="15"/>
        <v>N/A</v>
      </c>
      <c r="CY10" s="211" t="str">
        <f t="shared" si="29"/>
        <v>N/A</v>
      </c>
      <c r="CZ10" s="211" t="str">
        <f t="shared" si="16"/>
        <v>N/A</v>
      </c>
      <c r="DA10" s="211" t="str">
        <f t="shared" si="17"/>
        <v>N/A</v>
      </c>
      <c r="DB10" s="211" t="str">
        <f t="shared" si="18"/>
        <v>N/A</v>
      </c>
      <c r="DC10" s="211" t="str">
        <f t="shared" si="19"/>
        <v>N/A</v>
      </c>
      <c r="DD10" s="211" t="str">
        <f t="shared" si="20"/>
        <v>N/A</v>
      </c>
      <c r="DE10" s="211" t="str">
        <f t="shared" si="21"/>
        <v>N/A</v>
      </c>
      <c r="DF10" s="211" t="str">
        <f t="shared" si="22"/>
        <v>N/A</v>
      </c>
    </row>
    <row r="11" spans="1:110" s="211" customFormat="1" ht="85.5">
      <c r="A11" s="348" t="s">
        <v>348</v>
      </c>
      <c r="B11" s="211" t="s">
        <v>140</v>
      </c>
      <c r="C11" s="211" t="s">
        <v>323</v>
      </c>
      <c r="D11" s="211" t="s">
        <v>349</v>
      </c>
      <c r="E11" s="211" t="s">
        <v>350</v>
      </c>
      <c r="F11" s="348" t="s">
        <v>351</v>
      </c>
      <c r="G11" s="211" t="s">
        <v>178</v>
      </c>
      <c r="H11" s="211">
        <v>1</v>
      </c>
      <c r="I11" s="323">
        <v>321</v>
      </c>
      <c r="J11" s="323">
        <v>124</v>
      </c>
      <c r="K11" s="288">
        <f>+I11/J11</f>
        <v>2.588709677419355</v>
      </c>
      <c r="L11" s="211" t="s">
        <v>352</v>
      </c>
      <c r="M11" s="211" t="b">
        <v>0</v>
      </c>
      <c r="O11" s="209" t="s">
        <v>2832</v>
      </c>
      <c r="P11" s="211" t="s">
        <v>159</v>
      </c>
      <c r="Q11" s="211" t="s">
        <v>160</v>
      </c>
      <c r="T11" s="236" t="s">
        <v>221</v>
      </c>
      <c r="U11" s="269"/>
      <c r="V11" s="269"/>
      <c r="W11" s="269"/>
      <c r="X11" s="269">
        <v>4</v>
      </c>
      <c r="Y11" s="269"/>
      <c r="Z11" s="269"/>
      <c r="AA11" s="269"/>
      <c r="AB11" s="269">
        <v>14</v>
      </c>
      <c r="AC11" s="269"/>
      <c r="AD11" s="269"/>
      <c r="AE11" s="269"/>
      <c r="AF11" s="269">
        <v>2</v>
      </c>
      <c r="AG11" s="269">
        <v>20</v>
      </c>
      <c r="AH11"/>
      <c r="AI11"/>
      <c r="AJ11" s="236" t="s">
        <v>221</v>
      </c>
      <c r="AK11" s="269"/>
      <c r="AL11" s="269"/>
      <c r="AM11" s="269"/>
      <c r="AN11" s="269">
        <v>7</v>
      </c>
      <c r="AO11" s="269"/>
      <c r="AP11" s="269"/>
      <c r="AQ11" s="269"/>
      <c r="AR11" s="269">
        <v>7</v>
      </c>
      <c r="AS11" s="269"/>
      <c r="AT11" s="269"/>
      <c r="AU11" s="269"/>
      <c r="AV11" s="269">
        <v>6</v>
      </c>
      <c r="AW11" s="269">
        <v>20</v>
      </c>
      <c r="AX11" s="236"/>
      <c r="AY11" s="236"/>
      <c r="AZ11" s="236"/>
      <c r="BA11" s="239" t="s">
        <v>223</v>
      </c>
      <c r="BB11" s="240">
        <f t="shared" si="30"/>
        <v>0</v>
      </c>
      <c r="BC11" s="240">
        <f t="shared" si="31"/>
        <v>1</v>
      </c>
      <c r="BD11" s="240">
        <f t="shared" si="32"/>
        <v>1</v>
      </c>
      <c r="BE11" s="240">
        <f t="shared" si="33"/>
        <v>0</v>
      </c>
      <c r="BF11" s="240">
        <f t="shared" si="34"/>
        <v>1</v>
      </c>
      <c r="BG11" s="240">
        <f t="shared" si="35"/>
        <v>0</v>
      </c>
      <c r="BH11" s="240">
        <f t="shared" si="36"/>
        <v>1</v>
      </c>
      <c r="BI11" s="240">
        <f t="shared" si="37"/>
        <v>1</v>
      </c>
      <c r="BJ11" s="240">
        <f t="shared" si="38"/>
        <v>1</v>
      </c>
      <c r="BK11" s="240">
        <f t="shared" si="23"/>
        <v>1</v>
      </c>
      <c r="BL11" s="240">
        <f t="shared" si="24"/>
        <v>1</v>
      </c>
      <c r="BM11" s="240">
        <f t="shared" si="25"/>
        <v>0</v>
      </c>
      <c r="BN11" s="211">
        <f t="shared" si="39"/>
        <v>0</v>
      </c>
      <c r="BO11" s="236">
        <f t="shared" si="40"/>
        <v>1</v>
      </c>
      <c r="BP11" s="236">
        <f t="shared" si="41"/>
        <v>1</v>
      </c>
      <c r="BQ11" s="236">
        <f t="shared" si="42"/>
        <v>0</v>
      </c>
      <c r="BR11" s="236">
        <f t="shared" si="43"/>
        <v>1</v>
      </c>
      <c r="BS11" s="236">
        <f t="shared" si="44"/>
        <v>0</v>
      </c>
      <c r="BT11" s="236">
        <f t="shared" si="45"/>
        <v>1</v>
      </c>
      <c r="BU11" s="236">
        <f t="shared" si="46"/>
        <v>1</v>
      </c>
      <c r="BV11" s="236">
        <f t="shared" si="47"/>
        <v>1</v>
      </c>
      <c r="BW11" s="236">
        <f t="shared" si="26"/>
        <v>1</v>
      </c>
      <c r="BX11" s="236">
        <f t="shared" si="27"/>
        <v>1</v>
      </c>
      <c r="BY11" s="236">
        <f t="shared" si="28"/>
        <v>0</v>
      </c>
      <c r="BZ11" s="236"/>
      <c r="CA11" s="275" t="s">
        <v>296</v>
      </c>
      <c r="CB11" s="272" t="str">
        <f t="shared" si="0"/>
        <v>N/A</v>
      </c>
      <c r="CC11" s="272" t="str">
        <f t="shared" si="1"/>
        <v>N/A</v>
      </c>
      <c r="CD11" s="272" t="str">
        <f t="shared" si="2"/>
        <v xml:space="preserve">​Se realizan los 8 seguimientos a regionales programados. 
Se adjunta evidencia de lo anterior.
</v>
      </c>
      <c r="CE11" s="284" t="str">
        <f t="shared" si="3"/>
        <v>N/A</v>
      </c>
      <c r="CF11" s="284" t="str">
        <f t="shared" si="4"/>
        <v>N/A</v>
      </c>
      <c r="CG11" s="284" t="str">
        <f t="shared" si="5"/>
        <v>N/A</v>
      </c>
      <c r="CH11" s="272" t="str">
        <f t="shared" si="6"/>
        <v>N/A</v>
      </c>
      <c r="CI11" s="211" t="str">
        <f t="shared" si="7"/>
        <v>N/A</v>
      </c>
      <c r="CJ11" s="211" t="str">
        <f t="shared" si="8"/>
        <v>N/A</v>
      </c>
      <c r="CK11" s="211" t="str">
        <f t="shared" si="9"/>
        <v>N/A</v>
      </c>
      <c r="CL11" s="211" t="str">
        <f t="shared" si="10"/>
        <v>N/A</v>
      </c>
      <c r="CM11" s="211" t="str">
        <f t="shared" si="11"/>
        <v>N/A</v>
      </c>
      <c r="CO11" s="211" t="s">
        <v>348</v>
      </c>
      <c r="CP11" s="211" t="s">
        <v>140</v>
      </c>
      <c r="CQ11" s="211" t="s">
        <v>323</v>
      </c>
      <c r="CR11" s="211" t="s">
        <v>349</v>
      </c>
      <c r="CS11" s="211" t="s">
        <v>352</v>
      </c>
      <c r="CT11" s="211" t="s">
        <v>323</v>
      </c>
      <c r="CU11" s="211" t="str">
        <f t="shared" si="12"/>
        <v>N/A</v>
      </c>
      <c r="CV11" s="211" t="str">
        <f t="shared" si="13"/>
        <v>N/A</v>
      </c>
      <c r="CW11" s="211" t="str">
        <f t="shared" si="14"/>
        <v xml:space="preserve">Indicador a demanda, en donde se concluye que se expidieron 321 actos administrativos y el número de solicitudes de investigación aceptadas en el trimestre fueron 124 en total 
</v>
      </c>
      <c r="CX11" s="211" t="str">
        <f t="shared" si="15"/>
        <v>N/A</v>
      </c>
      <c r="CY11" s="211" t="str">
        <f t="shared" si="29"/>
        <v>N/A</v>
      </c>
      <c r="CZ11" s="211" t="str">
        <f t="shared" si="16"/>
        <v>N/A</v>
      </c>
      <c r="DA11" s="211" t="str">
        <f t="shared" si="17"/>
        <v>N/A</v>
      </c>
      <c r="DB11" s="211" t="str">
        <f t="shared" si="18"/>
        <v>N/A</v>
      </c>
      <c r="DC11" s="211" t="str">
        <f t="shared" si="19"/>
        <v>N/A</v>
      </c>
      <c r="DD11" s="211" t="str">
        <f t="shared" si="20"/>
        <v>N/A</v>
      </c>
      <c r="DE11" s="211" t="str">
        <f t="shared" si="21"/>
        <v>N/A</v>
      </c>
      <c r="DF11" s="211" t="str">
        <f t="shared" si="22"/>
        <v>N/A</v>
      </c>
    </row>
    <row r="12" spans="1:110" s="211" customFormat="1" ht="315">
      <c r="A12" s="348" t="s">
        <v>348</v>
      </c>
      <c r="B12" s="211" t="s">
        <v>140</v>
      </c>
      <c r="C12" s="211" t="s">
        <v>329</v>
      </c>
      <c r="D12" s="211" t="s">
        <v>354</v>
      </c>
      <c r="E12" s="211" t="s">
        <v>355</v>
      </c>
      <c r="F12" s="348" t="s">
        <v>356</v>
      </c>
      <c r="G12" s="211" t="s">
        <v>178</v>
      </c>
      <c r="H12" s="211">
        <v>0.25</v>
      </c>
      <c r="I12" s="323">
        <v>166</v>
      </c>
      <c r="J12" s="323">
        <v>441</v>
      </c>
      <c r="K12" s="288">
        <v>0.37641723356009099</v>
      </c>
      <c r="L12" s="211" t="s">
        <v>357</v>
      </c>
      <c r="M12" s="211" t="b">
        <v>0</v>
      </c>
      <c r="O12" s="209" t="s">
        <v>2832</v>
      </c>
      <c r="P12" s="211" t="s">
        <v>159</v>
      </c>
      <c r="Q12" s="211" t="s">
        <v>160</v>
      </c>
      <c r="T12" s="236" t="s">
        <v>223</v>
      </c>
      <c r="U12" s="269"/>
      <c r="V12" s="269">
        <v>1</v>
      </c>
      <c r="W12" s="269">
        <v>1</v>
      </c>
      <c r="X12" s="269"/>
      <c r="Y12" s="269">
        <v>1</v>
      </c>
      <c r="Z12" s="269"/>
      <c r="AA12" s="269">
        <v>1</v>
      </c>
      <c r="AB12" s="269">
        <v>1</v>
      </c>
      <c r="AC12" s="269">
        <v>1</v>
      </c>
      <c r="AD12" s="269">
        <v>1</v>
      </c>
      <c r="AE12" s="269">
        <v>1</v>
      </c>
      <c r="AF12" s="269"/>
      <c r="AG12" s="269">
        <v>8</v>
      </c>
      <c r="AH12"/>
      <c r="AI12"/>
      <c r="AJ12" s="236" t="s">
        <v>223</v>
      </c>
      <c r="AK12" s="269"/>
      <c r="AL12" s="269">
        <v>1</v>
      </c>
      <c r="AM12" s="269">
        <v>1</v>
      </c>
      <c r="AN12" s="269"/>
      <c r="AO12" s="269">
        <v>1</v>
      </c>
      <c r="AP12" s="269"/>
      <c r="AQ12" s="269">
        <v>1</v>
      </c>
      <c r="AR12" s="269">
        <v>1</v>
      </c>
      <c r="AS12" s="269">
        <v>1</v>
      </c>
      <c r="AT12" s="269">
        <v>1</v>
      </c>
      <c r="AU12" s="269">
        <v>1</v>
      </c>
      <c r="AV12" s="269"/>
      <c r="AW12" s="269">
        <v>8</v>
      </c>
      <c r="AX12" s="236"/>
      <c r="AY12" s="236"/>
      <c r="AZ12" s="236"/>
      <c r="BA12" s="239" t="s">
        <v>225</v>
      </c>
      <c r="BB12" s="240">
        <f t="shared" si="30"/>
        <v>0</v>
      </c>
      <c r="BC12" s="240">
        <f t="shared" si="31"/>
        <v>0</v>
      </c>
      <c r="BD12" s="240">
        <f t="shared" si="32"/>
        <v>1</v>
      </c>
      <c r="BE12" s="240">
        <f t="shared" si="33"/>
        <v>4</v>
      </c>
      <c r="BF12" s="240">
        <f t="shared" si="34"/>
        <v>5</v>
      </c>
      <c r="BG12" s="240">
        <f t="shared" si="35"/>
        <v>16</v>
      </c>
      <c r="BH12" s="240">
        <f t="shared" si="36"/>
        <v>7</v>
      </c>
      <c r="BI12" s="240">
        <f t="shared" si="37"/>
        <v>17</v>
      </c>
      <c r="BJ12" s="240">
        <f t="shared" si="38"/>
        <v>5</v>
      </c>
      <c r="BK12" s="240">
        <f t="shared" si="23"/>
        <v>12</v>
      </c>
      <c r="BL12" s="240">
        <f t="shared" si="24"/>
        <v>8</v>
      </c>
      <c r="BM12" s="240">
        <f t="shared" si="25"/>
        <v>10</v>
      </c>
      <c r="BN12" s="211">
        <f t="shared" si="39"/>
        <v>0</v>
      </c>
      <c r="BO12" s="236">
        <f t="shared" si="40"/>
        <v>0</v>
      </c>
      <c r="BP12" s="236">
        <f t="shared" si="41"/>
        <v>1</v>
      </c>
      <c r="BQ12" s="236">
        <f t="shared" si="42"/>
        <v>4</v>
      </c>
      <c r="BR12" s="236">
        <f t="shared" si="43"/>
        <v>5</v>
      </c>
      <c r="BS12" s="236">
        <f t="shared" si="44"/>
        <v>5</v>
      </c>
      <c r="BT12" s="236">
        <f t="shared" si="45"/>
        <v>5</v>
      </c>
      <c r="BU12" s="236">
        <f t="shared" si="46"/>
        <v>5</v>
      </c>
      <c r="BV12" s="236">
        <f t="shared" si="47"/>
        <v>5</v>
      </c>
      <c r="BW12" s="236">
        <f t="shared" si="26"/>
        <v>6</v>
      </c>
      <c r="BX12" s="236">
        <f t="shared" si="27"/>
        <v>3</v>
      </c>
      <c r="BY12" s="236">
        <f t="shared" si="28"/>
        <v>10</v>
      </c>
      <c r="BZ12" s="236"/>
      <c r="CA12" s="275" t="s">
        <v>547</v>
      </c>
      <c r="CB12" s="272" t="str">
        <f t="shared" si="0"/>
        <v>N/A</v>
      </c>
      <c r="CC12" s="272" t="str">
        <f t="shared" si="1"/>
        <v>N/A</v>
      </c>
      <c r="CD12" s="272" t="str">
        <f t="shared" si="2"/>
        <v>N/A</v>
      </c>
      <c r="CE12" s="284" t="str">
        <f t="shared" si="3"/>
        <v xml:space="preserve">​Se realizaron las 14 Mesas de Inspección y Vigilancia Programadas.
Estas se desarrollaron en:
* Cáceres
* Marmato
* Neira
* González - Cesar
* Bagadó
* El Tarra Norte de Santander
* Sabanagrande
* Villanueva
* Vichada
* Tolima
* Eje Cafetero
* Huila
* Putumayo
* Dolores
</v>
      </c>
      <c r="CF12" s="284" t="str">
        <f t="shared" si="4"/>
        <v>N/A</v>
      </c>
      <c r="CG12" s="284" t="str">
        <f t="shared" si="5"/>
        <v>N/A</v>
      </c>
      <c r="CH12" s="272" t="str">
        <f t="shared" si="6"/>
        <v>N/A</v>
      </c>
      <c r="CI12" s="211" t="str">
        <f t="shared" si="7"/>
        <v>N/A</v>
      </c>
      <c r="CJ12" s="211" t="str">
        <f t="shared" si="8"/>
        <v>N/A</v>
      </c>
      <c r="CK12" s="211" t="str">
        <f t="shared" si="9"/>
        <v>N/A</v>
      </c>
      <c r="CL12" s="211" t="str">
        <f t="shared" si="10"/>
        <v>N/A</v>
      </c>
      <c r="CM12" s="211" t="str">
        <f t="shared" si="11"/>
        <v>N/A</v>
      </c>
      <c r="CO12" s="211" t="s">
        <v>348</v>
      </c>
      <c r="CP12" s="211" t="s">
        <v>140</v>
      </c>
      <c r="CQ12" s="211" t="s">
        <v>329</v>
      </c>
      <c r="CR12" s="211" t="s">
        <v>354</v>
      </c>
      <c r="CS12" s="211" t="s">
        <v>357</v>
      </c>
      <c r="CT12" s="211" t="s">
        <v>329</v>
      </c>
      <c r="CU12" s="211" t="str">
        <f t="shared" si="12"/>
        <v>N/A</v>
      </c>
      <c r="CV12" s="211" t="str">
        <f t="shared" si="13"/>
        <v>N/A</v>
      </c>
      <c r="CW12" s="211" t="str">
        <f t="shared" si="14"/>
        <v xml:space="preserve">​Se cumple con más de la meta establecida del 25%,  ya que se identificaron 441 investigaciones con riesgo de caducidad ( 2025 ) a enero de 2025 y en el trimestre se han expedido 166 decisiones lo cual equivale al 37.6%, lo anterior se logro tras las estrategias de gestión al día con la DIA 
</v>
      </c>
      <c r="CX12" s="211" t="str">
        <f t="shared" si="15"/>
        <v>N/A</v>
      </c>
      <c r="CY12" s="211" t="str">
        <f t="shared" si="29"/>
        <v>N/A</v>
      </c>
      <c r="CZ12" s="211" t="str">
        <f t="shared" si="16"/>
        <v>N/A</v>
      </c>
      <c r="DA12" s="211" t="str">
        <f t="shared" si="17"/>
        <v>N/A</v>
      </c>
      <c r="DB12" s="211" t="str">
        <f t="shared" si="18"/>
        <v>N/A</v>
      </c>
      <c r="DC12" s="211" t="str">
        <f t="shared" si="19"/>
        <v>N/A</v>
      </c>
      <c r="DD12" s="211" t="str">
        <f t="shared" si="20"/>
        <v>N/A</v>
      </c>
      <c r="DE12" s="211" t="str">
        <f t="shared" si="21"/>
        <v>N/A</v>
      </c>
      <c r="DF12" s="211" t="str">
        <f t="shared" si="22"/>
        <v>N/A</v>
      </c>
    </row>
    <row r="13" spans="1:110" s="211" customFormat="1" ht="255">
      <c r="A13" s="348" t="s">
        <v>348</v>
      </c>
      <c r="B13" s="211" t="s">
        <v>140</v>
      </c>
      <c r="C13" s="211" t="s">
        <v>422</v>
      </c>
      <c r="D13" s="211" t="s">
        <v>423</v>
      </c>
      <c r="E13" s="211" t="s">
        <v>424</v>
      </c>
      <c r="F13" s="348" t="s">
        <v>425</v>
      </c>
      <c r="G13" s="211" t="s">
        <v>178</v>
      </c>
      <c r="H13" s="211">
        <v>0.25</v>
      </c>
      <c r="I13" s="436">
        <v>400000000</v>
      </c>
      <c r="J13" s="436">
        <v>731506000</v>
      </c>
      <c r="K13" s="288">
        <v>0.54681711428204305</v>
      </c>
      <c r="L13" s="211" t="s">
        <v>426</v>
      </c>
      <c r="M13" s="211" t="b">
        <v>0</v>
      </c>
      <c r="O13" s="209" t="s">
        <v>2832</v>
      </c>
      <c r="P13" s="211" t="s">
        <v>159</v>
      </c>
      <c r="Q13" s="211" t="s">
        <v>160</v>
      </c>
      <c r="T13" s="236" t="s">
        <v>225</v>
      </c>
      <c r="U13" s="269"/>
      <c r="V13" s="269"/>
      <c r="W13" s="269">
        <v>1</v>
      </c>
      <c r="X13" s="269">
        <v>4</v>
      </c>
      <c r="Y13" s="269">
        <v>5</v>
      </c>
      <c r="Z13" s="269">
        <v>16</v>
      </c>
      <c r="AA13" s="269">
        <v>7</v>
      </c>
      <c r="AB13" s="269">
        <v>17</v>
      </c>
      <c r="AC13" s="269">
        <v>5</v>
      </c>
      <c r="AD13" s="269">
        <v>12</v>
      </c>
      <c r="AE13" s="269">
        <v>8</v>
      </c>
      <c r="AF13" s="269">
        <v>10</v>
      </c>
      <c r="AG13" s="269">
        <v>85</v>
      </c>
      <c r="AH13"/>
      <c r="AI13"/>
      <c r="AJ13" s="236" t="s">
        <v>225</v>
      </c>
      <c r="AK13" s="269"/>
      <c r="AL13" s="269"/>
      <c r="AM13" s="269">
        <v>1</v>
      </c>
      <c r="AN13" s="269">
        <v>4</v>
      </c>
      <c r="AO13" s="269">
        <v>5</v>
      </c>
      <c r="AP13" s="269">
        <v>5</v>
      </c>
      <c r="AQ13" s="269">
        <v>5</v>
      </c>
      <c r="AR13" s="269">
        <v>5</v>
      </c>
      <c r="AS13" s="269">
        <v>5</v>
      </c>
      <c r="AT13" s="269">
        <v>6</v>
      </c>
      <c r="AU13" s="269">
        <v>3</v>
      </c>
      <c r="AV13" s="269">
        <v>10</v>
      </c>
      <c r="AW13" s="269">
        <v>49</v>
      </c>
      <c r="AX13" s="236"/>
      <c r="AY13" s="236"/>
      <c r="AZ13" s="236"/>
      <c r="BA13" s="239" t="s">
        <v>230</v>
      </c>
      <c r="BB13" s="240">
        <f t="shared" si="30"/>
        <v>0</v>
      </c>
      <c r="BC13" s="240">
        <f t="shared" si="31"/>
        <v>0</v>
      </c>
      <c r="BD13" s="240">
        <f t="shared" si="32"/>
        <v>5</v>
      </c>
      <c r="BE13" s="240">
        <f t="shared" si="33"/>
        <v>0</v>
      </c>
      <c r="BF13" s="240">
        <f t="shared" si="34"/>
        <v>0</v>
      </c>
      <c r="BG13" s="240">
        <f t="shared" si="35"/>
        <v>16</v>
      </c>
      <c r="BH13" s="240">
        <f t="shared" si="36"/>
        <v>0</v>
      </c>
      <c r="BI13" s="240">
        <f t="shared" si="37"/>
        <v>0</v>
      </c>
      <c r="BJ13" s="240">
        <f t="shared" si="38"/>
        <v>9</v>
      </c>
      <c r="BK13" s="240">
        <f t="shared" si="23"/>
        <v>0</v>
      </c>
      <c r="BL13" s="240">
        <f t="shared" si="24"/>
        <v>0</v>
      </c>
      <c r="BM13" s="240">
        <f t="shared" si="25"/>
        <v>9</v>
      </c>
      <c r="BN13" s="211">
        <f t="shared" si="39"/>
        <v>0</v>
      </c>
      <c r="BO13" s="236">
        <f t="shared" si="40"/>
        <v>0</v>
      </c>
      <c r="BP13" s="236">
        <f t="shared" si="41"/>
        <v>10</v>
      </c>
      <c r="BQ13" s="236">
        <f t="shared" si="42"/>
        <v>0</v>
      </c>
      <c r="BR13" s="236">
        <f t="shared" si="43"/>
        <v>0</v>
      </c>
      <c r="BS13" s="236">
        <f t="shared" si="44"/>
        <v>11</v>
      </c>
      <c r="BT13" s="236">
        <f t="shared" si="45"/>
        <v>0</v>
      </c>
      <c r="BU13" s="236">
        <f t="shared" si="46"/>
        <v>0</v>
      </c>
      <c r="BV13" s="236">
        <f t="shared" si="47"/>
        <v>9</v>
      </c>
      <c r="BW13" s="236">
        <f t="shared" si="26"/>
        <v>0</v>
      </c>
      <c r="BX13" s="236">
        <f t="shared" si="27"/>
        <v>0</v>
      </c>
      <c r="BY13" s="236">
        <f t="shared" si="28"/>
        <v>9</v>
      </c>
      <c r="BZ13" s="236"/>
      <c r="CA13" s="275" t="s">
        <v>568</v>
      </c>
      <c r="CB13" s="272" t="str">
        <f t="shared" si="0"/>
        <v>N/A</v>
      </c>
      <c r="CC13" s="272" t="str">
        <f t="shared" si="1"/>
        <v>N/A</v>
      </c>
      <c r="CD13" s="272" t="str">
        <f t="shared" si="2"/>
        <v>N/A</v>
      </c>
      <c r="CE13" s="284" t="str">
        <f t="shared" si="3"/>
        <v xml:space="preserve">​Se realizan las 4 acciones integrales en territorio programadas.
Estas se ejecutaron en:
* Amazonas
* Cáceres
* Huila
* Territorios de la Regional Andina
Tener en cuenta que la Acción integral en territorio de Amazonas (AIT) Comienza con un acta de inspección y vigilancia para la acción integral en territorio como se puede constatar en el cuerpo de la misma.
</v>
      </c>
      <c r="CF13" s="284" t="str">
        <f t="shared" si="4"/>
        <v>N/A</v>
      </c>
      <c r="CG13" s="284" t="str">
        <f t="shared" si="5"/>
        <v>N/A</v>
      </c>
      <c r="CH13" s="272" t="str">
        <f t="shared" si="6"/>
        <v>N/A</v>
      </c>
      <c r="CI13" s="211" t="str">
        <f t="shared" si="7"/>
        <v>N/A</v>
      </c>
      <c r="CJ13" s="211" t="str">
        <f t="shared" si="8"/>
        <v>N/A</v>
      </c>
      <c r="CK13" s="211" t="str">
        <f t="shared" si="9"/>
        <v>N/A</v>
      </c>
      <c r="CL13" s="211" t="str">
        <f t="shared" si="10"/>
        <v>N/A</v>
      </c>
      <c r="CM13" s="211" t="str">
        <f t="shared" si="11"/>
        <v>N/A</v>
      </c>
      <c r="CO13" s="211" t="s">
        <v>348</v>
      </c>
      <c r="CP13" s="211" t="s">
        <v>140</v>
      </c>
      <c r="CQ13" s="211" t="s">
        <v>422</v>
      </c>
      <c r="CR13" s="211" t="s">
        <v>423</v>
      </c>
      <c r="CS13" s="211" t="s">
        <v>426</v>
      </c>
      <c r="CT13" s="211" t="s">
        <v>422</v>
      </c>
      <c r="CU13" s="211" t="str">
        <f t="shared" si="12"/>
        <v>N/A</v>
      </c>
      <c r="CV13" s="211" t="str">
        <f t="shared" si="13"/>
        <v>N/A</v>
      </c>
      <c r="CW13" s="211" t="str">
        <f t="shared" si="14"/>
        <v xml:space="preserve">​El indicador se cumple ya que que se han apropiado bajo los registros presupuestales asociados a los procesos de contración de prestación de servicios profesionales ( 8 contratos) y constituyen el 54% del total del presupuesto asignado a la Delegatura. 
</v>
      </c>
      <c r="CX13" s="211" t="str">
        <f t="shared" si="15"/>
        <v>N/A</v>
      </c>
      <c r="CY13" s="211" t="str">
        <f t="shared" si="29"/>
        <v>N/A</v>
      </c>
      <c r="CZ13" s="211" t="str">
        <f t="shared" si="16"/>
        <v>N/A</v>
      </c>
      <c r="DA13" s="211" t="str">
        <f t="shared" si="17"/>
        <v>N/A</v>
      </c>
      <c r="DB13" s="211" t="str">
        <f t="shared" si="18"/>
        <v>N/A</v>
      </c>
      <c r="DC13" s="211" t="str">
        <f t="shared" si="19"/>
        <v>N/A</v>
      </c>
      <c r="DD13" s="211" t="str">
        <f t="shared" si="20"/>
        <v>N/A</v>
      </c>
      <c r="DE13" s="211" t="str">
        <f t="shared" si="21"/>
        <v>N/A</v>
      </c>
      <c r="DF13" s="211" t="str">
        <f t="shared" si="22"/>
        <v>N/A</v>
      </c>
    </row>
    <row r="14" spans="1:110" s="211" customFormat="1" ht="165.75">
      <c r="A14" s="348" t="s">
        <v>365</v>
      </c>
      <c r="B14" s="211" t="s">
        <v>140</v>
      </c>
      <c r="C14" s="211" t="s">
        <v>230</v>
      </c>
      <c r="D14" s="211" t="s">
        <v>431</v>
      </c>
      <c r="E14" s="211" t="s">
        <v>432</v>
      </c>
      <c r="F14" s="348" t="s">
        <v>433</v>
      </c>
      <c r="G14" s="211" t="s">
        <v>178</v>
      </c>
      <c r="H14" s="211">
        <v>0.85</v>
      </c>
      <c r="I14" s="323">
        <v>5</v>
      </c>
      <c r="J14" s="323">
        <v>10</v>
      </c>
      <c r="K14" s="288">
        <v>0.5</v>
      </c>
      <c r="L14" s="211" t="s">
        <v>434</v>
      </c>
      <c r="M14" s="211" t="b">
        <v>0</v>
      </c>
      <c r="O14" s="209" t="s">
        <v>2832</v>
      </c>
      <c r="P14" s="211" t="s">
        <v>159</v>
      </c>
      <c r="Q14" s="211" t="s">
        <v>160</v>
      </c>
      <c r="T14" s="236" t="s">
        <v>230</v>
      </c>
      <c r="U14" s="269"/>
      <c r="V14" s="269"/>
      <c r="W14" s="269">
        <v>5</v>
      </c>
      <c r="X14" s="269"/>
      <c r="Y14" s="269"/>
      <c r="Z14" s="269">
        <v>16</v>
      </c>
      <c r="AA14" s="269"/>
      <c r="AB14" s="269"/>
      <c r="AC14" s="269">
        <v>9</v>
      </c>
      <c r="AD14" s="269"/>
      <c r="AE14" s="269"/>
      <c r="AF14" s="269">
        <v>9</v>
      </c>
      <c r="AG14" s="269">
        <v>39</v>
      </c>
      <c r="AH14"/>
      <c r="AI14"/>
      <c r="AJ14" s="236" t="s">
        <v>230</v>
      </c>
      <c r="AK14" s="269"/>
      <c r="AL14" s="269"/>
      <c r="AM14" s="269">
        <v>10</v>
      </c>
      <c r="AN14" s="269"/>
      <c r="AO14" s="269"/>
      <c r="AP14" s="269">
        <v>11</v>
      </c>
      <c r="AQ14" s="269"/>
      <c r="AR14" s="269"/>
      <c r="AS14" s="269">
        <v>9</v>
      </c>
      <c r="AT14" s="269"/>
      <c r="AU14" s="269"/>
      <c r="AV14" s="269">
        <v>9</v>
      </c>
      <c r="AW14" s="269">
        <v>39</v>
      </c>
      <c r="AX14" s="236"/>
      <c r="AY14" s="236"/>
      <c r="AZ14" s="236"/>
      <c r="BA14" s="239" t="s">
        <v>236</v>
      </c>
      <c r="BB14" s="240">
        <f t="shared" si="30"/>
        <v>0</v>
      </c>
      <c r="BC14" s="240">
        <f t="shared" si="31"/>
        <v>0</v>
      </c>
      <c r="BD14" s="240">
        <f t="shared" si="32"/>
        <v>2</v>
      </c>
      <c r="BE14" s="240">
        <f t="shared" si="33"/>
        <v>0</v>
      </c>
      <c r="BF14" s="240">
        <f t="shared" si="34"/>
        <v>0</v>
      </c>
      <c r="BG14" s="240">
        <f t="shared" si="35"/>
        <v>2</v>
      </c>
      <c r="BH14" s="240">
        <f t="shared" si="36"/>
        <v>0</v>
      </c>
      <c r="BI14" s="240">
        <f t="shared" si="37"/>
        <v>0</v>
      </c>
      <c r="BJ14" s="240">
        <f t="shared" si="38"/>
        <v>6</v>
      </c>
      <c r="BK14" s="240">
        <f t="shared" si="23"/>
        <v>0</v>
      </c>
      <c r="BL14" s="240">
        <f t="shared" si="24"/>
        <v>0</v>
      </c>
      <c r="BM14" s="240">
        <f t="shared" si="25"/>
        <v>8</v>
      </c>
      <c r="BN14" s="211">
        <f t="shared" si="39"/>
        <v>0</v>
      </c>
      <c r="BO14" s="236">
        <f t="shared" si="40"/>
        <v>0</v>
      </c>
      <c r="BP14" s="236">
        <f t="shared" si="41"/>
        <v>2</v>
      </c>
      <c r="BQ14" s="236">
        <f t="shared" si="42"/>
        <v>0</v>
      </c>
      <c r="BR14" s="236">
        <f t="shared" si="43"/>
        <v>0</v>
      </c>
      <c r="BS14" s="236">
        <f t="shared" si="44"/>
        <v>2</v>
      </c>
      <c r="BT14" s="236">
        <f t="shared" si="45"/>
        <v>0</v>
      </c>
      <c r="BU14" s="236">
        <f t="shared" si="46"/>
        <v>0</v>
      </c>
      <c r="BV14" s="236">
        <f t="shared" si="47"/>
        <v>6</v>
      </c>
      <c r="BW14" s="236">
        <f t="shared" si="26"/>
        <v>0</v>
      </c>
      <c r="BX14" s="236">
        <f t="shared" si="27"/>
        <v>0</v>
      </c>
      <c r="BY14" s="236">
        <f t="shared" si="28"/>
        <v>8</v>
      </c>
      <c r="BZ14" s="236"/>
      <c r="CA14" s="275" t="s">
        <v>301</v>
      </c>
      <c r="CB14" s="272" t="str">
        <f t="shared" si="0"/>
        <v>N/A</v>
      </c>
      <c r="CC14" s="272" t="str">
        <f t="shared" si="1"/>
        <v>N/A</v>
      </c>
      <c r="CD14" s="272" t="str">
        <f t="shared" si="2"/>
        <v xml:space="preserve">​Se tenían planeadas 20 mesas al año y se realizaron 24.  Se adelantaron 4 del próximo corte ya que se consideró necesario avanzar en el tema porque los próximos meses pueden ser más demandantes en diversos temas.  En total para todo el año se programaron 80.
</v>
      </c>
      <c r="CE14" s="284" t="str">
        <f t="shared" si="3"/>
        <v>N/A</v>
      </c>
      <c r="CF14" s="284" t="str">
        <f t="shared" si="4"/>
        <v>N/A</v>
      </c>
      <c r="CG14" s="284" t="str">
        <f t="shared" si="5"/>
        <v>N/A</v>
      </c>
      <c r="CH14" s="272" t="str">
        <f t="shared" si="6"/>
        <v>N/A</v>
      </c>
      <c r="CI14" s="211" t="str">
        <f t="shared" si="7"/>
        <v>N/A</v>
      </c>
      <c r="CJ14" s="211" t="str">
        <f t="shared" si="8"/>
        <v>N/A</v>
      </c>
      <c r="CK14" s="211" t="str">
        <f t="shared" si="9"/>
        <v>N/A</v>
      </c>
      <c r="CL14" s="211" t="str">
        <f t="shared" si="10"/>
        <v>N/A</v>
      </c>
      <c r="CM14" s="211" t="str">
        <f t="shared" si="11"/>
        <v>N/A</v>
      </c>
      <c r="CO14" s="211" t="s">
        <v>365</v>
      </c>
      <c r="CP14" s="211" t="s">
        <v>140</v>
      </c>
      <c r="CQ14" s="211" t="s">
        <v>230</v>
      </c>
      <c r="CR14" s="211" t="s">
        <v>431</v>
      </c>
      <c r="CS14" s="211" t="s">
        <v>434</v>
      </c>
      <c r="CT14" s="211" t="s">
        <v>230</v>
      </c>
      <c r="CU14" s="211" t="str">
        <f t="shared" si="12"/>
        <v>N/A</v>
      </c>
      <c r="CV14" s="211" t="str">
        <f t="shared" si="13"/>
        <v>N/A</v>
      </c>
      <c r="CW14" s="211" t="str">
        <f t="shared" si="14"/>
        <v xml:space="preserve">​Para el primer trimestre de 2025 se proyectaron la realización de 10 auditorias de las cuales se realizaron 5, dado que se debieron dar prioridad a otras acciones de IV, asi mismo durante el mes de enero no se contaron con recursos de tiquetes, dado que se debio realizar una adición al contrato suscrito con Subaturs, lo que afecto el cumplimiento del indicador.
</v>
      </c>
      <c r="CX14" s="211" t="str">
        <f t="shared" si="15"/>
        <v>N/A</v>
      </c>
      <c r="CY14" s="211" t="str">
        <f t="shared" si="29"/>
        <v>N/A</v>
      </c>
      <c r="CZ14" s="211" t="str">
        <f t="shared" si="16"/>
        <v>N/A</v>
      </c>
      <c r="DA14" s="211" t="str">
        <f t="shared" si="17"/>
        <v>N/A</v>
      </c>
      <c r="DB14" s="211" t="str">
        <f t="shared" si="18"/>
        <v>N/A</v>
      </c>
      <c r="DC14" s="211" t="str">
        <f t="shared" si="19"/>
        <v>N/A</v>
      </c>
      <c r="DD14" s="211" t="str">
        <f t="shared" si="20"/>
        <v>N/A</v>
      </c>
      <c r="DE14" s="211" t="str">
        <f t="shared" si="21"/>
        <v>N/A</v>
      </c>
      <c r="DF14" s="211" t="str">
        <f t="shared" si="22"/>
        <v>N/A</v>
      </c>
    </row>
    <row r="15" spans="1:110" s="211" customFormat="1" ht="242.25">
      <c r="A15" s="348" t="s">
        <v>365</v>
      </c>
      <c r="B15" s="211" t="s">
        <v>140</v>
      </c>
      <c r="C15" s="211" t="s">
        <v>258</v>
      </c>
      <c r="D15" s="211" t="s">
        <v>476</v>
      </c>
      <c r="E15" s="211" t="s">
        <v>477</v>
      </c>
      <c r="F15" s="348" t="s">
        <v>478</v>
      </c>
      <c r="G15" s="211" t="s">
        <v>178</v>
      </c>
      <c r="H15" s="211">
        <v>0.85</v>
      </c>
      <c r="I15" s="323">
        <v>16</v>
      </c>
      <c r="J15" s="323">
        <v>18</v>
      </c>
      <c r="K15" s="288">
        <v>0.88888888888888895</v>
      </c>
      <c r="L15" s="211" t="s">
        <v>479</v>
      </c>
      <c r="M15" s="211" t="b">
        <v>0</v>
      </c>
      <c r="O15" s="209" t="s">
        <v>2832</v>
      </c>
      <c r="P15" s="211" t="s">
        <v>159</v>
      </c>
      <c r="Q15" s="211" t="s">
        <v>160</v>
      </c>
      <c r="T15" s="236" t="s">
        <v>236</v>
      </c>
      <c r="U15" s="269"/>
      <c r="V15" s="269"/>
      <c r="W15" s="269">
        <v>2</v>
      </c>
      <c r="X15" s="269"/>
      <c r="Y15" s="269"/>
      <c r="Z15" s="269">
        <v>2</v>
      </c>
      <c r="AA15" s="269"/>
      <c r="AB15" s="269"/>
      <c r="AC15" s="269">
        <v>6</v>
      </c>
      <c r="AD15" s="269"/>
      <c r="AE15" s="269"/>
      <c r="AF15" s="269">
        <v>8</v>
      </c>
      <c r="AG15" s="269">
        <v>18</v>
      </c>
      <c r="AH15"/>
      <c r="AI15"/>
      <c r="AJ15" s="236" t="s">
        <v>236</v>
      </c>
      <c r="AK15" s="269"/>
      <c r="AL15" s="269"/>
      <c r="AM15" s="269">
        <v>2</v>
      </c>
      <c r="AN15" s="269"/>
      <c r="AO15" s="269"/>
      <c r="AP15" s="269">
        <v>2</v>
      </c>
      <c r="AQ15" s="269"/>
      <c r="AR15" s="269"/>
      <c r="AS15" s="269">
        <v>6</v>
      </c>
      <c r="AT15" s="269"/>
      <c r="AU15" s="269"/>
      <c r="AV15" s="269">
        <v>8</v>
      </c>
      <c r="AW15" s="269">
        <v>18</v>
      </c>
      <c r="AX15" s="236"/>
      <c r="AY15" s="236"/>
      <c r="AZ15" s="236"/>
      <c r="BA15" s="239" t="s">
        <v>244</v>
      </c>
      <c r="BB15" s="240">
        <f t="shared" si="30"/>
        <v>0</v>
      </c>
      <c r="BC15" s="240">
        <f t="shared" si="31"/>
        <v>0</v>
      </c>
      <c r="BD15" s="240">
        <f t="shared" si="32"/>
        <v>16</v>
      </c>
      <c r="BE15" s="240">
        <f t="shared" si="33"/>
        <v>0</v>
      </c>
      <c r="BF15" s="240">
        <f t="shared" si="34"/>
        <v>0</v>
      </c>
      <c r="BG15" s="240">
        <f t="shared" si="35"/>
        <v>35</v>
      </c>
      <c r="BH15" s="240">
        <f t="shared" si="36"/>
        <v>0</v>
      </c>
      <c r="BI15" s="240">
        <f t="shared" si="37"/>
        <v>0</v>
      </c>
      <c r="BJ15" s="240">
        <f t="shared" si="38"/>
        <v>50</v>
      </c>
      <c r="BK15" s="240">
        <f t="shared" si="23"/>
        <v>0</v>
      </c>
      <c r="BL15" s="240">
        <f t="shared" si="24"/>
        <v>0</v>
      </c>
      <c r="BM15" s="240">
        <f t="shared" si="25"/>
        <v>63</v>
      </c>
      <c r="BN15" s="211">
        <f t="shared" si="39"/>
        <v>0</v>
      </c>
      <c r="BO15" s="236">
        <f t="shared" si="40"/>
        <v>0</v>
      </c>
      <c r="BP15" s="236">
        <f t="shared" si="41"/>
        <v>63</v>
      </c>
      <c r="BQ15" s="236">
        <f t="shared" si="42"/>
        <v>0</v>
      </c>
      <c r="BR15" s="236">
        <f t="shared" si="43"/>
        <v>0</v>
      </c>
      <c r="BS15" s="236">
        <f t="shared" si="44"/>
        <v>63</v>
      </c>
      <c r="BT15" s="236">
        <f t="shared" si="45"/>
        <v>0</v>
      </c>
      <c r="BU15" s="236">
        <f t="shared" si="46"/>
        <v>0</v>
      </c>
      <c r="BV15" s="236">
        <f t="shared" si="47"/>
        <v>63</v>
      </c>
      <c r="BW15" s="236">
        <f t="shared" si="26"/>
        <v>0</v>
      </c>
      <c r="BX15" s="236">
        <f t="shared" si="27"/>
        <v>0</v>
      </c>
      <c r="BY15" s="236">
        <f t="shared" si="28"/>
        <v>63</v>
      </c>
      <c r="BZ15" s="236"/>
      <c r="CA15" s="275" t="s">
        <v>307</v>
      </c>
      <c r="CB15" s="272" t="str">
        <f t="shared" si="0"/>
        <v>N/A</v>
      </c>
      <c r="CC15" s="272" t="str">
        <f t="shared" si="1"/>
        <v>N/A</v>
      </c>
      <c r="CD15" s="272" t="str">
        <f t="shared" si="2"/>
        <v xml:space="preserve">Se realizan actividades derivadas de mesas de Gobernanza en las siguientes Entidades Territoriales:
* Chiquinquirá
* Soatá
* Sogamoso
En el excel adjunto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
</v>
      </c>
      <c r="CE15" s="284" t="str">
        <f t="shared" si="3"/>
        <v>N/A</v>
      </c>
      <c r="CF15" s="284" t="str">
        <f t="shared" si="4"/>
        <v>N/A</v>
      </c>
      <c r="CG15" s="284" t="str">
        <f t="shared" si="5"/>
        <v>N/A</v>
      </c>
      <c r="CH15" s="272" t="str">
        <f t="shared" si="6"/>
        <v>N/A</v>
      </c>
      <c r="CI15" s="211" t="str">
        <f t="shared" si="7"/>
        <v>N/A</v>
      </c>
      <c r="CJ15" s="211" t="str">
        <f t="shared" si="8"/>
        <v>N/A</v>
      </c>
      <c r="CK15" s="211" t="str">
        <f t="shared" si="9"/>
        <v>N/A</v>
      </c>
      <c r="CL15" s="211" t="str">
        <f t="shared" si="10"/>
        <v>N/A</v>
      </c>
      <c r="CM15" s="211" t="str">
        <f t="shared" si="11"/>
        <v>N/A</v>
      </c>
      <c r="CO15" s="211" t="s">
        <v>365</v>
      </c>
      <c r="CP15" s="211" t="s">
        <v>140</v>
      </c>
      <c r="CQ15" s="211" t="s">
        <v>258</v>
      </c>
      <c r="CR15" s="211" t="s">
        <v>476</v>
      </c>
      <c r="CS15" s="211" t="s">
        <v>479</v>
      </c>
      <c r="CT15" s="211" t="s">
        <v>258</v>
      </c>
      <c r="CU15" s="211" t="str">
        <f t="shared" si="12"/>
        <v>N/A</v>
      </c>
      <c r="CV15" s="211" t="str">
        <f t="shared" si="13"/>
        <v>N/A</v>
      </c>
      <c r="CW15" s="211" t="str">
        <f t="shared" si="14"/>
        <v>​A corte febrero de 2025 se encontraban 9 EPS bajo medida especial, la actualización de las fichas se realiza de manera mensual, siendo actualizadas a diciembre de 2024 la fichas correspondientes a las 9 EPS y para el mes de enero 7 de las 9 EPS, lo que corresponde al 88% de las fichas técnicas. Se indica que la actualización correspondiente al mes de febrero del 2025, depende de la informacíón reportada por los vigilados de acuerdo con lo establecido en la Circular Única y sus modificatorias, que establece que la información reportada por las EPS debe hacerse a los (veinte (20) días del mes siguiente del periodo de  reporte, siendo esta reportada el 20 de marzo, por lo que se encuentra en análisis y evaluación por parte de los profesionales de cada componente, la cual será entregada completamente en el siguiente trimestre</v>
      </c>
      <c r="CX15" s="211" t="str">
        <f t="shared" si="15"/>
        <v>N/A</v>
      </c>
      <c r="CY15" s="211" t="str">
        <f t="shared" si="29"/>
        <v>N/A</v>
      </c>
      <c r="CZ15" s="211" t="str">
        <f t="shared" si="16"/>
        <v>N/A</v>
      </c>
      <c r="DA15" s="211" t="str">
        <f t="shared" si="17"/>
        <v>N/A</v>
      </c>
      <c r="DB15" s="211" t="str">
        <f t="shared" si="18"/>
        <v>N/A</v>
      </c>
      <c r="DC15" s="211" t="str">
        <f t="shared" si="19"/>
        <v>N/A</v>
      </c>
      <c r="DD15" s="211" t="str">
        <f t="shared" si="20"/>
        <v>N/A</v>
      </c>
      <c r="DE15" s="211" t="str">
        <f t="shared" si="21"/>
        <v>N/A</v>
      </c>
      <c r="DF15" s="211" t="str">
        <f t="shared" si="22"/>
        <v>N/A</v>
      </c>
    </row>
    <row r="16" spans="1:110" s="211" customFormat="1" ht="300">
      <c r="A16" s="348" t="s">
        <v>365</v>
      </c>
      <c r="B16" s="211" t="s">
        <v>140</v>
      </c>
      <c r="C16" s="211" t="s">
        <v>311</v>
      </c>
      <c r="D16" s="211" t="s">
        <v>387</v>
      </c>
      <c r="E16" s="211" t="s">
        <v>388</v>
      </c>
      <c r="F16" s="348" t="s">
        <v>389</v>
      </c>
      <c r="G16" s="211" t="s">
        <v>157</v>
      </c>
      <c r="H16" s="211">
        <v>6</v>
      </c>
      <c r="I16" s="323">
        <v>6</v>
      </c>
      <c r="J16" s="323">
        <v>6</v>
      </c>
      <c r="K16" s="288">
        <v>1</v>
      </c>
      <c r="L16" s="211" t="s">
        <v>390</v>
      </c>
      <c r="M16" s="211" t="b">
        <v>0</v>
      </c>
      <c r="O16" s="209" t="s">
        <v>2832</v>
      </c>
      <c r="P16" s="211" t="s">
        <v>159</v>
      </c>
      <c r="Q16" s="211" t="s">
        <v>160</v>
      </c>
      <c r="T16" s="236" t="s">
        <v>244</v>
      </c>
      <c r="U16" s="269"/>
      <c r="V16" s="269"/>
      <c r="W16" s="269">
        <v>16</v>
      </c>
      <c r="X16" s="269"/>
      <c r="Y16" s="269"/>
      <c r="Z16" s="269">
        <v>35</v>
      </c>
      <c r="AA16" s="269"/>
      <c r="AB16" s="269"/>
      <c r="AC16" s="269">
        <v>50</v>
      </c>
      <c r="AD16" s="269"/>
      <c r="AE16" s="269"/>
      <c r="AF16" s="269">
        <v>63</v>
      </c>
      <c r="AG16" s="269">
        <v>164</v>
      </c>
      <c r="AH16"/>
      <c r="AI16"/>
      <c r="AJ16" s="236" t="s">
        <v>244</v>
      </c>
      <c r="AK16" s="269"/>
      <c r="AL16" s="269"/>
      <c r="AM16" s="269">
        <v>63</v>
      </c>
      <c r="AN16" s="269"/>
      <c r="AO16" s="269"/>
      <c r="AP16" s="269">
        <v>63</v>
      </c>
      <c r="AQ16" s="269"/>
      <c r="AR16" s="269"/>
      <c r="AS16" s="269">
        <v>63</v>
      </c>
      <c r="AT16" s="269"/>
      <c r="AU16" s="269"/>
      <c r="AV16" s="269">
        <v>63</v>
      </c>
      <c r="AW16" s="269">
        <v>252</v>
      </c>
      <c r="AX16" s="236"/>
      <c r="AY16" s="236"/>
      <c r="AZ16" s="236"/>
      <c r="BA16" s="239" t="s">
        <v>251</v>
      </c>
      <c r="BB16" s="240">
        <f t="shared" si="30"/>
        <v>0</v>
      </c>
      <c r="BC16" s="240">
        <f t="shared" si="31"/>
        <v>0</v>
      </c>
      <c r="BD16" s="240">
        <f t="shared" si="32"/>
        <v>3</v>
      </c>
      <c r="BE16" s="240">
        <f t="shared" si="33"/>
        <v>0</v>
      </c>
      <c r="BF16" s="240">
        <f t="shared" si="34"/>
        <v>0</v>
      </c>
      <c r="BG16" s="240">
        <f t="shared" si="35"/>
        <v>3</v>
      </c>
      <c r="BH16" s="240">
        <f t="shared" si="36"/>
        <v>0</v>
      </c>
      <c r="BI16" s="240">
        <f t="shared" si="37"/>
        <v>0</v>
      </c>
      <c r="BJ16" s="240">
        <f t="shared" si="38"/>
        <v>3</v>
      </c>
      <c r="BK16" s="240">
        <f t="shared" si="23"/>
        <v>0</v>
      </c>
      <c r="BL16" s="240">
        <f t="shared" si="24"/>
        <v>0</v>
      </c>
      <c r="BM16" s="240">
        <f t="shared" si="25"/>
        <v>3</v>
      </c>
      <c r="BN16" s="211">
        <f t="shared" si="39"/>
        <v>0</v>
      </c>
      <c r="BO16" s="236">
        <f t="shared" si="40"/>
        <v>0</v>
      </c>
      <c r="BP16" s="236">
        <f t="shared" si="41"/>
        <v>3</v>
      </c>
      <c r="BQ16" s="236">
        <f t="shared" si="42"/>
        <v>0</v>
      </c>
      <c r="BR16" s="236">
        <f t="shared" si="43"/>
        <v>0</v>
      </c>
      <c r="BS16" s="236">
        <f t="shared" si="44"/>
        <v>3</v>
      </c>
      <c r="BT16" s="236">
        <f t="shared" si="45"/>
        <v>0</v>
      </c>
      <c r="BU16" s="236">
        <f t="shared" si="46"/>
        <v>0</v>
      </c>
      <c r="BV16" s="236">
        <f t="shared" si="47"/>
        <v>3</v>
      </c>
      <c r="BW16" s="236">
        <f t="shared" si="26"/>
        <v>0</v>
      </c>
      <c r="BX16" s="236">
        <f t="shared" si="27"/>
        <v>0</v>
      </c>
      <c r="BY16" s="236">
        <f t="shared" si="28"/>
        <v>3</v>
      </c>
      <c r="BZ16" s="236"/>
      <c r="CA16" s="276" t="s">
        <v>563</v>
      </c>
      <c r="CB16" s="272" t="str">
        <f t="shared" si="0"/>
        <v>N/A</v>
      </c>
      <c r="CC16" s="272" t="str">
        <f t="shared" si="1"/>
        <v>N/A</v>
      </c>
      <c r="CD16" s="272" t="str">
        <f t="shared" si="2"/>
        <v>N/A</v>
      </c>
      <c r="CE16" s="284" t="str">
        <f t="shared" si="3"/>
        <v xml:space="preserve">​En indicador es a demanda de acuerdo a las necesidades de articulación con las delegadas para apoyar el IV con los respectivos actores del sistema.
En este período se realizaron a demanda 514 acciones de apoyo a las Delegadas en territorio, tal como se muestran en la base de datos en excel que se adjunta.
También se adjunta un enlace donde están las evidencias que se listan en el mencionado excel.
Se anexan las evidencias correspondientes dentro del URL adjunto,  ya que hay evidencias de todas las regionales y estas son muy pesadas para ser cargadas aquí.  Se han concedido algunos permisos para este URL. ( Mónica Liliana Salazar, Gloria Rocío PEreira, Peter William VArgas, Johana Patricia Orjuela).  Si Alguien mas de la OAP o de la OCI requiere ingresar al URL, solicitarlo a Rafael Enrique García Cadavid.
</v>
      </c>
      <c r="CF16" s="284" t="str">
        <f t="shared" si="4"/>
        <v>N/A</v>
      </c>
      <c r="CG16" s="284" t="str">
        <f t="shared" si="5"/>
        <v>N/A</v>
      </c>
      <c r="CH16" s="272" t="str">
        <f t="shared" si="6"/>
        <v>N/A</v>
      </c>
      <c r="CI16" s="211" t="str">
        <f t="shared" si="7"/>
        <v>N/A</v>
      </c>
      <c r="CJ16" s="211" t="str">
        <f t="shared" si="8"/>
        <v>N/A</v>
      </c>
      <c r="CK16" s="211" t="str">
        <f t="shared" si="9"/>
        <v>N/A</v>
      </c>
      <c r="CL16" s="211" t="str">
        <f t="shared" si="10"/>
        <v>N/A</v>
      </c>
      <c r="CM16" s="211" t="str">
        <f t="shared" si="11"/>
        <v>N/A</v>
      </c>
      <c r="CO16" s="211" t="s">
        <v>365</v>
      </c>
      <c r="CP16" s="211" t="s">
        <v>140</v>
      </c>
      <c r="CQ16" s="211" t="s">
        <v>311</v>
      </c>
      <c r="CR16" s="211" t="s">
        <v>387</v>
      </c>
      <c r="CS16" s="211" t="s">
        <v>390</v>
      </c>
      <c r="CT16" s="211" t="s">
        <v>311</v>
      </c>
      <c r="CU16" s="211" t="str">
        <f t="shared" si="12"/>
        <v>N/A</v>
      </c>
      <c r="CV16" s="211" t="str">
        <f t="shared" si="13"/>
        <v>N/A</v>
      </c>
      <c r="CW16" s="211" t="str">
        <f t="shared" si="14"/>
        <v xml:space="preserve">​Para el presente trimestre se realizó seguimiento a 6 de las 11 EPS que actualmente se encuentran en medida especial, cumpliendo asi con el 100% del indicador
</v>
      </c>
      <c r="CX16" s="211" t="str">
        <f t="shared" si="15"/>
        <v>N/A</v>
      </c>
      <c r="CY16" s="211" t="str">
        <f t="shared" si="29"/>
        <v>N/A</v>
      </c>
      <c r="CZ16" s="211" t="str">
        <f t="shared" si="16"/>
        <v>N/A</v>
      </c>
      <c r="DA16" s="211" t="str">
        <f t="shared" si="17"/>
        <v>N/A</v>
      </c>
      <c r="DB16" s="211" t="str">
        <f t="shared" si="18"/>
        <v>N/A</v>
      </c>
      <c r="DC16" s="211" t="str">
        <f t="shared" si="19"/>
        <v>N/A</v>
      </c>
      <c r="DD16" s="211" t="str">
        <f t="shared" si="20"/>
        <v>N/A</v>
      </c>
      <c r="DE16" s="211" t="str">
        <f t="shared" si="21"/>
        <v>N/A</v>
      </c>
      <c r="DF16" s="211" t="str">
        <f t="shared" si="22"/>
        <v>N/A</v>
      </c>
    </row>
    <row r="17" spans="1:110" s="211" customFormat="1" ht="178.5">
      <c r="A17" s="348" t="s">
        <v>365</v>
      </c>
      <c r="B17" s="211" t="s">
        <v>140</v>
      </c>
      <c r="C17" s="211" t="s">
        <v>510</v>
      </c>
      <c r="D17" s="211" t="s">
        <v>431</v>
      </c>
      <c r="E17" s="211" t="s">
        <v>511</v>
      </c>
      <c r="F17" s="348" t="s">
        <v>512</v>
      </c>
      <c r="G17" s="211" t="s">
        <v>178</v>
      </c>
      <c r="H17" s="211">
        <v>0.8</v>
      </c>
      <c r="I17" s="324">
        <v>0.873</v>
      </c>
      <c r="J17" s="324">
        <v>1</v>
      </c>
      <c r="K17" s="288">
        <v>0.873</v>
      </c>
      <c r="L17" s="211" t="s">
        <v>3103</v>
      </c>
      <c r="M17" s="211" t="b">
        <v>0</v>
      </c>
      <c r="O17" s="209" t="s">
        <v>2832</v>
      </c>
      <c r="P17" s="211" t="s">
        <v>159</v>
      </c>
      <c r="Q17" s="211" t="s">
        <v>160</v>
      </c>
      <c r="T17" s="236" t="s">
        <v>251</v>
      </c>
      <c r="U17" s="269"/>
      <c r="V17" s="269"/>
      <c r="W17" s="269">
        <v>3</v>
      </c>
      <c r="X17" s="269"/>
      <c r="Y17" s="269"/>
      <c r="Z17" s="269">
        <v>3</v>
      </c>
      <c r="AA17" s="269"/>
      <c r="AB17" s="269"/>
      <c r="AC17" s="269">
        <v>3</v>
      </c>
      <c r="AD17" s="269"/>
      <c r="AE17" s="269"/>
      <c r="AF17" s="269">
        <v>3</v>
      </c>
      <c r="AG17" s="269">
        <v>12</v>
      </c>
      <c r="AH17"/>
      <c r="AI17"/>
      <c r="AJ17" s="236" t="s">
        <v>251</v>
      </c>
      <c r="AK17" s="269"/>
      <c r="AL17" s="269"/>
      <c r="AM17" s="269">
        <v>3</v>
      </c>
      <c r="AN17" s="269"/>
      <c r="AO17" s="269"/>
      <c r="AP17" s="269">
        <v>3</v>
      </c>
      <c r="AQ17" s="269"/>
      <c r="AR17" s="269"/>
      <c r="AS17" s="269">
        <v>3</v>
      </c>
      <c r="AT17" s="269"/>
      <c r="AU17" s="269"/>
      <c r="AV17" s="269">
        <v>3</v>
      </c>
      <c r="AW17" s="269">
        <v>12</v>
      </c>
      <c r="AX17" s="236"/>
      <c r="AY17" s="236"/>
      <c r="AZ17" s="236"/>
      <c r="BA17" s="239" t="s">
        <v>1530</v>
      </c>
      <c r="BB17" s="240">
        <f t="shared" si="30"/>
        <v>0</v>
      </c>
      <c r="BC17" s="240">
        <f t="shared" si="31"/>
        <v>0</v>
      </c>
      <c r="BD17" s="240">
        <f t="shared" si="32"/>
        <v>0</v>
      </c>
      <c r="BE17" s="240">
        <f t="shared" si="33"/>
        <v>0</v>
      </c>
      <c r="BF17" s="240">
        <f t="shared" si="34"/>
        <v>0</v>
      </c>
      <c r="BG17" s="240">
        <f t="shared" si="35"/>
        <v>1</v>
      </c>
      <c r="BH17" s="240">
        <f t="shared" si="36"/>
        <v>0</v>
      </c>
      <c r="BI17" s="240">
        <f t="shared" si="37"/>
        <v>0</v>
      </c>
      <c r="BJ17" s="240">
        <f t="shared" si="38"/>
        <v>0</v>
      </c>
      <c r="BK17" s="240">
        <f t="shared" si="23"/>
        <v>0</v>
      </c>
      <c r="BL17" s="240">
        <f t="shared" si="24"/>
        <v>0</v>
      </c>
      <c r="BM17" s="240">
        <f t="shared" si="25"/>
        <v>1</v>
      </c>
      <c r="BN17" s="211">
        <f t="shared" si="39"/>
        <v>0</v>
      </c>
      <c r="BO17" s="236">
        <f t="shared" si="40"/>
        <v>0</v>
      </c>
      <c r="BP17" s="236">
        <f t="shared" si="41"/>
        <v>0</v>
      </c>
      <c r="BQ17" s="236">
        <f t="shared" si="42"/>
        <v>0</v>
      </c>
      <c r="BR17" s="236">
        <f t="shared" si="43"/>
        <v>0</v>
      </c>
      <c r="BS17" s="236">
        <f t="shared" si="44"/>
        <v>1</v>
      </c>
      <c r="BT17" s="236">
        <f t="shared" si="45"/>
        <v>0</v>
      </c>
      <c r="BU17" s="236">
        <f t="shared" si="46"/>
        <v>0</v>
      </c>
      <c r="BV17" s="236">
        <f t="shared" si="47"/>
        <v>0</v>
      </c>
      <c r="BW17" s="236">
        <f t="shared" si="26"/>
        <v>0</v>
      </c>
      <c r="BX17" s="236">
        <f t="shared" si="27"/>
        <v>0</v>
      </c>
      <c r="BY17" s="236">
        <f t="shared" si="28"/>
        <v>1</v>
      </c>
      <c r="BZ17" s="236"/>
      <c r="CA17" s="275" t="s">
        <v>366</v>
      </c>
      <c r="CB17" s="272" t="str">
        <f t="shared" si="0"/>
        <v>N/A</v>
      </c>
      <c r="CC17" s="272" t="str">
        <f t="shared" si="1"/>
        <v>N/A</v>
      </c>
      <c r="CD17" s="272" t="str">
        <f t="shared" si="2"/>
        <v xml:space="preserve">​Durante el primer trimestre de 2025, se finalizaron 14 trámites de los cuáles 12 fueron gestionados con estudio de viabilidad o recomendación en 140 dias o menos, cumpliendo asi con el 85.71% de la meta programada.
</v>
      </c>
      <c r="CE17" s="284" t="str">
        <f t="shared" si="3"/>
        <v>N/A</v>
      </c>
      <c r="CF17" s="284" t="str">
        <f t="shared" si="4"/>
        <v>N/A</v>
      </c>
      <c r="CG17" s="284" t="str">
        <f t="shared" si="5"/>
        <v>N/A</v>
      </c>
      <c r="CH17" s="272" t="str">
        <f t="shared" si="6"/>
        <v>N/A</v>
      </c>
      <c r="CI17" s="211" t="str">
        <f t="shared" si="7"/>
        <v>N/A</v>
      </c>
      <c r="CJ17" s="211" t="str">
        <f t="shared" si="8"/>
        <v>N/A</v>
      </c>
      <c r="CK17" s="211" t="str">
        <f t="shared" si="9"/>
        <v>N/A</v>
      </c>
      <c r="CL17" s="211" t="str">
        <f t="shared" si="10"/>
        <v>N/A</v>
      </c>
      <c r="CM17" s="211" t="str">
        <f t="shared" si="11"/>
        <v>N/A</v>
      </c>
      <c r="CO17" s="211" t="s">
        <v>365</v>
      </c>
      <c r="CP17" s="211" t="s">
        <v>140</v>
      </c>
      <c r="CQ17" s="211" t="s">
        <v>510</v>
      </c>
      <c r="CR17" s="211" t="s">
        <v>431</v>
      </c>
      <c r="CS17" s="211" t="s">
        <v>3103</v>
      </c>
      <c r="CT17" s="211" t="s">
        <v>510</v>
      </c>
      <c r="CU17" s="211" t="str">
        <f t="shared" si="12"/>
        <v>N/A</v>
      </c>
      <c r="CV17" s="211" t="str">
        <f t="shared" si="13"/>
        <v>N/A</v>
      </c>
      <c r="CW17" s="211" t="str">
        <f t="shared" si="14"/>
        <v xml:space="preserve">Observación: Una vez realizada la consolidación de las actividades de IV desarrolladas por los grupos internos de trabajo se indica que se cumplio con el indicador para el primer trimestre, cuya mediana correspondiente es 87.3 %.
Se aclara que cada grupo tienen diferentes tipos de vigilados por lo que el total de vigilados no son objeto de acciones de IV por todos los grupos internos de trabajo.
</v>
      </c>
      <c r="CX17" s="211" t="str">
        <f t="shared" si="15"/>
        <v>N/A</v>
      </c>
      <c r="CY17" s="211" t="str">
        <f t="shared" si="29"/>
        <v>N/A</v>
      </c>
      <c r="CZ17" s="211" t="str">
        <f t="shared" si="16"/>
        <v>N/A</v>
      </c>
      <c r="DA17" s="211" t="str">
        <f t="shared" si="17"/>
        <v>N/A</v>
      </c>
      <c r="DB17" s="211" t="str">
        <f t="shared" si="18"/>
        <v>N/A</v>
      </c>
      <c r="DC17" s="211" t="str">
        <f t="shared" si="19"/>
        <v>N/A</v>
      </c>
      <c r="DD17" s="211" t="str">
        <f t="shared" si="20"/>
        <v>N/A</v>
      </c>
      <c r="DE17" s="211" t="str">
        <f t="shared" si="21"/>
        <v>N/A</v>
      </c>
      <c r="DF17" s="211" t="str">
        <f t="shared" si="22"/>
        <v>N/A</v>
      </c>
    </row>
    <row r="18" spans="1:110" s="211" customFormat="1" ht="185.25">
      <c r="A18" s="348" t="s">
        <v>365</v>
      </c>
      <c r="B18" s="211" t="s">
        <v>140</v>
      </c>
      <c r="C18" s="211" t="s">
        <v>366</v>
      </c>
      <c r="D18" s="211" t="s">
        <v>367</v>
      </c>
      <c r="E18" s="211" t="s">
        <v>368</v>
      </c>
      <c r="F18" s="348" t="s">
        <v>369</v>
      </c>
      <c r="G18" s="211" t="s">
        <v>178</v>
      </c>
      <c r="H18" s="211">
        <v>0.85</v>
      </c>
      <c r="I18" s="323">
        <v>12</v>
      </c>
      <c r="J18" s="323">
        <v>14</v>
      </c>
      <c r="K18" s="288">
        <v>0.85714285714285698</v>
      </c>
      <c r="L18" s="211" t="s">
        <v>370</v>
      </c>
      <c r="M18" s="211" t="b">
        <v>0</v>
      </c>
      <c r="O18" s="209" t="s">
        <v>2832</v>
      </c>
      <c r="P18" s="211" t="s">
        <v>159</v>
      </c>
      <c r="Q18" s="211" t="s">
        <v>160</v>
      </c>
      <c r="T18" s="236" t="s">
        <v>1530</v>
      </c>
      <c r="U18" s="269"/>
      <c r="V18" s="269"/>
      <c r="W18" s="269"/>
      <c r="X18" s="269"/>
      <c r="Y18" s="269"/>
      <c r="Z18" s="269">
        <v>1</v>
      </c>
      <c r="AA18" s="269"/>
      <c r="AB18" s="269"/>
      <c r="AC18" s="269"/>
      <c r="AD18" s="269"/>
      <c r="AE18" s="269"/>
      <c r="AF18" s="269">
        <v>1</v>
      </c>
      <c r="AG18" s="269">
        <v>2</v>
      </c>
      <c r="AH18"/>
      <c r="AI18"/>
      <c r="AJ18" s="236" t="s">
        <v>1530</v>
      </c>
      <c r="AK18" s="269"/>
      <c r="AL18" s="269"/>
      <c r="AM18" s="269"/>
      <c r="AN18" s="269"/>
      <c r="AO18" s="269"/>
      <c r="AP18" s="269">
        <v>1</v>
      </c>
      <c r="AQ18" s="269"/>
      <c r="AR18" s="269"/>
      <c r="AS18" s="269"/>
      <c r="AT18" s="269"/>
      <c r="AU18" s="269"/>
      <c r="AV18" s="269">
        <v>1</v>
      </c>
      <c r="AW18" s="269">
        <v>2</v>
      </c>
      <c r="AX18" s="236"/>
      <c r="AY18" s="236"/>
      <c r="AZ18" s="236"/>
      <c r="BA18" s="239" t="s">
        <v>1513</v>
      </c>
      <c r="BB18" s="240">
        <f t="shared" si="30"/>
        <v>0</v>
      </c>
      <c r="BC18" s="240">
        <f t="shared" si="31"/>
        <v>0</v>
      </c>
      <c r="BD18" s="240">
        <f t="shared" si="32"/>
        <v>0</v>
      </c>
      <c r="BE18" s="240">
        <f t="shared" si="33"/>
        <v>0</v>
      </c>
      <c r="BF18" s="240">
        <f t="shared" si="34"/>
        <v>0</v>
      </c>
      <c r="BG18" s="240">
        <f t="shared" si="35"/>
        <v>1</v>
      </c>
      <c r="BH18" s="240">
        <f t="shared" si="36"/>
        <v>0</v>
      </c>
      <c r="BI18" s="240">
        <f t="shared" si="37"/>
        <v>0</v>
      </c>
      <c r="BJ18" s="240">
        <f t="shared" si="38"/>
        <v>0</v>
      </c>
      <c r="BK18" s="240">
        <f t="shared" si="23"/>
        <v>0</v>
      </c>
      <c r="BL18" s="240">
        <f t="shared" si="24"/>
        <v>0</v>
      </c>
      <c r="BM18" s="240">
        <f t="shared" si="25"/>
        <v>1</v>
      </c>
      <c r="BN18" s="211">
        <f t="shared" si="39"/>
        <v>0</v>
      </c>
      <c r="BO18" s="236">
        <f t="shared" si="40"/>
        <v>0</v>
      </c>
      <c r="BP18" s="236">
        <f t="shared" si="41"/>
        <v>0</v>
      </c>
      <c r="BQ18" s="236">
        <f t="shared" si="42"/>
        <v>0</v>
      </c>
      <c r="BR18" s="236">
        <f t="shared" si="43"/>
        <v>0</v>
      </c>
      <c r="BS18" s="236">
        <f t="shared" si="44"/>
        <v>1</v>
      </c>
      <c r="BT18" s="236">
        <f t="shared" si="45"/>
        <v>0</v>
      </c>
      <c r="BU18" s="236">
        <f t="shared" si="46"/>
        <v>0</v>
      </c>
      <c r="BV18" s="236">
        <f t="shared" si="47"/>
        <v>0</v>
      </c>
      <c r="BW18" s="236">
        <f t="shared" si="26"/>
        <v>0</v>
      </c>
      <c r="BX18" s="236">
        <f t="shared" si="27"/>
        <v>0</v>
      </c>
      <c r="BY18" s="236">
        <f t="shared" si="28"/>
        <v>1</v>
      </c>
      <c r="BZ18" s="236"/>
      <c r="CA18" s="275" t="s">
        <v>510</v>
      </c>
      <c r="CB18" s="272" t="str">
        <f t="shared" si="0"/>
        <v>N/A</v>
      </c>
      <c r="CC18" s="272" t="str">
        <f t="shared" si="1"/>
        <v>N/A</v>
      </c>
      <c r="CD18" s="272" t="str">
        <f t="shared" si="2"/>
        <v xml:space="preserve">Observación: Una vez realizada la consolidación de las actividades de IV desarrolladas por los grupos internos de trabajo se indica que se cumplio con el indicador para el primer trimestre, cuya mediana correspondiente es 87.3 %.
Se aclara que cada grupo tienen diferentes tipos de vigilados por lo que el total de vigilados no son objeto de acciones de IV por todos los grupos internos de trabajo.
</v>
      </c>
      <c r="CE18" s="284" t="str">
        <f t="shared" si="3"/>
        <v>N/A</v>
      </c>
      <c r="CF18" s="284" t="str">
        <f t="shared" si="4"/>
        <v>N/A</v>
      </c>
      <c r="CG18" s="284" t="str">
        <f t="shared" si="5"/>
        <v>N/A</v>
      </c>
      <c r="CH18" s="272" t="str">
        <f t="shared" si="6"/>
        <v>N/A</v>
      </c>
      <c r="CI18" s="211" t="str">
        <f t="shared" si="7"/>
        <v>N/A</v>
      </c>
      <c r="CJ18" s="211" t="str">
        <f t="shared" si="8"/>
        <v>N/A</v>
      </c>
      <c r="CK18" s="211" t="str">
        <f t="shared" si="9"/>
        <v>N/A</v>
      </c>
      <c r="CL18" s="211" t="str">
        <f t="shared" si="10"/>
        <v>N/A</v>
      </c>
      <c r="CM18" s="211" t="str">
        <f t="shared" si="11"/>
        <v>N/A</v>
      </c>
      <c r="CO18" s="211" t="s">
        <v>365</v>
      </c>
      <c r="CP18" s="211" t="s">
        <v>140</v>
      </c>
      <c r="CQ18" s="211" t="s">
        <v>366</v>
      </c>
      <c r="CR18" s="211" t="s">
        <v>367</v>
      </c>
      <c r="CS18" s="211" t="s">
        <v>370</v>
      </c>
      <c r="CT18" s="211" t="s">
        <v>366</v>
      </c>
      <c r="CU18" s="211" t="str">
        <f t="shared" si="12"/>
        <v>N/A</v>
      </c>
      <c r="CV18" s="211" t="str">
        <f t="shared" si="13"/>
        <v>N/A</v>
      </c>
      <c r="CW18" s="211" t="str">
        <f t="shared" si="14"/>
        <v xml:space="preserve">​Durante el primer trimestre de 2025, se finalizaron 14 trámites de los cuáles 12 fueron gestionados con estudio de viabilidad o recomendación en 140 dias o menos, cumpliendo asi con el 85.71% de la meta programada.
</v>
      </c>
      <c r="CX18" s="211" t="str">
        <f t="shared" si="15"/>
        <v>N/A</v>
      </c>
      <c r="CY18" s="211" t="str">
        <f t="shared" si="29"/>
        <v>N/A</v>
      </c>
      <c r="CZ18" s="211" t="str">
        <f t="shared" si="16"/>
        <v>N/A</v>
      </c>
      <c r="DA18" s="211" t="str">
        <f t="shared" si="17"/>
        <v>N/A</v>
      </c>
      <c r="DB18" s="211" t="str">
        <f t="shared" si="18"/>
        <v>N/A</v>
      </c>
      <c r="DC18" s="211" t="str">
        <f t="shared" si="19"/>
        <v>N/A</v>
      </c>
      <c r="DD18" s="211" t="str">
        <f t="shared" si="20"/>
        <v>N/A</v>
      </c>
      <c r="DE18" s="211" t="str">
        <f t="shared" si="21"/>
        <v>N/A</v>
      </c>
      <c r="DF18" s="211" t="str">
        <f t="shared" si="22"/>
        <v>N/A</v>
      </c>
    </row>
    <row r="19" spans="1:110" s="211" customFormat="1" ht="128.25">
      <c r="A19" s="348" t="s">
        <v>152</v>
      </c>
      <c r="B19" s="211" t="s">
        <v>140</v>
      </c>
      <c r="C19" s="211" t="s">
        <v>174</v>
      </c>
      <c r="D19" s="211" t="s">
        <v>175</v>
      </c>
      <c r="E19" s="211" t="s">
        <v>176</v>
      </c>
      <c r="F19" s="348" t="s">
        <v>177</v>
      </c>
      <c r="G19" s="211" t="s">
        <v>178</v>
      </c>
      <c r="H19" s="211">
        <v>1</v>
      </c>
      <c r="I19" s="323">
        <v>2195</v>
      </c>
      <c r="J19" s="323">
        <v>2195</v>
      </c>
      <c r="K19" s="288">
        <v>1</v>
      </c>
      <c r="L19" s="211" t="s">
        <v>179</v>
      </c>
      <c r="M19" s="211" t="b">
        <v>0</v>
      </c>
      <c r="O19" s="209" t="s">
        <v>2832</v>
      </c>
      <c r="P19" s="211" t="s">
        <v>159</v>
      </c>
      <c r="Q19" s="211" t="s">
        <v>160</v>
      </c>
      <c r="T19" s="236" t="s">
        <v>1513</v>
      </c>
      <c r="U19" s="269"/>
      <c r="V19" s="269"/>
      <c r="W19" s="269"/>
      <c r="X19" s="269"/>
      <c r="Y19" s="269"/>
      <c r="Z19" s="269">
        <v>1</v>
      </c>
      <c r="AA19" s="269"/>
      <c r="AB19" s="269"/>
      <c r="AC19" s="269"/>
      <c r="AD19" s="269"/>
      <c r="AE19" s="269"/>
      <c r="AF19" s="269">
        <v>1</v>
      </c>
      <c r="AG19" s="269">
        <v>2</v>
      </c>
      <c r="AH19"/>
      <c r="AI19"/>
      <c r="AJ19" s="236" t="s">
        <v>1513</v>
      </c>
      <c r="AK19" s="269"/>
      <c r="AL19" s="269"/>
      <c r="AM19" s="269"/>
      <c r="AN19" s="269"/>
      <c r="AO19" s="269"/>
      <c r="AP19" s="269">
        <v>1</v>
      </c>
      <c r="AQ19" s="269"/>
      <c r="AR19" s="269"/>
      <c r="AS19" s="269"/>
      <c r="AT19" s="269"/>
      <c r="AU19" s="269"/>
      <c r="AV19" s="269">
        <v>1</v>
      </c>
      <c r="AW19" s="269">
        <v>2</v>
      </c>
      <c r="AX19" s="236"/>
      <c r="AY19" s="236"/>
      <c r="AZ19" s="236"/>
      <c r="BA19" s="239" t="s">
        <v>1522</v>
      </c>
      <c r="BB19" s="240">
        <f t="shared" si="30"/>
        <v>0</v>
      </c>
      <c r="BC19" s="240">
        <f t="shared" si="31"/>
        <v>0</v>
      </c>
      <c r="BD19" s="240">
        <f t="shared" si="32"/>
        <v>0</v>
      </c>
      <c r="BE19" s="240">
        <f t="shared" si="33"/>
        <v>0</v>
      </c>
      <c r="BF19" s="240">
        <f t="shared" si="34"/>
        <v>0</v>
      </c>
      <c r="BG19" s="240">
        <f t="shared" si="35"/>
        <v>1</v>
      </c>
      <c r="BH19" s="240">
        <f t="shared" si="36"/>
        <v>0</v>
      </c>
      <c r="BI19" s="240">
        <f t="shared" si="37"/>
        <v>0</v>
      </c>
      <c r="BJ19" s="240">
        <f t="shared" si="38"/>
        <v>0</v>
      </c>
      <c r="BK19" s="240">
        <f t="shared" si="23"/>
        <v>0</v>
      </c>
      <c r="BL19" s="240">
        <f t="shared" si="24"/>
        <v>0</v>
      </c>
      <c r="BM19" s="240">
        <f t="shared" si="25"/>
        <v>1</v>
      </c>
      <c r="BN19" s="211">
        <f t="shared" si="39"/>
        <v>0</v>
      </c>
      <c r="BO19" s="236">
        <f t="shared" si="40"/>
        <v>0</v>
      </c>
      <c r="BP19" s="236">
        <f t="shared" si="41"/>
        <v>0</v>
      </c>
      <c r="BQ19" s="236">
        <f t="shared" si="42"/>
        <v>0</v>
      </c>
      <c r="BR19" s="236">
        <f t="shared" si="43"/>
        <v>0</v>
      </c>
      <c r="BS19" s="236">
        <f t="shared" si="44"/>
        <v>1</v>
      </c>
      <c r="BT19" s="236">
        <f t="shared" si="45"/>
        <v>0</v>
      </c>
      <c r="BU19" s="236">
        <f t="shared" si="46"/>
        <v>0</v>
      </c>
      <c r="BV19" s="236">
        <f t="shared" si="47"/>
        <v>0</v>
      </c>
      <c r="BW19" s="236">
        <f t="shared" si="26"/>
        <v>0</v>
      </c>
      <c r="BX19" s="236">
        <f t="shared" si="27"/>
        <v>0</v>
      </c>
      <c r="BY19" s="236">
        <f t="shared" si="28"/>
        <v>1</v>
      </c>
      <c r="BZ19" s="236"/>
      <c r="CA19" s="277" t="s">
        <v>230</v>
      </c>
      <c r="CB19" s="272" t="str">
        <f t="shared" si="0"/>
        <v>N/A</v>
      </c>
      <c r="CC19" s="272" t="str">
        <f t="shared" si="1"/>
        <v>N/A</v>
      </c>
      <c r="CD19" s="272" t="str">
        <f t="shared" si="2"/>
        <v xml:space="preserve">​Para el primer trimestre de 2025 se proyectaron la realización de 10 auditorias de las cuales se realizaron 5, dado que se debieron dar prioridad a otras acciones de IV, asi mismo durante el mes de enero no se contaron con recursos de tiquetes, dado que se debio realizar una adición al contrato suscrito con Subaturs, lo que afecto el cumplimiento del indicador.
</v>
      </c>
      <c r="CE19" s="284" t="str">
        <f t="shared" si="3"/>
        <v>N/A</v>
      </c>
      <c r="CF19" s="284" t="str">
        <f t="shared" si="4"/>
        <v>N/A</v>
      </c>
      <c r="CG19" s="284" t="str">
        <f t="shared" si="5"/>
        <v>N/A</v>
      </c>
      <c r="CH19" s="272" t="str">
        <f t="shared" si="6"/>
        <v>N/A</v>
      </c>
      <c r="CI19" s="211" t="str">
        <f t="shared" si="7"/>
        <v>N/A</v>
      </c>
      <c r="CJ19" s="211" t="str">
        <f t="shared" si="8"/>
        <v>N/A</v>
      </c>
      <c r="CK19" s="211" t="str">
        <f t="shared" si="9"/>
        <v>N/A</v>
      </c>
      <c r="CL19" s="211" t="str">
        <f t="shared" si="10"/>
        <v>N/A</v>
      </c>
      <c r="CM19" s="211" t="str">
        <f t="shared" si="11"/>
        <v>N/A</v>
      </c>
      <c r="CO19" s="211" t="s">
        <v>152</v>
      </c>
      <c r="CP19" s="211" t="s">
        <v>140</v>
      </c>
      <c r="CQ19" s="211" t="s">
        <v>174</v>
      </c>
      <c r="CR19" s="211" t="s">
        <v>175</v>
      </c>
      <c r="CS19" s="211" t="s">
        <v>179</v>
      </c>
      <c r="CT19" s="211" t="s">
        <v>174</v>
      </c>
      <c r="CU19" s="211" t="str">
        <f t="shared" si="12"/>
        <v>N/A</v>
      </c>
      <c r="CV19" s="211" t="str">
        <f t="shared" si="13"/>
        <v>N/A</v>
      </c>
      <c r="CW19" s="211" t="str">
        <f t="shared" si="14"/>
        <v xml:space="preserve">​Se cumplieron con las Audiencias de acuerdo a las solicitudes de peticion admitidas 
</v>
      </c>
      <c r="CX19" s="211" t="str">
        <f t="shared" si="15"/>
        <v>N/A</v>
      </c>
      <c r="CY19" s="211" t="str">
        <f t="shared" si="29"/>
        <v>N/A</v>
      </c>
      <c r="CZ19" s="211" t="str">
        <f t="shared" si="16"/>
        <v>N/A</v>
      </c>
      <c r="DA19" s="211" t="str">
        <f t="shared" si="17"/>
        <v>N/A</v>
      </c>
      <c r="DB19" s="211" t="str">
        <f t="shared" si="18"/>
        <v>N/A</v>
      </c>
      <c r="DC19" s="211" t="str">
        <f t="shared" si="19"/>
        <v>N/A</v>
      </c>
      <c r="DD19" s="211" t="str">
        <f t="shared" si="20"/>
        <v>N/A</v>
      </c>
      <c r="DE19" s="211" t="str">
        <f t="shared" si="21"/>
        <v>N/A</v>
      </c>
      <c r="DF19" s="211" t="str">
        <f t="shared" si="22"/>
        <v>N/A</v>
      </c>
    </row>
    <row r="20" spans="1:110" s="211" customFormat="1" ht="242.25">
      <c r="A20" s="348" t="s">
        <v>152</v>
      </c>
      <c r="B20" s="211" t="s">
        <v>140</v>
      </c>
      <c r="C20" s="211" t="s">
        <v>183</v>
      </c>
      <c r="D20" s="211" t="s">
        <v>184</v>
      </c>
      <c r="E20" s="211" t="s">
        <v>185</v>
      </c>
      <c r="F20" s="348" t="s">
        <v>186</v>
      </c>
      <c r="G20" s="211" t="s">
        <v>178</v>
      </c>
      <c r="H20" s="211">
        <v>1</v>
      </c>
      <c r="I20" s="323">
        <v>377</v>
      </c>
      <c r="J20" s="323">
        <v>377</v>
      </c>
      <c r="K20" s="288">
        <v>1</v>
      </c>
      <c r="L20" s="211" t="s">
        <v>187</v>
      </c>
      <c r="M20" s="211" t="b">
        <v>0</v>
      </c>
      <c r="O20" s="209" t="s">
        <v>2832</v>
      </c>
      <c r="P20" s="211" t="s">
        <v>159</v>
      </c>
      <c r="Q20" s="211" t="s">
        <v>160</v>
      </c>
      <c r="T20" s="236" t="s">
        <v>1522</v>
      </c>
      <c r="U20" s="269"/>
      <c r="V20" s="269"/>
      <c r="W20" s="269"/>
      <c r="X20" s="269"/>
      <c r="Y20" s="269"/>
      <c r="Z20" s="269">
        <v>1</v>
      </c>
      <c r="AA20" s="269"/>
      <c r="AB20" s="269"/>
      <c r="AC20" s="269"/>
      <c r="AD20" s="269"/>
      <c r="AE20" s="269"/>
      <c r="AF20" s="269">
        <v>1</v>
      </c>
      <c r="AG20" s="269">
        <v>2</v>
      </c>
      <c r="AH20"/>
      <c r="AI20"/>
      <c r="AJ20" s="236" t="s">
        <v>1522</v>
      </c>
      <c r="AK20" s="269"/>
      <c r="AL20" s="269"/>
      <c r="AM20" s="269"/>
      <c r="AN20" s="269"/>
      <c r="AO20" s="269"/>
      <c r="AP20" s="269">
        <v>1</v>
      </c>
      <c r="AQ20" s="269"/>
      <c r="AR20" s="269"/>
      <c r="AS20" s="269"/>
      <c r="AT20" s="269"/>
      <c r="AU20" s="269"/>
      <c r="AV20" s="269">
        <v>1</v>
      </c>
      <c r="AW20" s="269">
        <v>2</v>
      </c>
      <c r="AX20" s="236"/>
      <c r="AY20" s="236"/>
      <c r="AZ20" s="236"/>
      <c r="BA20" s="239" t="s">
        <v>258</v>
      </c>
      <c r="BB20" s="240">
        <f t="shared" si="30"/>
        <v>0</v>
      </c>
      <c r="BC20" s="240">
        <f t="shared" si="31"/>
        <v>0</v>
      </c>
      <c r="BD20" s="240">
        <f t="shared" si="32"/>
        <v>16</v>
      </c>
      <c r="BE20" s="240">
        <f t="shared" si="33"/>
        <v>0</v>
      </c>
      <c r="BF20" s="240">
        <f t="shared" si="34"/>
        <v>0</v>
      </c>
      <c r="BG20" s="240">
        <f t="shared" si="35"/>
        <v>8</v>
      </c>
      <c r="BH20" s="240">
        <f t="shared" si="36"/>
        <v>0</v>
      </c>
      <c r="BI20" s="240">
        <f t="shared" si="37"/>
        <v>0</v>
      </c>
      <c r="BJ20" s="240">
        <f t="shared" si="38"/>
        <v>15</v>
      </c>
      <c r="BK20" s="240">
        <f t="shared" si="23"/>
        <v>0</v>
      </c>
      <c r="BL20" s="240">
        <f t="shared" si="24"/>
        <v>0</v>
      </c>
      <c r="BM20" s="240">
        <f t="shared" si="25"/>
        <v>30</v>
      </c>
      <c r="BN20" s="211">
        <f t="shared" si="39"/>
        <v>0</v>
      </c>
      <c r="BO20" s="236">
        <f t="shared" si="40"/>
        <v>0</v>
      </c>
      <c r="BP20" s="236">
        <f t="shared" si="41"/>
        <v>18</v>
      </c>
      <c r="BQ20" s="236">
        <f t="shared" si="42"/>
        <v>0</v>
      </c>
      <c r="BR20" s="236">
        <f t="shared" si="43"/>
        <v>0</v>
      </c>
      <c r="BS20" s="236">
        <f t="shared" si="44"/>
        <v>11</v>
      </c>
      <c r="BT20" s="236">
        <f t="shared" si="45"/>
        <v>0</v>
      </c>
      <c r="BU20" s="236">
        <f t="shared" si="46"/>
        <v>0</v>
      </c>
      <c r="BV20" s="236">
        <f t="shared" si="47"/>
        <v>22</v>
      </c>
      <c r="BW20" s="236">
        <f t="shared" si="26"/>
        <v>0</v>
      </c>
      <c r="BX20" s="236">
        <f t="shared" si="27"/>
        <v>0</v>
      </c>
      <c r="BY20" s="236">
        <f t="shared" si="28"/>
        <v>30</v>
      </c>
      <c r="BZ20" s="236"/>
      <c r="CA20" s="275" t="s">
        <v>258</v>
      </c>
      <c r="CB20" s="272" t="str">
        <f t="shared" si="0"/>
        <v>N/A</v>
      </c>
      <c r="CC20" s="272" t="str">
        <f t="shared" si="1"/>
        <v>N/A</v>
      </c>
      <c r="CD20" s="272" t="str">
        <f t="shared" si="2"/>
        <v>​A corte febrero de 2025 se encontraban 9 EPS bajo medida especial, la actualización de las fichas se realiza de manera mensual, siendo actualizadas a diciembre de 2024 la fichas correspondientes a las 9 EPS y para el mes de enero 7 de las 9 EPS, lo que corresponde al 88% de las fichas técnicas. Se indica que la actualización correspondiente al mes de febrero del 2025, depende de la informacíón reportada por los vigilados de acuerdo con lo establecido en la Circular Única y sus modificatorias, que establece que la información reportada por las EPS debe hacerse a los (veinte (20) días del mes siguiente del periodo de  reporte, siendo esta reportada el 20 de marzo, por lo que se encuentra en análisis y evaluación por parte de los profesionales de cada componente, la cual será entregada completamente en el siguiente trimestre</v>
      </c>
      <c r="CE20" s="284" t="str">
        <f t="shared" si="3"/>
        <v>N/A</v>
      </c>
      <c r="CF20" s="284" t="str">
        <f t="shared" si="4"/>
        <v>N/A</v>
      </c>
      <c r="CG20" s="284" t="str">
        <f t="shared" si="5"/>
        <v>N/A</v>
      </c>
      <c r="CH20" s="272" t="str">
        <f t="shared" si="6"/>
        <v>N/A</v>
      </c>
      <c r="CI20" s="211" t="str">
        <f t="shared" si="7"/>
        <v>N/A</v>
      </c>
      <c r="CJ20" s="211" t="str">
        <f t="shared" si="8"/>
        <v>N/A</v>
      </c>
      <c r="CK20" s="211" t="str">
        <f t="shared" si="9"/>
        <v>N/A</v>
      </c>
      <c r="CL20" s="211" t="str">
        <f t="shared" si="10"/>
        <v>N/A</v>
      </c>
      <c r="CM20" s="211" t="str">
        <f t="shared" si="11"/>
        <v>N/A</v>
      </c>
      <c r="CO20" s="211" t="s">
        <v>152</v>
      </c>
      <c r="CP20" s="211" t="s">
        <v>140</v>
      </c>
      <c r="CQ20" s="211" t="s">
        <v>183</v>
      </c>
      <c r="CR20" s="211" t="s">
        <v>184</v>
      </c>
      <c r="CS20" s="211" t="s">
        <v>187</v>
      </c>
      <c r="CT20" s="211" t="s">
        <v>183</v>
      </c>
      <c r="CU20" s="211" t="str">
        <f t="shared" si="12"/>
        <v>N/A</v>
      </c>
      <c r="CV20" s="211" t="str">
        <f t="shared" si="13"/>
        <v>N/A</v>
      </c>
      <c r="CW20" s="211" t="str">
        <f t="shared" si="14"/>
        <v xml:space="preserve">​El cumplimiento de acuerdos conciliatorios con seguimientos realizados correspondientes a los acuerdos suscritos exigibles , se realizaron en su totalidad.
</v>
      </c>
      <c r="CX20" s="211" t="str">
        <f t="shared" si="15"/>
        <v>N/A</v>
      </c>
      <c r="CY20" s="211" t="str">
        <f t="shared" si="29"/>
        <v>N/A</v>
      </c>
      <c r="CZ20" s="211" t="str">
        <f t="shared" si="16"/>
        <v>N/A</v>
      </c>
      <c r="DA20" s="211" t="str">
        <f t="shared" si="17"/>
        <v>N/A</v>
      </c>
      <c r="DB20" s="211" t="str">
        <f t="shared" si="18"/>
        <v>N/A</v>
      </c>
      <c r="DC20" s="211" t="str">
        <f t="shared" si="19"/>
        <v>N/A</v>
      </c>
      <c r="DD20" s="211" t="str">
        <f t="shared" si="20"/>
        <v>N/A</v>
      </c>
      <c r="DE20" s="211" t="str">
        <f t="shared" si="21"/>
        <v>N/A</v>
      </c>
      <c r="DF20" s="211" t="str">
        <f t="shared" si="22"/>
        <v>N/A</v>
      </c>
    </row>
    <row r="21" spans="1:110" s="211" customFormat="1" ht="153">
      <c r="A21" s="348" t="s">
        <v>152</v>
      </c>
      <c r="B21" s="211" t="s">
        <v>140</v>
      </c>
      <c r="C21" s="211" t="s">
        <v>153</v>
      </c>
      <c r="D21" s="211" t="s">
        <v>154</v>
      </c>
      <c r="E21" s="211" t="s">
        <v>155</v>
      </c>
      <c r="F21" s="348" t="s">
        <v>156</v>
      </c>
      <c r="G21" s="211" t="s">
        <v>157</v>
      </c>
      <c r="H21" s="211">
        <v>30</v>
      </c>
      <c r="I21" s="323">
        <v>44</v>
      </c>
      <c r="J21" s="323">
        <v>44</v>
      </c>
      <c r="K21" s="288">
        <v>1</v>
      </c>
      <c r="L21" s="211" t="s">
        <v>158</v>
      </c>
      <c r="M21" s="211" t="b">
        <v>0</v>
      </c>
      <c r="O21" s="209" t="s">
        <v>2832</v>
      </c>
      <c r="P21" s="211" t="s">
        <v>159</v>
      </c>
      <c r="Q21" s="211" t="s">
        <v>160</v>
      </c>
      <c r="T21" s="236" t="s">
        <v>258</v>
      </c>
      <c r="U21" s="269"/>
      <c r="V21" s="269"/>
      <c r="W21" s="269">
        <v>16</v>
      </c>
      <c r="X21" s="269"/>
      <c r="Y21" s="269"/>
      <c r="Z21" s="269">
        <v>8</v>
      </c>
      <c r="AA21" s="269"/>
      <c r="AB21" s="269"/>
      <c r="AC21" s="269">
        <v>15</v>
      </c>
      <c r="AD21" s="269"/>
      <c r="AE21" s="269"/>
      <c r="AF21" s="269">
        <v>30</v>
      </c>
      <c r="AG21" s="269">
        <v>69</v>
      </c>
      <c r="AH21"/>
      <c r="AI21"/>
      <c r="AJ21" s="236" t="s">
        <v>258</v>
      </c>
      <c r="AK21" s="269"/>
      <c r="AL21" s="269"/>
      <c r="AM21" s="269">
        <v>18</v>
      </c>
      <c r="AN21" s="269"/>
      <c r="AO21" s="269"/>
      <c r="AP21" s="269">
        <v>11</v>
      </c>
      <c r="AQ21" s="269"/>
      <c r="AR21" s="269"/>
      <c r="AS21" s="269">
        <v>22</v>
      </c>
      <c r="AT21" s="269"/>
      <c r="AU21" s="269"/>
      <c r="AV21" s="269">
        <v>30</v>
      </c>
      <c r="AW21" s="269">
        <v>81</v>
      </c>
      <c r="AX21" s="236"/>
      <c r="AY21" s="236"/>
      <c r="AZ21" s="236"/>
      <c r="BA21" s="239" t="s">
        <v>264</v>
      </c>
      <c r="BB21" s="240">
        <f t="shared" si="30"/>
        <v>0</v>
      </c>
      <c r="BC21" s="240">
        <f t="shared" si="31"/>
        <v>0</v>
      </c>
      <c r="BD21" s="240">
        <f t="shared" si="32"/>
        <v>0</v>
      </c>
      <c r="BE21" s="240">
        <f t="shared" si="33"/>
        <v>0</v>
      </c>
      <c r="BF21" s="240">
        <f t="shared" si="34"/>
        <v>0</v>
      </c>
      <c r="BG21" s="240">
        <f t="shared" si="35"/>
        <v>1</v>
      </c>
      <c r="BH21" s="240">
        <f t="shared" si="36"/>
        <v>0</v>
      </c>
      <c r="BI21" s="240">
        <f t="shared" si="37"/>
        <v>0</v>
      </c>
      <c r="BJ21" s="240">
        <f t="shared" si="38"/>
        <v>0</v>
      </c>
      <c r="BK21" s="240">
        <f t="shared" si="23"/>
        <v>0</v>
      </c>
      <c r="BL21" s="240">
        <f t="shared" si="24"/>
        <v>0</v>
      </c>
      <c r="BM21" s="240">
        <f t="shared" si="25"/>
        <v>1</v>
      </c>
      <c r="BN21" s="211">
        <f t="shared" si="39"/>
        <v>0</v>
      </c>
      <c r="BO21" s="236">
        <f t="shared" si="40"/>
        <v>0</v>
      </c>
      <c r="BP21" s="236">
        <f t="shared" si="41"/>
        <v>0</v>
      </c>
      <c r="BQ21" s="236">
        <f t="shared" si="42"/>
        <v>0</v>
      </c>
      <c r="BR21" s="236">
        <f t="shared" si="43"/>
        <v>0</v>
      </c>
      <c r="BS21" s="236">
        <f t="shared" si="44"/>
        <v>1</v>
      </c>
      <c r="BT21" s="236">
        <f t="shared" si="45"/>
        <v>0</v>
      </c>
      <c r="BU21" s="236">
        <f t="shared" si="46"/>
        <v>0</v>
      </c>
      <c r="BV21" s="236">
        <f t="shared" si="47"/>
        <v>0</v>
      </c>
      <c r="BW21" s="236">
        <f t="shared" si="26"/>
        <v>0</v>
      </c>
      <c r="BX21" s="236">
        <f t="shared" si="27"/>
        <v>0</v>
      </c>
      <c r="BY21" s="236">
        <f t="shared" si="28"/>
        <v>1</v>
      </c>
      <c r="BZ21" s="236"/>
      <c r="CA21" s="275" t="s">
        <v>311</v>
      </c>
      <c r="CB21" s="272" t="str">
        <f t="shared" si="0"/>
        <v>N/A</v>
      </c>
      <c r="CC21" s="272" t="str">
        <f t="shared" si="1"/>
        <v>N/A</v>
      </c>
      <c r="CD21" s="272" t="str">
        <f t="shared" si="2"/>
        <v xml:space="preserve">​Para el presente trimestre se realizó seguimiento a 6 de las 11 EPS que actualmente se encuentran en medida especial, cumpliendo asi con el 100% del indicador
</v>
      </c>
      <c r="CE21" s="284" t="str">
        <f t="shared" si="3"/>
        <v>N/A</v>
      </c>
      <c r="CF21" s="284" t="str">
        <f t="shared" si="4"/>
        <v>N/A</v>
      </c>
      <c r="CG21" s="284" t="str">
        <f t="shared" si="5"/>
        <v>N/A</v>
      </c>
      <c r="CH21" s="272" t="str">
        <f t="shared" si="6"/>
        <v>N/A</v>
      </c>
      <c r="CI21" s="211" t="str">
        <f t="shared" si="7"/>
        <v>N/A</v>
      </c>
      <c r="CJ21" s="211" t="str">
        <f t="shared" si="8"/>
        <v>N/A</v>
      </c>
      <c r="CK21" s="211" t="str">
        <f t="shared" si="9"/>
        <v>N/A</v>
      </c>
      <c r="CL21" s="211" t="str">
        <f t="shared" si="10"/>
        <v>N/A</v>
      </c>
      <c r="CM21" s="211" t="str">
        <f t="shared" si="11"/>
        <v>N/A</v>
      </c>
      <c r="CO21" s="211" t="s">
        <v>152</v>
      </c>
      <c r="CP21" s="211" t="s">
        <v>140</v>
      </c>
      <c r="CQ21" s="211" t="s">
        <v>153</v>
      </c>
      <c r="CR21" s="211" t="s">
        <v>154</v>
      </c>
      <c r="CS21" s="211" t="s">
        <v>158</v>
      </c>
      <c r="CT21" s="211" t="s">
        <v>153</v>
      </c>
      <c r="CU21" s="211" t="str">
        <f t="shared" si="12"/>
        <v>N/A</v>
      </c>
      <c r="CV21" s="211" t="str">
        <f t="shared" si="13"/>
        <v>N/A</v>
      </c>
      <c r="CW21" s="211" t="str">
        <f t="shared" si="14"/>
        <v xml:space="preserve">​El indicador es numerico , el area correspondiente participó en un trabajo de plan de choque de la Delegada para apoyar a las demas areas a debido a la alta solicitud de estudios de demanda , y su colaboración consistió en la utilizacion de recurso humano de abogados y personal tecnico en la realizacion de estudios de demandas y sus fallos , en particular el apoyo se presta al area de coberturas. Se logra el objetivo si alterar la funcionalidad en cuanto a resultados positivos
</v>
      </c>
      <c r="CX21" s="211" t="str">
        <f t="shared" si="15"/>
        <v>N/A</v>
      </c>
      <c r="CY21" s="211" t="str">
        <f t="shared" si="29"/>
        <v>N/A</v>
      </c>
      <c r="CZ21" s="211" t="str">
        <f t="shared" si="16"/>
        <v>N/A</v>
      </c>
      <c r="DA21" s="211" t="str">
        <f t="shared" si="17"/>
        <v>N/A</v>
      </c>
      <c r="DB21" s="211" t="str">
        <f t="shared" si="18"/>
        <v>N/A</v>
      </c>
      <c r="DC21" s="211" t="str">
        <f t="shared" si="19"/>
        <v>N/A</v>
      </c>
      <c r="DD21" s="211" t="str">
        <f t="shared" si="20"/>
        <v>N/A</v>
      </c>
      <c r="DE21" s="211" t="str">
        <f t="shared" si="21"/>
        <v>N/A</v>
      </c>
      <c r="DF21" s="211" t="str">
        <f t="shared" si="22"/>
        <v>N/A</v>
      </c>
    </row>
    <row r="22" spans="1:110" s="211" customFormat="1" ht="128.25">
      <c r="A22" s="348" t="s">
        <v>152</v>
      </c>
      <c r="B22" s="211" t="s">
        <v>140</v>
      </c>
      <c r="C22" s="211" t="s">
        <v>165</v>
      </c>
      <c r="D22" s="211" t="s">
        <v>166</v>
      </c>
      <c r="E22" s="211" t="s">
        <v>167</v>
      </c>
      <c r="F22" s="348" t="s">
        <v>168</v>
      </c>
      <c r="G22" s="211" t="s">
        <v>157</v>
      </c>
      <c r="H22" s="211">
        <v>120</v>
      </c>
      <c r="I22" s="323">
        <v>120</v>
      </c>
      <c r="J22" s="323">
        <v>120</v>
      </c>
      <c r="K22" s="288">
        <v>1</v>
      </c>
      <c r="L22" s="211" t="s">
        <v>169</v>
      </c>
      <c r="M22" s="211" t="b">
        <v>0</v>
      </c>
      <c r="O22" s="209" t="s">
        <v>2832</v>
      </c>
      <c r="P22" s="211" t="s">
        <v>159</v>
      </c>
      <c r="Q22" s="211" t="s">
        <v>160</v>
      </c>
      <c r="T22" s="236" t="s">
        <v>264</v>
      </c>
      <c r="U22" s="269"/>
      <c r="V22" s="269"/>
      <c r="W22" s="269"/>
      <c r="X22" s="269"/>
      <c r="Y22" s="269"/>
      <c r="Z22" s="269">
        <v>1</v>
      </c>
      <c r="AA22" s="269"/>
      <c r="AB22" s="269"/>
      <c r="AC22" s="269"/>
      <c r="AD22" s="269"/>
      <c r="AE22" s="269"/>
      <c r="AF22" s="269">
        <v>1</v>
      </c>
      <c r="AG22" s="269">
        <v>2</v>
      </c>
      <c r="AH22"/>
      <c r="AI22"/>
      <c r="AJ22" s="236" t="s">
        <v>264</v>
      </c>
      <c r="AK22" s="269"/>
      <c r="AL22" s="269"/>
      <c r="AM22" s="269"/>
      <c r="AN22" s="269"/>
      <c r="AO22" s="269"/>
      <c r="AP22" s="269">
        <v>1</v>
      </c>
      <c r="AQ22" s="269"/>
      <c r="AR22" s="269"/>
      <c r="AS22" s="269"/>
      <c r="AT22" s="269"/>
      <c r="AU22" s="269"/>
      <c r="AV22" s="269">
        <v>1</v>
      </c>
      <c r="AW22" s="269">
        <v>2</v>
      </c>
      <c r="AX22" s="236"/>
      <c r="AY22" s="236"/>
      <c r="AZ22" s="236"/>
      <c r="BA22" s="239" t="s">
        <v>1032</v>
      </c>
      <c r="BB22" s="240">
        <f t="shared" si="30"/>
        <v>0</v>
      </c>
      <c r="BC22" s="240">
        <f t="shared" si="31"/>
        <v>0</v>
      </c>
      <c r="BD22" s="240">
        <f t="shared" si="32"/>
        <v>0</v>
      </c>
      <c r="BE22" s="240">
        <f t="shared" si="33"/>
        <v>0</v>
      </c>
      <c r="BF22" s="240">
        <f t="shared" si="34"/>
        <v>0</v>
      </c>
      <c r="BG22" s="240">
        <f t="shared" si="35"/>
        <v>0</v>
      </c>
      <c r="BH22" s="240">
        <f t="shared" si="36"/>
        <v>0</v>
      </c>
      <c r="BI22" s="240">
        <f t="shared" si="37"/>
        <v>0</v>
      </c>
      <c r="BJ22" s="240">
        <f t="shared" si="38"/>
        <v>0</v>
      </c>
      <c r="BK22" s="240">
        <f t="shared" si="23"/>
        <v>0</v>
      </c>
      <c r="BL22" s="240">
        <f t="shared" si="24"/>
        <v>11</v>
      </c>
      <c r="BM22" s="240">
        <f t="shared" si="25"/>
        <v>11</v>
      </c>
      <c r="BN22" s="211">
        <f t="shared" si="39"/>
        <v>0</v>
      </c>
      <c r="BO22" s="236">
        <f t="shared" si="40"/>
        <v>0</v>
      </c>
      <c r="BP22" s="236">
        <f t="shared" si="41"/>
        <v>0</v>
      </c>
      <c r="BQ22" s="236">
        <f t="shared" si="42"/>
        <v>0</v>
      </c>
      <c r="BR22" s="236">
        <f t="shared" si="43"/>
        <v>0</v>
      </c>
      <c r="BS22" s="236">
        <f t="shared" si="44"/>
        <v>0</v>
      </c>
      <c r="BT22" s="236">
        <f t="shared" si="45"/>
        <v>0</v>
      </c>
      <c r="BU22" s="236">
        <f t="shared" si="46"/>
        <v>0</v>
      </c>
      <c r="BV22" s="236">
        <f t="shared" si="47"/>
        <v>0</v>
      </c>
      <c r="BW22" s="236">
        <f t="shared" si="26"/>
        <v>0</v>
      </c>
      <c r="BX22" s="236">
        <f t="shared" si="27"/>
        <v>11</v>
      </c>
      <c r="BY22" s="236">
        <f t="shared" si="28"/>
        <v>11</v>
      </c>
      <c r="BZ22" s="236"/>
      <c r="CA22" s="275" t="s">
        <v>200</v>
      </c>
      <c r="CB22" s="272" t="str">
        <f t="shared" si="0"/>
        <v>N/A</v>
      </c>
      <c r="CC22" s="272" t="str">
        <f t="shared" si="1"/>
        <v>N/A</v>
      </c>
      <c r="CD22" s="272" t="str">
        <f t="shared" si="2"/>
        <v xml:space="preserve">​Para el primer trimestre de 2025 se programó la realización de 19 auditorias. 
Durante el mes de enero, se realizaron 3 auditorias, en el mes de febrero 8 auditorias y en el mes de marzo 8 auditorias, para un total de 19 auditorias, dando cumplimiento en el numero de auditorias realizadas, versus las auditorias programadas para el I trimestre de la vigencia 2025.
</v>
      </c>
      <c r="CE22" s="284" t="str">
        <f t="shared" si="3"/>
        <v>N/A</v>
      </c>
      <c r="CF22" s="284" t="str">
        <f t="shared" si="4"/>
        <v>N/A</v>
      </c>
      <c r="CG22" s="284" t="str">
        <f t="shared" si="5"/>
        <v>N/A</v>
      </c>
      <c r="CH22" s="272" t="str">
        <f t="shared" si="6"/>
        <v>N/A</v>
      </c>
      <c r="CI22" s="211" t="str">
        <f t="shared" si="7"/>
        <v>N/A</v>
      </c>
      <c r="CJ22" s="211" t="str">
        <f t="shared" si="8"/>
        <v>N/A</v>
      </c>
      <c r="CK22" s="211" t="str">
        <f t="shared" si="9"/>
        <v>N/A</v>
      </c>
      <c r="CL22" s="211" t="str">
        <f t="shared" si="10"/>
        <v>N/A</v>
      </c>
      <c r="CM22" s="211" t="str">
        <f t="shared" si="11"/>
        <v>N/A</v>
      </c>
      <c r="CO22" s="211" t="s">
        <v>152</v>
      </c>
      <c r="CP22" s="211" t="s">
        <v>140</v>
      </c>
      <c r="CQ22" s="211" t="s">
        <v>165</v>
      </c>
      <c r="CR22" s="211" t="s">
        <v>166</v>
      </c>
      <c r="CS22" s="211" t="s">
        <v>169</v>
      </c>
      <c r="CT22" s="211" t="s">
        <v>165</v>
      </c>
      <c r="CU22" s="211" t="str">
        <f t="shared" si="12"/>
        <v>N/A</v>
      </c>
      <c r="CV22" s="211" t="str">
        <f t="shared" si="13"/>
        <v>N/A</v>
      </c>
      <c r="CW22" s="211" t="str">
        <f t="shared" si="14"/>
        <v xml:space="preserve">​Se cumplen la meta del indicador ; y aun asi,  el area presto apoyo con recurso humano de abogados en el plan de choque realizado por la delegada para favorecer  las solicitudes represadas por cobertura de la misma Delegada y dar oportuna atencion a la ciudadania y otros actores del SGSSS. 
</v>
      </c>
      <c r="CX22" s="211" t="str">
        <f t="shared" si="15"/>
        <v>N/A</v>
      </c>
      <c r="CY22" s="211" t="str">
        <f t="shared" si="29"/>
        <v>N/A</v>
      </c>
      <c r="CZ22" s="211" t="str">
        <f t="shared" si="16"/>
        <v>N/A</v>
      </c>
      <c r="DA22" s="211" t="str">
        <f t="shared" si="17"/>
        <v>N/A</v>
      </c>
      <c r="DB22" s="211" t="str">
        <f t="shared" si="18"/>
        <v>N/A</v>
      </c>
      <c r="DC22" s="211" t="str">
        <f t="shared" si="19"/>
        <v>N/A</v>
      </c>
      <c r="DD22" s="211" t="str">
        <f t="shared" si="20"/>
        <v>N/A</v>
      </c>
      <c r="DE22" s="211" t="str">
        <f t="shared" si="21"/>
        <v>N/A</v>
      </c>
      <c r="DF22" s="211" t="str">
        <f t="shared" si="22"/>
        <v>N/A</v>
      </c>
    </row>
    <row r="23" spans="1:110" s="211" customFormat="1" ht="142.5">
      <c r="A23" s="348" t="s">
        <v>271</v>
      </c>
      <c r="B23" s="211" t="s">
        <v>140</v>
      </c>
      <c r="C23" s="211" t="s">
        <v>225</v>
      </c>
      <c r="D23" s="211" t="s">
        <v>293</v>
      </c>
      <c r="E23" s="211" t="s">
        <v>294</v>
      </c>
      <c r="F23" s="348" t="s">
        <v>295</v>
      </c>
      <c r="G23" s="211" t="s">
        <v>2806</v>
      </c>
      <c r="H23" s="211">
        <v>1</v>
      </c>
      <c r="I23" s="323">
        <v>1</v>
      </c>
      <c r="J23" s="323">
        <v>1</v>
      </c>
      <c r="K23" s="288">
        <v>1</v>
      </c>
      <c r="L23" s="211" t="s">
        <v>3104</v>
      </c>
      <c r="M23" s="211" t="b">
        <v>0</v>
      </c>
      <c r="O23" s="209" t="s">
        <v>2832</v>
      </c>
      <c r="P23" s="211" t="s">
        <v>159</v>
      </c>
      <c r="Q23" s="211" t="s">
        <v>160</v>
      </c>
      <c r="T23" s="236" t="s">
        <v>270</v>
      </c>
      <c r="U23" s="269"/>
      <c r="V23" s="269"/>
      <c r="W23" s="269"/>
      <c r="X23" s="269"/>
      <c r="Y23" s="269"/>
      <c r="Z23" s="269">
        <v>3</v>
      </c>
      <c r="AA23" s="269"/>
      <c r="AB23" s="269"/>
      <c r="AC23" s="269"/>
      <c r="AD23" s="269"/>
      <c r="AE23" s="269"/>
      <c r="AF23" s="269">
        <v>2</v>
      </c>
      <c r="AG23" s="269">
        <v>5</v>
      </c>
      <c r="AH23"/>
      <c r="AI23"/>
      <c r="AJ23" s="236" t="s">
        <v>270</v>
      </c>
      <c r="AK23" s="269"/>
      <c r="AL23" s="269"/>
      <c r="AM23" s="269"/>
      <c r="AN23" s="269"/>
      <c r="AO23" s="269"/>
      <c r="AP23" s="269">
        <v>3</v>
      </c>
      <c r="AQ23" s="269"/>
      <c r="AR23" s="269"/>
      <c r="AS23" s="269"/>
      <c r="AT23" s="269"/>
      <c r="AU23" s="269"/>
      <c r="AV23" s="269">
        <v>2</v>
      </c>
      <c r="AW23" s="269">
        <v>5</v>
      </c>
      <c r="AX23" s="236"/>
      <c r="AY23" s="236"/>
      <c r="AZ23" s="236"/>
      <c r="BA23" s="239" t="s">
        <v>270</v>
      </c>
      <c r="BB23" s="240">
        <f t="shared" si="30"/>
        <v>0</v>
      </c>
      <c r="BC23" s="240">
        <f t="shared" si="31"/>
        <v>0</v>
      </c>
      <c r="BD23" s="240">
        <f t="shared" si="32"/>
        <v>0</v>
      </c>
      <c r="BE23" s="240">
        <f t="shared" si="33"/>
        <v>0</v>
      </c>
      <c r="BF23" s="240">
        <f t="shared" si="34"/>
        <v>0</v>
      </c>
      <c r="BG23" s="240">
        <f t="shared" si="35"/>
        <v>3</v>
      </c>
      <c r="BH23" s="240">
        <f t="shared" si="36"/>
        <v>0</v>
      </c>
      <c r="BI23" s="240">
        <f t="shared" si="37"/>
        <v>0</v>
      </c>
      <c r="BJ23" s="240">
        <f t="shared" si="38"/>
        <v>0</v>
      </c>
      <c r="BK23" s="240">
        <f t="shared" si="23"/>
        <v>0</v>
      </c>
      <c r="BL23" s="240">
        <f t="shared" si="24"/>
        <v>0</v>
      </c>
      <c r="BM23" s="240">
        <f t="shared" si="25"/>
        <v>2</v>
      </c>
      <c r="BN23" s="211">
        <f t="shared" si="39"/>
        <v>0</v>
      </c>
      <c r="BO23" s="236">
        <f t="shared" si="40"/>
        <v>0</v>
      </c>
      <c r="BP23" s="236">
        <f t="shared" si="41"/>
        <v>0</v>
      </c>
      <c r="BQ23" s="236">
        <f t="shared" si="42"/>
        <v>0</v>
      </c>
      <c r="BR23" s="236">
        <f t="shared" si="43"/>
        <v>0</v>
      </c>
      <c r="BS23" s="236">
        <f t="shared" si="44"/>
        <v>3</v>
      </c>
      <c r="BT23" s="236">
        <f t="shared" si="45"/>
        <v>0</v>
      </c>
      <c r="BU23" s="236">
        <f t="shared" si="46"/>
        <v>0</v>
      </c>
      <c r="BV23" s="236">
        <f t="shared" si="47"/>
        <v>0</v>
      </c>
      <c r="BW23" s="236">
        <f t="shared" si="26"/>
        <v>0</v>
      </c>
      <c r="BX23" s="236">
        <f t="shared" si="27"/>
        <v>0</v>
      </c>
      <c r="BY23" s="236">
        <f t="shared" si="28"/>
        <v>2</v>
      </c>
      <c r="BZ23" s="236"/>
      <c r="CA23" s="275" t="s">
        <v>204</v>
      </c>
      <c r="CB23" s="272" t="str">
        <f t="shared" si="0"/>
        <v>N/A</v>
      </c>
      <c r="CC23" s="272" t="str">
        <f t="shared" si="1"/>
        <v>N/A</v>
      </c>
      <c r="CD23" s="272" t="str">
        <f t="shared" si="2"/>
        <v xml:space="preserve">​La Dirección de Inspección y Vigilancia para los Prestadores de Servicios de Salud recibió diecinueve (19) planes de mejoramiento para primera revisión, treinta y uno (31) para segunda y treinta y ocho (38) soportes de ejecución para evaluación de cumplimiento de los planes. La totalidad de los planes de mejoramiento y soportes de ejecución fueron evaluados y analizados por esta dirección durante el primer semestre de 2025.
</v>
      </c>
      <c r="CE23" s="284" t="str">
        <f t="shared" si="3"/>
        <v>N/A</v>
      </c>
      <c r="CF23" s="284" t="str">
        <f t="shared" si="4"/>
        <v>N/A</v>
      </c>
      <c r="CG23" s="284" t="str">
        <f t="shared" si="5"/>
        <v>N/A</v>
      </c>
      <c r="CH23" s="272" t="str">
        <f t="shared" si="6"/>
        <v>N/A</v>
      </c>
      <c r="CI23" s="211" t="str">
        <f t="shared" si="7"/>
        <v>N/A</v>
      </c>
      <c r="CJ23" s="211" t="str">
        <f t="shared" si="8"/>
        <v>N/A</v>
      </c>
      <c r="CK23" s="211" t="str">
        <f t="shared" si="9"/>
        <v>N/A</v>
      </c>
      <c r="CL23" s="211" t="str">
        <f t="shared" si="10"/>
        <v>N/A</v>
      </c>
      <c r="CM23" s="211" t="str">
        <f t="shared" si="11"/>
        <v>N/A</v>
      </c>
      <c r="CO23" s="211" t="s">
        <v>271</v>
      </c>
      <c r="CP23" s="211" t="s">
        <v>140</v>
      </c>
      <c r="CQ23" s="211" t="s">
        <v>225</v>
      </c>
      <c r="CR23" s="211" t="s">
        <v>293</v>
      </c>
      <c r="CS23" s="211" t="s">
        <v>3104</v>
      </c>
      <c r="CT23" s="211" t="s">
        <v>225</v>
      </c>
      <c r="CU23" s="211" t="str">
        <f t="shared" si="12"/>
        <v>N/A</v>
      </c>
      <c r="CV23" s="211" t="str">
        <f t="shared" si="13"/>
        <v>N/A</v>
      </c>
      <c r="CW23" s="211" t="str">
        <f t="shared" si="14"/>
        <v xml:space="preserve">​Se realiza el seguimiento programado para el período.  En este caso al municipio de Dabeiba Antioquia.
Se adjuntan las evidencias de seguimiento.
</v>
      </c>
      <c r="CX23" s="211" t="str">
        <f t="shared" si="15"/>
        <v>N/A</v>
      </c>
      <c r="CY23" s="211" t="str">
        <f t="shared" si="29"/>
        <v>N/A</v>
      </c>
      <c r="CZ23" s="211" t="str">
        <f t="shared" si="16"/>
        <v>N/A</v>
      </c>
      <c r="DA23" s="211" t="str">
        <f t="shared" si="17"/>
        <v>N/A</v>
      </c>
      <c r="DB23" s="211" t="str">
        <f t="shared" si="18"/>
        <v>N/A</v>
      </c>
      <c r="DC23" s="211" t="str">
        <f t="shared" si="19"/>
        <v>N/A</v>
      </c>
      <c r="DD23" s="211" t="str">
        <f t="shared" si="20"/>
        <v>N/A</v>
      </c>
      <c r="DE23" s="211" t="str">
        <f t="shared" si="21"/>
        <v>N/A</v>
      </c>
      <c r="DF23" s="211" t="str">
        <f t="shared" si="22"/>
        <v>N/A</v>
      </c>
    </row>
    <row r="24" spans="1:110" s="211" customFormat="1" ht="409.5">
      <c r="A24" s="348" t="s">
        <v>271</v>
      </c>
      <c r="B24" s="211" t="s">
        <v>140</v>
      </c>
      <c r="C24" s="211" t="s">
        <v>289</v>
      </c>
      <c r="D24" s="211" t="s">
        <v>290</v>
      </c>
      <c r="E24" s="211" t="s">
        <v>291</v>
      </c>
      <c r="F24" s="348" t="s">
        <v>292</v>
      </c>
      <c r="G24" s="211" t="s">
        <v>157</v>
      </c>
      <c r="H24" s="211">
        <v>1</v>
      </c>
      <c r="I24" s="323">
        <v>5</v>
      </c>
      <c r="J24" s="323">
        <v>1</v>
      </c>
      <c r="K24" s="288">
        <v>5</v>
      </c>
      <c r="L24" s="211" t="s">
        <v>3105</v>
      </c>
      <c r="M24" s="211" t="b">
        <v>0</v>
      </c>
      <c r="O24" s="209" t="s">
        <v>2832</v>
      </c>
      <c r="P24" s="211" t="s">
        <v>159</v>
      </c>
      <c r="Q24" s="211" t="s">
        <v>160</v>
      </c>
      <c r="T24" s="236" t="s">
        <v>277</v>
      </c>
      <c r="U24" s="269"/>
      <c r="V24" s="269"/>
      <c r="W24" s="269"/>
      <c r="X24" s="269"/>
      <c r="Y24" s="269"/>
      <c r="Z24" s="269">
        <v>14</v>
      </c>
      <c r="AA24" s="269"/>
      <c r="AB24" s="269"/>
      <c r="AC24" s="269"/>
      <c r="AD24" s="269"/>
      <c r="AE24" s="269"/>
      <c r="AF24" s="269">
        <v>6</v>
      </c>
      <c r="AG24" s="269">
        <v>20</v>
      </c>
      <c r="AH24"/>
      <c r="AI24"/>
      <c r="AJ24" s="236" t="s">
        <v>277</v>
      </c>
      <c r="AK24" s="269"/>
      <c r="AL24" s="269"/>
      <c r="AM24" s="269"/>
      <c r="AN24" s="269"/>
      <c r="AO24" s="269"/>
      <c r="AP24" s="269">
        <v>14</v>
      </c>
      <c r="AQ24" s="269"/>
      <c r="AR24" s="269"/>
      <c r="AS24" s="269"/>
      <c r="AT24" s="269"/>
      <c r="AU24" s="269"/>
      <c r="AV24" s="269">
        <v>6</v>
      </c>
      <c r="AW24" s="269">
        <v>20</v>
      </c>
      <c r="AX24" s="236"/>
      <c r="AY24" s="236"/>
      <c r="AZ24" s="236"/>
      <c r="BA24" s="239" t="s">
        <v>277</v>
      </c>
      <c r="BB24" s="240">
        <f t="shared" si="30"/>
        <v>0</v>
      </c>
      <c r="BC24" s="240">
        <f t="shared" si="31"/>
        <v>0</v>
      </c>
      <c r="BD24" s="240">
        <f t="shared" si="32"/>
        <v>0</v>
      </c>
      <c r="BE24" s="240">
        <f t="shared" si="33"/>
        <v>0</v>
      </c>
      <c r="BF24" s="240">
        <f t="shared" si="34"/>
        <v>0</v>
      </c>
      <c r="BG24" s="240">
        <f t="shared" si="35"/>
        <v>14</v>
      </c>
      <c r="BH24" s="240">
        <f t="shared" si="36"/>
        <v>0</v>
      </c>
      <c r="BI24" s="240">
        <f t="shared" si="37"/>
        <v>0</v>
      </c>
      <c r="BJ24" s="240">
        <f t="shared" si="38"/>
        <v>0</v>
      </c>
      <c r="BK24" s="240">
        <f t="shared" si="23"/>
        <v>0</v>
      </c>
      <c r="BL24" s="240">
        <f t="shared" si="24"/>
        <v>0</v>
      </c>
      <c r="BM24" s="240">
        <f t="shared" si="25"/>
        <v>6</v>
      </c>
      <c r="BN24" s="211">
        <f t="shared" si="39"/>
        <v>0</v>
      </c>
      <c r="BO24" s="236">
        <f t="shared" si="40"/>
        <v>0</v>
      </c>
      <c r="BP24" s="236">
        <f t="shared" si="41"/>
        <v>0</v>
      </c>
      <c r="BQ24" s="236">
        <f t="shared" si="42"/>
        <v>0</v>
      </c>
      <c r="BR24" s="236">
        <f t="shared" si="43"/>
        <v>0</v>
      </c>
      <c r="BS24" s="236">
        <f t="shared" si="44"/>
        <v>14</v>
      </c>
      <c r="BT24" s="236">
        <f t="shared" si="45"/>
        <v>0</v>
      </c>
      <c r="BU24" s="236">
        <f t="shared" si="46"/>
        <v>0</v>
      </c>
      <c r="BV24" s="236">
        <f t="shared" si="47"/>
        <v>0</v>
      </c>
      <c r="BW24" s="236">
        <f t="shared" si="26"/>
        <v>0</v>
      </c>
      <c r="BX24" s="236">
        <f t="shared" si="27"/>
        <v>0</v>
      </c>
      <c r="BY24" s="236">
        <f t="shared" si="28"/>
        <v>6</v>
      </c>
      <c r="BZ24" s="236"/>
      <c r="CA24" s="275" t="s">
        <v>599</v>
      </c>
      <c r="CB24" s="272" t="str">
        <f t="shared" si="0"/>
        <v>N/A</v>
      </c>
      <c r="CC24" s="272" t="str">
        <f t="shared" si="1"/>
        <v>N/A</v>
      </c>
      <c r="CD24" s="272" t="str">
        <f t="shared" si="2"/>
        <v>N/A</v>
      </c>
      <c r="CE24" s="284" t="str">
        <f t="shared" si="3"/>
        <v>N/A</v>
      </c>
      <c r="CF24" s="284" t="str">
        <f t="shared" si="4"/>
        <v>N/A</v>
      </c>
      <c r="CG24" s="284" t="str">
        <f t="shared" si="5"/>
        <v xml:space="preserve">Dando continuidad a las acciones de IV relacionadas con la asignación y ejecución de recursos a la ESE por equipos básicos en salud, se efectuó el envío de un comunicado masivo a 935 ESE registradas como activas en REPS, con el fin de obtener información al corte a 31 de mayo de 2025.
Dado que a la fecha se están realizando acciones de articulación con el Ministerio de Salud y Protección Social para identificar la totalidad de ESE con asignación efectiva de recursos, el masivo se remitió a 935 ESE, no obstante los beneficiarios de giro pudiesen ser menos; información que se encuentra en depuración en la actualidad de conformidad con los insumos que entregue el citado Ministerio.
</v>
      </c>
      <c r="CH24" s="272" t="str">
        <f t="shared" si="6"/>
        <v>N/A</v>
      </c>
      <c r="CI24" s="211" t="str">
        <f t="shared" si="7"/>
        <v>N/A</v>
      </c>
      <c r="CJ24" s="211" t="str">
        <f t="shared" si="8"/>
        <v>N/A</v>
      </c>
      <c r="CK24" s="211" t="str">
        <f t="shared" si="9"/>
        <v>N/A</v>
      </c>
      <c r="CL24" s="211" t="str">
        <f t="shared" si="10"/>
        <v>N/A</v>
      </c>
      <c r="CM24" s="211" t="str">
        <f t="shared" si="11"/>
        <v>N/A</v>
      </c>
      <c r="CO24" s="211" t="s">
        <v>271</v>
      </c>
      <c r="CP24" s="211" t="s">
        <v>140</v>
      </c>
      <c r="CQ24" s="211" t="s">
        <v>289</v>
      </c>
      <c r="CR24" s="211" t="s">
        <v>290</v>
      </c>
      <c r="CS24" s="211" t="s">
        <v>3105</v>
      </c>
      <c r="CT24" s="211" t="s">
        <v>289</v>
      </c>
      <c r="CU24" s="211" t="str">
        <f t="shared" si="12"/>
        <v>N/A</v>
      </c>
      <c r="CV24" s="211" t="str">
        <f t="shared" si="13"/>
        <v>N/A</v>
      </c>
      <c r="CW24" s="211" t="str">
        <f t="shared" si="14"/>
        <v xml:space="preserve">Inicialmente se programó activiar la red en un solo territorio para el primer trimestre, sin embargo se reprogramaron acciones para agilizar el tema por la importancia que reviste la red de controladores.  
En este sentido se activó la redes en 5 departamentos adelantando lo que se tenía planeado para meses siguientes.  La meta anual es de 10 departamentos con red activada.​
Se adjunta: Carpeta compartida con  subcarpetas por departamento donde se activó la red de controladores.  En cada subcarpeta pueden verse actas, listas de asistencia entre otras evidencias que enmarcan la activación de la red en cada uno de estos territorios. 
La red de controladores se ha activado en 5 nuevos departamentos de acuerdo a lo planeado.  Como la meta es 10 para el año, haber avanzado con 5 este primer trimestre se considera un buen reporte.  Estos departamentos son:
* Caldas
* Risaralda
* Quindío
* Boyacá
* Guajira
Adicionalmente se adjunta evidencia de una reunión de articulación de la red a nivel nacional.
</v>
      </c>
      <c r="CX24" s="211" t="str">
        <f t="shared" si="15"/>
        <v>N/A</v>
      </c>
      <c r="CY24" s="211" t="str">
        <f t="shared" si="29"/>
        <v>N/A</v>
      </c>
      <c r="CZ24" s="211" t="str">
        <f t="shared" si="16"/>
        <v>N/A</v>
      </c>
      <c r="DA24" s="211" t="str">
        <f t="shared" si="17"/>
        <v>N/A</v>
      </c>
      <c r="DB24" s="211" t="str">
        <f t="shared" si="18"/>
        <v>N/A</v>
      </c>
      <c r="DC24" s="211" t="str">
        <f t="shared" si="19"/>
        <v>N/A</v>
      </c>
      <c r="DD24" s="211" t="str">
        <f t="shared" si="20"/>
        <v>N/A</v>
      </c>
      <c r="DE24" s="211" t="str">
        <f t="shared" si="21"/>
        <v>N/A</v>
      </c>
      <c r="DF24" s="211" t="str">
        <f t="shared" si="22"/>
        <v>N/A</v>
      </c>
    </row>
    <row r="25" spans="1:110" s="211" customFormat="1" ht="409.5">
      <c r="A25" s="348" t="s">
        <v>271</v>
      </c>
      <c r="B25" s="211" t="s">
        <v>140</v>
      </c>
      <c r="C25" s="211" t="s">
        <v>272</v>
      </c>
      <c r="D25" s="211" t="s">
        <v>273</v>
      </c>
      <c r="E25" s="211" t="s">
        <v>274</v>
      </c>
      <c r="F25" s="348" t="s">
        <v>275</v>
      </c>
      <c r="G25" s="211" t="s">
        <v>178</v>
      </c>
      <c r="H25" s="211">
        <v>0.5</v>
      </c>
      <c r="I25" s="323">
        <v>4.625</v>
      </c>
      <c r="J25" s="323">
        <v>9</v>
      </c>
      <c r="K25" s="288">
        <v>0.51388888888888895</v>
      </c>
      <c r="L25" s="211" t="s">
        <v>3022</v>
      </c>
      <c r="M25" s="211" t="b">
        <v>1</v>
      </c>
      <c r="N25" s="211" t="s">
        <v>276</v>
      </c>
      <c r="O25" s="209" t="s">
        <v>2832</v>
      </c>
      <c r="P25" s="211" t="s">
        <v>159</v>
      </c>
      <c r="Q25" s="211" t="s">
        <v>160</v>
      </c>
      <c r="T25" s="236" t="s">
        <v>282</v>
      </c>
      <c r="U25" s="269"/>
      <c r="V25" s="269"/>
      <c r="W25" s="269"/>
      <c r="X25" s="269"/>
      <c r="Y25" s="269"/>
      <c r="Z25" s="269">
        <v>114</v>
      </c>
      <c r="AA25" s="269"/>
      <c r="AB25" s="269"/>
      <c r="AC25" s="269"/>
      <c r="AD25" s="269"/>
      <c r="AE25" s="269"/>
      <c r="AF25" s="269">
        <v>58</v>
      </c>
      <c r="AG25" s="269">
        <v>172</v>
      </c>
      <c r="AH25"/>
      <c r="AI25"/>
      <c r="AJ25" s="236" t="s">
        <v>282</v>
      </c>
      <c r="AK25" s="269"/>
      <c r="AL25" s="269"/>
      <c r="AM25" s="269"/>
      <c r="AN25" s="269"/>
      <c r="AO25" s="269"/>
      <c r="AP25" s="269">
        <v>114</v>
      </c>
      <c r="AQ25" s="269"/>
      <c r="AR25" s="269"/>
      <c r="AS25" s="269"/>
      <c r="AT25" s="269"/>
      <c r="AU25" s="269"/>
      <c r="AV25" s="269">
        <v>58</v>
      </c>
      <c r="AW25" s="269">
        <v>172</v>
      </c>
      <c r="AX25" s="236"/>
      <c r="AY25" s="236"/>
      <c r="AZ25" s="236"/>
      <c r="BA25" s="239" t="s">
        <v>282</v>
      </c>
      <c r="BB25" s="240">
        <f t="shared" si="30"/>
        <v>0</v>
      </c>
      <c r="BC25" s="240">
        <f t="shared" si="31"/>
        <v>0</v>
      </c>
      <c r="BD25" s="240">
        <f t="shared" si="32"/>
        <v>0</v>
      </c>
      <c r="BE25" s="240">
        <f t="shared" si="33"/>
        <v>0</v>
      </c>
      <c r="BF25" s="240">
        <f t="shared" si="34"/>
        <v>0</v>
      </c>
      <c r="BG25" s="240">
        <f t="shared" si="35"/>
        <v>114</v>
      </c>
      <c r="BH25" s="240">
        <f t="shared" si="36"/>
        <v>0</v>
      </c>
      <c r="BI25" s="240">
        <f t="shared" si="37"/>
        <v>0</v>
      </c>
      <c r="BJ25" s="240">
        <f t="shared" si="38"/>
        <v>0</v>
      </c>
      <c r="BK25" s="240">
        <f t="shared" si="23"/>
        <v>0</v>
      </c>
      <c r="BL25" s="240">
        <f t="shared" si="24"/>
        <v>0</v>
      </c>
      <c r="BM25" s="240">
        <f t="shared" si="25"/>
        <v>58</v>
      </c>
      <c r="BN25" s="211">
        <f t="shared" si="39"/>
        <v>0</v>
      </c>
      <c r="BO25" s="236">
        <f t="shared" si="40"/>
        <v>0</v>
      </c>
      <c r="BP25" s="236">
        <f t="shared" si="41"/>
        <v>0</v>
      </c>
      <c r="BQ25" s="236">
        <f t="shared" si="42"/>
        <v>0</v>
      </c>
      <c r="BR25" s="236">
        <f t="shared" si="43"/>
        <v>0</v>
      </c>
      <c r="BS25" s="236">
        <f t="shared" si="44"/>
        <v>114</v>
      </c>
      <c r="BT25" s="236">
        <f t="shared" si="45"/>
        <v>0</v>
      </c>
      <c r="BU25" s="236">
        <f t="shared" si="46"/>
        <v>0</v>
      </c>
      <c r="BV25" s="236">
        <f t="shared" si="47"/>
        <v>0</v>
      </c>
      <c r="BW25" s="236">
        <f t="shared" si="26"/>
        <v>0</v>
      </c>
      <c r="BX25" s="236">
        <f t="shared" si="27"/>
        <v>0</v>
      </c>
      <c r="BY25" s="236">
        <f t="shared" si="28"/>
        <v>58</v>
      </c>
      <c r="BZ25" s="236"/>
      <c r="CA25" s="275" t="s">
        <v>598</v>
      </c>
      <c r="CB25" s="272" t="str">
        <f t="shared" si="0"/>
        <v>N/A</v>
      </c>
      <c r="CC25" s="272" t="str">
        <f t="shared" si="1"/>
        <v>N/A</v>
      </c>
      <c r="CD25" s="272" t="str">
        <f t="shared" si="2"/>
        <v>N/A</v>
      </c>
      <c r="CE25" s="284" t="str">
        <f t="shared" si="3"/>
        <v>N/A</v>
      </c>
      <c r="CF25" s="284" t="str">
        <f t="shared" si="4"/>
        <v>N/A</v>
      </c>
      <c r="CG25" s="284" t="str">
        <f t="shared" si="5"/>
        <v xml:space="preserve">En el primer semestre de 2025 se realizaron en total 30 seguimientos a Programas de Mejoramiento Institucional suscritos por 15 Empresas Sociales del Estado, correspondientes a la ejecución de los compromisos para el III y IV trimestre de la vigencia 2024.
Por lo anterior, para el I semestre de 2025, se da cumplimiento a meta establecida del 100%.
</v>
      </c>
      <c r="CH25" s="272" t="str">
        <f t="shared" si="6"/>
        <v>N/A</v>
      </c>
      <c r="CI25" s="211" t="str">
        <f t="shared" si="7"/>
        <v>N/A</v>
      </c>
      <c r="CJ25" s="211" t="str">
        <f t="shared" si="8"/>
        <v>N/A</v>
      </c>
      <c r="CK25" s="211" t="str">
        <f t="shared" si="9"/>
        <v>N/A</v>
      </c>
      <c r="CL25" s="211" t="str">
        <f t="shared" si="10"/>
        <v>N/A</v>
      </c>
      <c r="CM25" s="211" t="str">
        <f t="shared" si="11"/>
        <v>N/A</v>
      </c>
      <c r="CO25" s="211" t="s">
        <v>271</v>
      </c>
      <c r="CP25" s="211" t="s">
        <v>140</v>
      </c>
      <c r="CQ25" s="211" t="s">
        <v>272</v>
      </c>
      <c r="CR25" s="211" t="s">
        <v>273</v>
      </c>
      <c r="CS25" s="211" t="s">
        <v>3022</v>
      </c>
      <c r="CT25" s="211" t="s">
        <v>272</v>
      </c>
      <c r="CU25" s="211" t="str">
        <f t="shared" si="12"/>
        <v>N/A</v>
      </c>
      <c r="CV25" s="211" t="str">
        <f t="shared" si="13"/>
        <v>N/A</v>
      </c>
      <c r="CW25" s="211" t="str">
        <f t="shared" si="14"/>
        <v xml:space="preserve">​La meta estuvo muy cerca de alcanzarse, hizo falta una regional más con un nuevo actor del sistema apoyado, sin embargo ete indicador subirá en el siguiente reporte.
Todas Las regionales vienen realizado actividades con los 4 actores acumulados que se llevan (Etidades territoriales, Usuarios, Gestores Farmacéuticos y Aseguradores)  y han comenzado su apoyo a Prestadores también.  Esto en apoyo a las respectivas Delegadas.
De acuerdo a las Regionales que han activado apoyo con prestadores, este se calcula en un 62,5% (5 de 8 regionales) de acuerdo a la evidencia adjunta
Sumando los 4 actores iniciales más el 62,5%  del nuevo actor (prestadores)  y comparándolos con los 9 para el cuatrienio, se tiene un 51,39%,  (4,625/9) lo cual es un avance importante rumbo a la meta de 66% propuesta para 2025.  Es decir, que a final de 2025 debe consolidarse el apoyo a prestadores e incluir además un sexto grupo de valor, y así lograr ese 66%.
La razón por la cual se tiene una meta de 66% (6 de 9) para este año, es que para cada año del cuatrienio se tiene la misma meta (con excepción del último, donde son 3 de 9, es decir, el 33,3%, de tal forma que al sumar los 4 porcentajes de los 4 años deberá darel 100%, es decir, 9 actores de 9 posibles en 4 años.
Se anexan las evidencias correspondientes dentro del URL adjunto.  ya que hay evidencias de todas las regionales y estas son muy pesadas para ser cargadas aquí.  Se han concedido algunos permisos para este URL. (Andrea del Pilar López, Mónica Liliana Salazar, Gloria Rocío PEreira, Peter William VArgas, Johana Patricia Orjuela).  Si Alguien mas de la OAP o de la OCI requiere ingresar al URL, solicitarlo a Rafael Enrique García Cadavid.
</v>
      </c>
      <c r="CX25" s="211" t="str">
        <f t="shared" si="15"/>
        <v>N/A</v>
      </c>
      <c r="CY25" s="211" t="str">
        <f t="shared" si="29"/>
        <v>N/A</v>
      </c>
      <c r="CZ25" s="211" t="str">
        <f t="shared" si="16"/>
        <v>N/A</v>
      </c>
      <c r="DA25" s="211" t="str">
        <f t="shared" si="17"/>
        <v>N/A</v>
      </c>
      <c r="DB25" s="211" t="str">
        <f t="shared" si="18"/>
        <v>N/A</v>
      </c>
      <c r="DC25" s="211" t="str">
        <f t="shared" si="19"/>
        <v>N/A</v>
      </c>
      <c r="DD25" s="211" t="str">
        <f t="shared" si="20"/>
        <v>N/A</v>
      </c>
      <c r="DE25" s="211" t="str">
        <f t="shared" si="21"/>
        <v>N/A</v>
      </c>
      <c r="DF25" s="211" t="str">
        <f t="shared" si="22"/>
        <v>N/A</v>
      </c>
    </row>
    <row r="26" spans="1:110" s="211" customFormat="1" ht="409.5">
      <c r="A26" s="348" t="s">
        <v>271</v>
      </c>
      <c r="B26" s="211" t="s">
        <v>140</v>
      </c>
      <c r="C26" s="211" t="s">
        <v>284</v>
      </c>
      <c r="D26" s="211" t="s">
        <v>285</v>
      </c>
      <c r="E26" s="211" t="s">
        <v>286</v>
      </c>
      <c r="F26" s="348" t="s">
        <v>287</v>
      </c>
      <c r="G26" s="211" t="s">
        <v>178</v>
      </c>
      <c r="H26" s="211">
        <v>1</v>
      </c>
      <c r="I26" s="323">
        <v>30</v>
      </c>
      <c r="J26" s="323">
        <v>30</v>
      </c>
      <c r="K26" s="288">
        <v>1</v>
      </c>
      <c r="L26" s="211" t="s">
        <v>3024</v>
      </c>
      <c r="M26" s="211" t="b">
        <v>0</v>
      </c>
      <c r="O26" s="209" t="s">
        <v>2832</v>
      </c>
      <c r="P26" s="211" t="s">
        <v>159</v>
      </c>
      <c r="Q26" s="211" t="s">
        <v>160</v>
      </c>
      <c r="T26" s="236" t="s">
        <v>288</v>
      </c>
      <c r="U26" s="269"/>
      <c r="V26" s="269"/>
      <c r="W26" s="269"/>
      <c r="X26" s="269">
        <v>1</v>
      </c>
      <c r="Y26" s="269"/>
      <c r="Z26" s="269"/>
      <c r="AA26" s="269"/>
      <c r="AB26" s="269"/>
      <c r="AC26" s="269"/>
      <c r="AD26" s="269"/>
      <c r="AE26" s="269">
        <v>9</v>
      </c>
      <c r="AF26" s="269"/>
      <c r="AG26" s="269">
        <v>10</v>
      </c>
      <c r="AH26"/>
      <c r="AI26"/>
      <c r="AJ26" s="236" t="s">
        <v>288</v>
      </c>
      <c r="AK26" s="269"/>
      <c r="AL26" s="269"/>
      <c r="AM26" s="269"/>
      <c r="AN26" s="269">
        <v>1</v>
      </c>
      <c r="AO26" s="269"/>
      <c r="AP26" s="269"/>
      <c r="AQ26" s="269"/>
      <c r="AR26" s="269"/>
      <c r="AS26" s="269"/>
      <c r="AT26" s="269"/>
      <c r="AU26" s="269">
        <v>9</v>
      </c>
      <c r="AV26" s="269"/>
      <c r="AW26" s="269">
        <v>10</v>
      </c>
      <c r="AX26" s="236"/>
      <c r="AY26" s="236"/>
      <c r="AZ26" s="236"/>
      <c r="BA26" s="239" t="s">
        <v>288</v>
      </c>
      <c r="BB26" s="240">
        <f t="shared" si="30"/>
        <v>0</v>
      </c>
      <c r="BC26" s="240">
        <f t="shared" si="31"/>
        <v>0</v>
      </c>
      <c r="BD26" s="240">
        <f t="shared" si="32"/>
        <v>0</v>
      </c>
      <c r="BE26" s="240">
        <f t="shared" si="33"/>
        <v>1</v>
      </c>
      <c r="BF26" s="240">
        <f t="shared" si="34"/>
        <v>0</v>
      </c>
      <c r="BG26" s="240">
        <f t="shared" si="35"/>
        <v>0</v>
      </c>
      <c r="BH26" s="240">
        <f t="shared" si="36"/>
        <v>0</v>
      </c>
      <c r="BI26" s="240">
        <f t="shared" si="37"/>
        <v>0</v>
      </c>
      <c r="BJ26" s="240">
        <f t="shared" si="38"/>
        <v>0</v>
      </c>
      <c r="BK26" s="240">
        <f t="shared" si="23"/>
        <v>0</v>
      </c>
      <c r="BL26" s="240">
        <f t="shared" si="24"/>
        <v>9</v>
      </c>
      <c r="BM26" s="240">
        <f t="shared" si="25"/>
        <v>0</v>
      </c>
      <c r="BN26" s="211">
        <f t="shared" si="39"/>
        <v>0</v>
      </c>
      <c r="BO26" s="236">
        <f t="shared" si="40"/>
        <v>0</v>
      </c>
      <c r="BP26" s="236">
        <f t="shared" si="41"/>
        <v>0</v>
      </c>
      <c r="BQ26" s="236">
        <f t="shared" si="42"/>
        <v>1</v>
      </c>
      <c r="BR26" s="236">
        <f t="shared" si="43"/>
        <v>0</v>
      </c>
      <c r="BS26" s="236">
        <f t="shared" si="44"/>
        <v>0</v>
      </c>
      <c r="BT26" s="236">
        <f t="shared" si="45"/>
        <v>0</v>
      </c>
      <c r="BU26" s="236">
        <f t="shared" si="46"/>
        <v>0</v>
      </c>
      <c r="BV26" s="236">
        <f t="shared" si="47"/>
        <v>0</v>
      </c>
      <c r="BW26" s="236">
        <f t="shared" si="26"/>
        <v>0</v>
      </c>
      <c r="BX26" s="236">
        <f t="shared" si="27"/>
        <v>9</v>
      </c>
      <c r="BY26" s="236">
        <f t="shared" si="28"/>
        <v>0</v>
      </c>
      <c r="BZ26" s="236"/>
      <c r="CA26" s="275" t="s">
        <v>651</v>
      </c>
      <c r="CB26" s="272" t="str">
        <f t="shared" si="0"/>
        <v>N/A</v>
      </c>
      <c r="CC26" s="272" t="str">
        <f t="shared" si="1"/>
        <v>N/A</v>
      </c>
      <c r="CD26" s="272" t="str">
        <f t="shared" si="2"/>
        <v>N/A</v>
      </c>
      <c r="CE26" s="284" t="str">
        <f t="shared" si="3"/>
        <v>N/A</v>
      </c>
      <c r="CF26" s="284" t="str">
        <f t="shared" si="4"/>
        <v>N/A</v>
      </c>
      <c r="CG26" s="284" t="str">
        <f t="shared" si="5"/>
        <v xml:space="preserve">Para el I semestre de 2025, se gestionaron 10 solicitudes de reformas estatutarias de 10 recibidas para trámite en la Dirección IV para Prestadores de Servicios de Salud, de las cuales, 2 finalizaron con resolución, 1 finalizó con oficio y 7 gestionadas con análisis de SARLAFT, análisis financiero y requerimiento al vigilado.
Por lo anterior, se da cumplimiento a la meta establecida del 100% para el periodo evaluado.
</v>
      </c>
      <c r="CH26" s="272" t="str">
        <f t="shared" si="6"/>
        <v>N/A</v>
      </c>
      <c r="CI26" s="211" t="str">
        <f t="shared" si="7"/>
        <v>N/A</v>
      </c>
      <c r="CJ26" s="211" t="str">
        <f t="shared" si="8"/>
        <v>N/A</v>
      </c>
      <c r="CK26" s="211" t="str">
        <f t="shared" si="9"/>
        <v>N/A</v>
      </c>
      <c r="CL26" s="211" t="str">
        <f t="shared" si="10"/>
        <v>N/A</v>
      </c>
      <c r="CM26" s="211" t="str">
        <f t="shared" si="11"/>
        <v>N/A</v>
      </c>
      <c r="CO26" s="211" t="s">
        <v>271</v>
      </c>
      <c r="CP26" s="211" t="s">
        <v>140</v>
      </c>
      <c r="CQ26" s="211" t="s">
        <v>284</v>
      </c>
      <c r="CR26" s="211" t="s">
        <v>285</v>
      </c>
      <c r="CS26" s="211" t="s">
        <v>3024</v>
      </c>
      <c r="CT26" s="211" t="s">
        <v>284</v>
      </c>
      <c r="CU26" s="211" t="str">
        <f t="shared" si="12"/>
        <v>N/A</v>
      </c>
      <c r="CV26" s="211" t="str">
        <f t="shared" si="13"/>
        <v>N/A</v>
      </c>
      <c r="CW26" s="211" t="str">
        <f t="shared" si="14"/>
        <v xml:space="preserve">​ Se anexa informe aportado por la Dirección de Inspección y Vigilancia a Generadores, recaudadores y Administradores de Recursos del SGSSS.  Este informe contiene las alertas detectadas en las acciones de IV de esa Dirección, y frente a cada una, se detalla qué acciones de seguimiento o supervisión se han realizado.
Se realiza informe de seguimiento a las alertas generadas en las acciones de Inspección y Vigilancia a Generadores, Recaudadores y Administradores de recursos del SGSSS.
En el informe, Frente a cada alerta que se encuentra abierta, se relacionan las acciones que se han realizado para su seguimiento o supervisión.
Puede evidenciarse que para cada una de las 30 alertas encontradas hay acciones de supervisión o seguimiento generadas, es decir, se tiene el 100% de cumplimiento.
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
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  
</v>
      </c>
      <c r="CX26" s="211" t="str">
        <f t="shared" si="15"/>
        <v>N/A</v>
      </c>
      <c r="CY26" s="211" t="str">
        <f t="shared" si="29"/>
        <v>N/A</v>
      </c>
      <c r="CZ26" s="211" t="str">
        <f t="shared" si="16"/>
        <v>N/A</v>
      </c>
      <c r="DA26" s="211" t="str">
        <f t="shared" si="17"/>
        <v>N/A</v>
      </c>
      <c r="DB26" s="211" t="str">
        <f t="shared" si="18"/>
        <v>N/A</v>
      </c>
      <c r="DC26" s="211" t="str">
        <f t="shared" si="19"/>
        <v>N/A</v>
      </c>
      <c r="DD26" s="211" t="str">
        <f t="shared" si="20"/>
        <v>N/A</v>
      </c>
      <c r="DE26" s="211" t="str">
        <f t="shared" si="21"/>
        <v>N/A</v>
      </c>
      <c r="DF26" s="211" t="str">
        <f t="shared" si="22"/>
        <v>N/A</v>
      </c>
    </row>
    <row r="27" spans="1:110" s="211" customFormat="1" ht="114.75">
      <c r="A27" s="348" t="s">
        <v>271</v>
      </c>
      <c r="B27" s="211" t="s">
        <v>140</v>
      </c>
      <c r="C27" s="211" t="s">
        <v>296</v>
      </c>
      <c r="D27" s="211" t="s">
        <v>297</v>
      </c>
      <c r="E27" s="211" t="s">
        <v>298</v>
      </c>
      <c r="F27" s="348" t="s">
        <v>299</v>
      </c>
      <c r="G27" s="211" t="s">
        <v>157</v>
      </c>
      <c r="H27" s="211">
        <v>8</v>
      </c>
      <c r="I27" s="323">
        <v>8</v>
      </c>
      <c r="J27" s="323">
        <v>8</v>
      </c>
      <c r="K27" s="288">
        <v>1</v>
      </c>
      <c r="L27" s="211" t="s">
        <v>3106</v>
      </c>
      <c r="M27" s="211" t="b">
        <v>0</v>
      </c>
      <c r="O27" s="209" t="s">
        <v>2832</v>
      </c>
      <c r="P27" s="211" t="s">
        <v>159</v>
      </c>
      <c r="Q27" s="211" t="s">
        <v>160</v>
      </c>
      <c r="T27" s="236" t="s">
        <v>289</v>
      </c>
      <c r="U27" s="269"/>
      <c r="V27" s="269"/>
      <c r="W27" s="269">
        <v>5</v>
      </c>
      <c r="X27" s="269"/>
      <c r="Y27" s="269"/>
      <c r="Z27" s="269">
        <v>4</v>
      </c>
      <c r="AA27" s="269"/>
      <c r="AB27" s="269"/>
      <c r="AC27" s="269">
        <v>5</v>
      </c>
      <c r="AD27" s="269"/>
      <c r="AE27" s="269"/>
      <c r="AF27" s="269">
        <v>1</v>
      </c>
      <c r="AG27" s="269">
        <v>15</v>
      </c>
      <c r="AH27"/>
      <c r="AI27"/>
      <c r="AJ27" s="236" t="s">
        <v>289</v>
      </c>
      <c r="AK27" s="269"/>
      <c r="AL27" s="269"/>
      <c r="AM27" s="269">
        <v>1</v>
      </c>
      <c r="AN27" s="269"/>
      <c r="AO27" s="269"/>
      <c r="AP27" s="269">
        <v>2</v>
      </c>
      <c r="AQ27" s="269"/>
      <c r="AR27" s="269"/>
      <c r="AS27" s="269">
        <v>3</v>
      </c>
      <c r="AT27" s="269"/>
      <c r="AU27" s="269"/>
      <c r="AV27" s="269">
        <v>4</v>
      </c>
      <c r="AW27" s="269">
        <v>10</v>
      </c>
      <c r="AX27" s="236"/>
      <c r="AY27" s="236"/>
      <c r="AZ27" s="236"/>
      <c r="BA27" s="239" t="s">
        <v>289</v>
      </c>
      <c r="BB27" s="240">
        <f t="shared" si="30"/>
        <v>0</v>
      </c>
      <c r="BC27" s="240">
        <f t="shared" si="31"/>
        <v>0</v>
      </c>
      <c r="BD27" s="240">
        <f t="shared" si="32"/>
        <v>5</v>
      </c>
      <c r="BE27" s="240">
        <f t="shared" si="33"/>
        <v>0</v>
      </c>
      <c r="BF27" s="240">
        <f t="shared" si="34"/>
        <v>0</v>
      </c>
      <c r="BG27" s="240">
        <f t="shared" si="35"/>
        <v>4</v>
      </c>
      <c r="BH27" s="240">
        <f t="shared" si="36"/>
        <v>0</v>
      </c>
      <c r="BI27" s="240">
        <f t="shared" si="37"/>
        <v>0</v>
      </c>
      <c r="BJ27" s="240">
        <f t="shared" si="38"/>
        <v>5</v>
      </c>
      <c r="BK27" s="240">
        <f t="shared" si="23"/>
        <v>0</v>
      </c>
      <c r="BL27" s="240">
        <f t="shared" si="24"/>
        <v>0</v>
      </c>
      <c r="BM27" s="240">
        <f t="shared" si="25"/>
        <v>1</v>
      </c>
      <c r="BN27" s="211">
        <f t="shared" si="39"/>
        <v>0</v>
      </c>
      <c r="BO27" s="236">
        <f t="shared" si="40"/>
        <v>0</v>
      </c>
      <c r="BP27" s="236">
        <f t="shared" si="41"/>
        <v>1</v>
      </c>
      <c r="BQ27" s="236">
        <f t="shared" si="42"/>
        <v>0</v>
      </c>
      <c r="BR27" s="236">
        <f t="shared" si="43"/>
        <v>0</v>
      </c>
      <c r="BS27" s="236">
        <f t="shared" si="44"/>
        <v>2</v>
      </c>
      <c r="BT27" s="236">
        <f t="shared" si="45"/>
        <v>0</v>
      </c>
      <c r="BU27" s="236">
        <f t="shared" si="46"/>
        <v>0</v>
      </c>
      <c r="BV27" s="236">
        <f t="shared" si="47"/>
        <v>3</v>
      </c>
      <c r="BW27" s="236">
        <f t="shared" si="26"/>
        <v>0</v>
      </c>
      <c r="BX27" s="236">
        <f t="shared" si="27"/>
        <v>0</v>
      </c>
      <c r="BY27" s="236">
        <f t="shared" si="28"/>
        <v>4</v>
      </c>
      <c r="BZ27" s="236"/>
      <c r="CA27" s="275" t="s">
        <v>658</v>
      </c>
      <c r="CB27" s="272" t="str">
        <f t="shared" si="0"/>
        <v>N/A</v>
      </c>
      <c r="CC27" s="272" t="str">
        <f t="shared" si="1"/>
        <v>N/A</v>
      </c>
      <c r="CD27" s="272" t="str">
        <f t="shared" si="2"/>
        <v>N/A</v>
      </c>
      <c r="CE27" s="284" t="str">
        <f t="shared" si="3"/>
        <v>N/A</v>
      </c>
      <c r="CF27" s="284" t="str">
        <f t="shared" si="4"/>
        <v>N/A</v>
      </c>
      <c r="CG27" s="284" t="str">
        <f t="shared" si="5"/>
        <v xml:space="preserve">​Para el I semestre de 2025, se recibió un recurso de apelación por evaluación de gerente, el cual fue gestionado en el término establecido, dando cumplimiento a la meta proyectada del 100%.
</v>
      </c>
      <c r="CH27" s="272" t="str">
        <f t="shared" si="6"/>
        <v>N/A</v>
      </c>
      <c r="CI27" s="211" t="str">
        <f t="shared" si="7"/>
        <v>N/A</v>
      </c>
      <c r="CJ27" s="211" t="str">
        <f t="shared" si="8"/>
        <v>N/A</v>
      </c>
      <c r="CK27" s="211" t="str">
        <f t="shared" si="9"/>
        <v>N/A</v>
      </c>
      <c r="CL27" s="211" t="str">
        <f t="shared" si="10"/>
        <v>N/A</v>
      </c>
      <c r="CM27" s="211" t="str">
        <f t="shared" si="11"/>
        <v>N/A</v>
      </c>
      <c r="CO27" s="211" t="s">
        <v>271</v>
      </c>
      <c r="CP27" s="211" t="s">
        <v>140</v>
      </c>
      <c r="CQ27" s="211" t="s">
        <v>296</v>
      </c>
      <c r="CR27" s="211" t="s">
        <v>297</v>
      </c>
      <c r="CS27" s="211" t="s">
        <v>3106</v>
      </c>
      <c r="CT27" s="211" t="s">
        <v>296</v>
      </c>
      <c r="CU27" s="211" t="str">
        <f t="shared" si="12"/>
        <v>N/A</v>
      </c>
      <c r="CV27" s="211" t="str">
        <f t="shared" si="13"/>
        <v>N/A</v>
      </c>
      <c r="CW27" s="211" t="str">
        <f t="shared" si="14"/>
        <v xml:space="preserve">​Se realizan los 8 seguimientos a regionales programados. 
Se adjunta evidencia de lo anterior.
</v>
      </c>
      <c r="CX27" s="211" t="str">
        <f t="shared" si="15"/>
        <v>N/A</v>
      </c>
      <c r="CY27" s="211" t="str">
        <f t="shared" si="29"/>
        <v>N/A</v>
      </c>
      <c r="CZ27" s="211" t="str">
        <f t="shared" si="16"/>
        <v>N/A</v>
      </c>
      <c r="DA27" s="211" t="str">
        <f t="shared" si="17"/>
        <v>N/A</v>
      </c>
      <c r="DB27" s="211" t="str">
        <f t="shared" si="18"/>
        <v>N/A</v>
      </c>
      <c r="DC27" s="211" t="str">
        <f t="shared" si="19"/>
        <v>N/A</v>
      </c>
      <c r="DD27" s="211" t="str">
        <f t="shared" si="20"/>
        <v>N/A</v>
      </c>
      <c r="DE27" s="211" t="str">
        <f t="shared" si="21"/>
        <v>N/A</v>
      </c>
      <c r="DF27" s="211" t="str">
        <f t="shared" si="22"/>
        <v>N/A</v>
      </c>
    </row>
    <row r="28" spans="1:110" s="211" customFormat="1" ht="409.5">
      <c r="A28" s="348" t="s">
        <v>271</v>
      </c>
      <c r="B28" s="211" t="s">
        <v>140</v>
      </c>
      <c r="C28" s="211" t="s">
        <v>278</v>
      </c>
      <c r="D28" s="211" t="s">
        <v>279</v>
      </c>
      <c r="E28" s="211" t="s">
        <v>280</v>
      </c>
      <c r="F28" s="348" t="s">
        <v>281</v>
      </c>
      <c r="G28" s="211" t="s">
        <v>178</v>
      </c>
      <c r="H28" s="289">
        <v>1</v>
      </c>
      <c r="I28" s="323">
        <v>18</v>
      </c>
      <c r="J28" s="323">
        <v>18</v>
      </c>
      <c r="K28" s="288">
        <v>1</v>
      </c>
      <c r="L28" s="211" t="s">
        <v>2952</v>
      </c>
      <c r="M28" s="211" t="b">
        <v>0</v>
      </c>
      <c r="O28" s="209" t="s">
        <v>2832</v>
      </c>
      <c r="P28" s="211" t="s">
        <v>159</v>
      </c>
      <c r="Q28" s="211" t="s">
        <v>160</v>
      </c>
      <c r="T28" s="236" t="s">
        <v>209</v>
      </c>
      <c r="U28" s="269"/>
      <c r="V28" s="269"/>
      <c r="W28" s="269">
        <v>2</v>
      </c>
      <c r="X28" s="269"/>
      <c r="Y28" s="269"/>
      <c r="Z28" s="269">
        <v>11</v>
      </c>
      <c r="AA28" s="269"/>
      <c r="AB28" s="269"/>
      <c r="AC28" s="269">
        <v>7</v>
      </c>
      <c r="AD28" s="269"/>
      <c r="AE28" s="269"/>
      <c r="AF28" s="269">
        <v>7</v>
      </c>
      <c r="AG28" s="269">
        <v>27</v>
      </c>
      <c r="AH28"/>
      <c r="AI28"/>
      <c r="AJ28" s="236" t="s">
        <v>209</v>
      </c>
      <c r="AK28" s="269"/>
      <c r="AL28" s="269"/>
      <c r="AM28" s="269">
        <v>2</v>
      </c>
      <c r="AN28" s="269"/>
      <c r="AO28" s="269"/>
      <c r="AP28" s="269">
        <v>11</v>
      </c>
      <c r="AQ28" s="269"/>
      <c r="AR28" s="269"/>
      <c r="AS28" s="269">
        <v>7</v>
      </c>
      <c r="AT28" s="269"/>
      <c r="AU28" s="269"/>
      <c r="AV28" s="269">
        <v>7</v>
      </c>
      <c r="AW28" s="269">
        <v>27</v>
      </c>
      <c r="AX28" s="236"/>
      <c r="AY28" s="236"/>
      <c r="AZ28" s="236"/>
      <c r="BA28" s="239" t="s">
        <v>209</v>
      </c>
      <c r="BB28" s="240">
        <f t="shared" si="30"/>
        <v>0</v>
      </c>
      <c r="BC28" s="240">
        <f t="shared" si="31"/>
        <v>0</v>
      </c>
      <c r="BD28" s="240">
        <f t="shared" si="32"/>
        <v>2</v>
      </c>
      <c r="BE28" s="240">
        <f t="shared" si="33"/>
        <v>0</v>
      </c>
      <c r="BF28" s="240">
        <f t="shared" si="34"/>
        <v>0</v>
      </c>
      <c r="BG28" s="240">
        <f t="shared" si="35"/>
        <v>11</v>
      </c>
      <c r="BH28" s="240">
        <f t="shared" si="36"/>
        <v>0</v>
      </c>
      <c r="BI28" s="240">
        <f t="shared" si="37"/>
        <v>0</v>
      </c>
      <c r="BJ28" s="240">
        <f t="shared" si="38"/>
        <v>7</v>
      </c>
      <c r="BK28" s="240">
        <f t="shared" si="23"/>
        <v>0</v>
      </c>
      <c r="BL28" s="240">
        <f t="shared" si="24"/>
        <v>0</v>
      </c>
      <c r="BM28" s="240">
        <f t="shared" si="25"/>
        <v>7</v>
      </c>
      <c r="BN28" s="211">
        <f t="shared" si="39"/>
        <v>0</v>
      </c>
      <c r="BO28" s="236">
        <f t="shared" si="40"/>
        <v>0</v>
      </c>
      <c r="BP28" s="236">
        <f t="shared" si="41"/>
        <v>2</v>
      </c>
      <c r="BQ28" s="236">
        <f t="shared" si="42"/>
        <v>0</v>
      </c>
      <c r="BR28" s="236">
        <f t="shared" si="43"/>
        <v>0</v>
      </c>
      <c r="BS28" s="236">
        <f t="shared" si="44"/>
        <v>11</v>
      </c>
      <c r="BT28" s="236">
        <f t="shared" si="45"/>
        <v>0</v>
      </c>
      <c r="BU28" s="236">
        <f t="shared" si="46"/>
        <v>0</v>
      </c>
      <c r="BV28" s="236">
        <f t="shared" si="47"/>
        <v>7</v>
      </c>
      <c r="BW28" s="236">
        <f t="shared" si="26"/>
        <v>0</v>
      </c>
      <c r="BX28" s="236">
        <f t="shared" si="27"/>
        <v>0</v>
      </c>
      <c r="BY28" s="236">
        <f t="shared" si="28"/>
        <v>7</v>
      </c>
      <c r="BZ28" s="236"/>
      <c r="CA28" s="275" t="s">
        <v>630</v>
      </c>
      <c r="CB28" s="272" t="str">
        <f t="shared" si="0"/>
        <v>N/A</v>
      </c>
      <c r="CC28" s="272" t="str">
        <f t="shared" si="1"/>
        <v>N/A</v>
      </c>
      <c r="CD28" s="272" t="str">
        <f t="shared" si="2"/>
        <v>N/A</v>
      </c>
      <c r="CE28" s="284" t="str">
        <f t="shared" si="3"/>
        <v>N/A</v>
      </c>
      <c r="CF28" s="284" t="str">
        <f t="shared" si="4"/>
        <v>N/A</v>
      </c>
      <c r="CG28" s="284" t="str">
        <f t="shared" si="5"/>
        <v xml:space="preserve">Desde las acciones realizadas por la Delegada para Prestadores de Servicios de Salud, se monitorea el resultado de cuatro (4) indicadores calculados a partir de la información financiera reportada por las ESE al cierre de la vigencia anterior (2024), los cuales contemplan variables relacionadas con cartera, pasivos especialmente al talento humano en salud, pérdidas operacionales y generación de recaudo frente a ingresos causados. 
Como meta se estableció el seguimiento y realización de acciones de inspección y vigilancia sobre 25 Empresas Sociales del Estado distribuidas así: 
• Diez (10) durante el primer semestre 
• Quince (15) durante el segundo semestre 
Lo anterior con el fin de verificar en campo el comportamiento y fallas que se pudieran identificar frente a los resultados obtenidos en los indicadores. Producto de estas acciones, se generan los respectivos informes de auditoría y traslados a entidades a las autoridades competentes. 
En este sentido, para efectos de obtener el resultado del indicador, se multiplica el número de Empresas Sociales del Estado priorizadas por el número cuatro (4) que equivale a la cantidad de indicadores verificados desde el componente financiero a partir de la información financiera, como se indicó anteriormente.
Es decir, que para el I semestre de la vigencia 2025, se realizaron acciones de IV a diez (10) ESE multiplicado por 4 indicadores financieros, para un total de 40 alertas identificadas y gestionadas en el monitoreo y vigilancia de los recursos financieros.
</v>
      </c>
      <c r="CH28" s="272" t="str">
        <f t="shared" si="6"/>
        <v>N/A</v>
      </c>
      <c r="CI28" s="211" t="str">
        <f t="shared" si="7"/>
        <v>N/A</v>
      </c>
      <c r="CJ28" s="211" t="str">
        <f t="shared" si="8"/>
        <v>N/A</v>
      </c>
      <c r="CK28" s="211" t="str">
        <f t="shared" si="9"/>
        <v>N/A</v>
      </c>
      <c r="CL28" s="211" t="str">
        <f t="shared" si="10"/>
        <v>N/A</v>
      </c>
      <c r="CM28" s="211" t="str">
        <f t="shared" si="11"/>
        <v>N/A</v>
      </c>
      <c r="CO28" s="211" t="s">
        <v>271</v>
      </c>
      <c r="CP28" s="211" t="s">
        <v>140</v>
      </c>
      <c r="CQ28" s="211" t="s">
        <v>278</v>
      </c>
      <c r="CR28" s="211" t="s">
        <v>279</v>
      </c>
      <c r="CS28" s="211" t="s">
        <v>2952</v>
      </c>
      <c r="CT28" s="211" t="s">
        <v>278</v>
      </c>
      <c r="CU28" s="211" t="str">
        <f t="shared" si="12"/>
        <v>N/A</v>
      </c>
      <c r="CV28" s="211" t="str">
        <f t="shared" si="13"/>
        <v>N/A</v>
      </c>
      <c r="CW28" s="211" t="str">
        <f t="shared" si="14"/>
        <v xml:space="preserve">Se programaron 18  Nuevos Territorios nuevos para la vigencia a los cuales se llegó con acciones por parte de las Direcciones Regionales., cumpliendo con el 100% del indicador. En las evidencias que se anexan puede verse cuales son esos 18 territorios nuevos y algunas de las acciones en los mismos.  Para Chocó y Caribe, los nuevos territorios están programados para siguientes trimestres.​
Se adjunta en carpeta compartida:  Excel con la relación de los 18 nuevos  territorios y subcarpetas con una muestra de acciones en cada uno de ellos.
</v>
      </c>
      <c r="CX28" s="211" t="str">
        <f t="shared" si="15"/>
        <v>N/A</v>
      </c>
      <c r="CY28" s="211" t="str">
        <f t="shared" si="29"/>
        <v>N/A</v>
      </c>
      <c r="CZ28" s="211" t="str">
        <f t="shared" si="16"/>
        <v>N/A</v>
      </c>
      <c r="DA28" s="211" t="str">
        <f t="shared" si="17"/>
        <v>N/A</v>
      </c>
      <c r="DB28" s="211" t="str">
        <f t="shared" si="18"/>
        <v>N/A</v>
      </c>
      <c r="DC28" s="211" t="str">
        <f t="shared" si="19"/>
        <v>N/A</v>
      </c>
      <c r="DD28" s="211" t="str">
        <f t="shared" si="20"/>
        <v>N/A</v>
      </c>
      <c r="DE28" s="211" t="str">
        <f t="shared" si="21"/>
        <v>N/A</v>
      </c>
      <c r="DF28" s="211" t="str">
        <f t="shared" si="22"/>
        <v>N/A</v>
      </c>
    </row>
    <row r="29" spans="1:110" s="211" customFormat="1" ht="409.5">
      <c r="A29" s="348" t="s">
        <v>271</v>
      </c>
      <c r="B29" s="211" t="s">
        <v>140</v>
      </c>
      <c r="C29" s="211" t="s">
        <v>301</v>
      </c>
      <c r="D29" s="211" t="s">
        <v>302</v>
      </c>
      <c r="E29" s="211" t="s">
        <v>303</v>
      </c>
      <c r="F29" s="348" t="s">
        <v>304</v>
      </c>
      <c r="G29" s="211" t="s">
        <v>157</v>
      </c>
      <c r="H29" s="211">
        <v>20</v>
      </c>
      <c r="I29" s="323">
        <v>24</v>
      </c>
      <c r="J29" s="323">
        <v>20</v>
      </c>
      <c r="K29" s="288">
        <v>1.2</v>
      </c>
      <c r="L29" s="211" t="s">
        <v>305</v>
      </c>
      <c r="M29" s="211" t="b">
        <v>0</v>
      </c>
      <c r="O29" s="209" t="s">
        <v>2832</v>
      </c>
      <c r="P29" s="211" t="s">
        <v>159</v>
      </c>
      <c r="Q29" s="211" t="s">
        <v>160</v>
      </c>
      <c r="T29" s="236" t="s">
        <v>300</v>
      </c>
      <c r="U29" s="269"/>
      <c r="V29" s="269"/>
      <c r="W29" s="269"/>
      <c r="X29" s="269"/>
      <c r="Y29" s="269"/>
      <c r="Z29" s="269">
        <v>148</v>
      </c>
      <c r="AA29" s="269"/>
      <c r="AB29" s="269"/>
      <c r="AC29" s="269"/>
      <c r="AD29" s="269"/>
      <c r="AE29" s="269"/>
      <c r="AF29" s="269">
        <v>204</v>
      </c>
      <c r="AG29" s="269">
        <v>352</v>
      </c>
      <c r="AH29"/>
      <c r="AI29"/>
      <c r="AJ29" s="236" t="s">
        <v>300</v>
      </c>
      <c r="AK29" s="269"/>
      <c r="AL29" s="269"/>
      <c r="AM29" s="269"/>
      <c r="AN29" s="269"/>
      <c r="AO29" s="269"/>
      <c r="AP29" s="269">
        <v>148</v>
      </c>
      <c r="AQ29" s="269"/>
      <c r="AR29" s="269"/>
      <c r="AS29" s="269"/>
      <c r="AT29" s="269"/>
      <c r="AU29" s="269"/>
      <c r="AV29" s="269">
        <v>204</v>
      </c>
      <c r="AW29" s="269">
        <v>352</v>
      </c>
      <c r="AX29" s="236"/>
      <c r="AY29" s="236"/>
      <c r="AZ29" s="236"/>
      <c r="BA29" s="239" t="s">
        <v>300</v>
      </c>
      <c r="BB29" s="240">
        <f t="shared" si="30"/>
        <v>0</v>
      </c>
      <c r="BC29" s="240">
        <f t="shared" si="31"/>
        <v>0</v>
      </c>
      <c r="BD29" s="240">
        <f t="shared" si="32"/>
        <v>0</v>
      </c>
      <c r="BE29" s="240">
        <f t="shared" si="33"/>
        <v>0</v>
      </c>
      <c r="BF29" s="240">
        <f t="shared" si="34"/>
        <v>0</v>
      </c>
      <c r="BG29" s="240">
        <f t="shared" si="35"/>
        <v>148</v>
      </c>
      <c r="BH29" s="240">
        <f t="shared" si="36"/>
        <v>0</v>
      </c>
      <c r="BI29" s="240">
        <f t="shared" si="37"/>
        <v>0</v>
      </c>
      <c r="BJ29" s="240">
        <f t="shared" si="38"/>
        <v>0</v>
      </c>
      <c r="BK29" s="240">
        <f t="shared" si="23"/>
        <v>0</v>
      </c>
      <c r="BL29" s="240">
        <f t="shared" si="24"/>
        <v>0</v>
      </c>
      <c r="BM29" s="240">
        <f t="shared" si="25"/>
        <v>204</v>
      </c>
      <c r="BN29" s="211">
        <f t="shared" si="39"/>
        <v>0</v>
      </c>
      <c r="BO29" s="236">
        <f t="shared" si="40"/>
        <v>0</v>
      </c>
      <c r="BP29" s="236">
        <f t="shared" si="41"/>
        <v>0</v>
      </c>
      <c r="BQ29" s="236">
        <f t="shared" si="42"/>
        <v>0</v>
      </c>
      <c r="BR29" s="236">
        <f t="shared" si="43"/>
        <v>0</v>
      </c>
      <c r="BS29" s="236">
        <f t="shared" si="44"/>
        <v>148</v>
      </c>
      <c r="BT29" s="236">
        <f t="shared" si="45"/>
        <v>0</v>
      </c>
      <c r="BU29" s="236">
        <f t="shared" si="46"/>
        <v>0</v>
      </c>
      <c r="BV29" s="236">
        <f t="shared" si="47"/>
        <v>0</v>
      </c>
      <c r="BW29" s="236">
        <f t="shared" si="26"/>
        <v>0</v>
      </c>
      <c r="BX29" s="236">
        <f t="shared" si="27"/>
        <v>0</v>
      </c>
      <c r="BY29" s="236">
        <f t="shared" si="28"/>
        <v>204</v>
      </c>
      <c r="BZ29" s="236"/>
      <c r="CA29" s="275" t="s">
        <v>635</v>
      </c>
      <c r="CB29" s="272" t="str">
        <f t="shared" si="0"/>
        <v>N/A</v>
      </c>
      <c r="CC29" s="272" t="str">
        <f t="shared" si="1"/>
        <v>N/A</v>
      </c>
      <c r="CD29" s="272" t="str">
        <f t="shared" si="2"/>
        <v>N/A</v>
      </c>
      <c r="CE29" s="284" t="str">
        <f t="shared" si="3"/>
        <v>N/A</v>
      </c>
      <c r="CF29" s="284" t="str">
        <f t="shared" si="4"/>
        <v>N/A</v>
      </c>
      <c r="CG29" s="284" t="str">
        <f t="shared" si="5"/>
        <v xml:space="preserve">Para el I semestre de la vigencia 2025, la Dirección de Inspección y Vigilancia para Prestadores de Servicios de Salud, si bien realizó la programación de 5 orientaciones técnicas, se ejecutaron 7, lo que corresponde a un cumplimiento del 140% vs la meta establecida.
En ese orden de ideas, las dos (2) orientaciones técnicas que se realizaron adicional a las programadas para este periodo, se enfocaron en:
La situación de alerta y emergencia en todo el territorio nacional por fiebre amarilla específicamente en el Departamento del Tolima, por lo que en el marco de la Circular Externa 0018 de 2024, mediante la cual el Ministerio de Salud y Protección Social emite directrices para la preparación, organización y respuesta ante este evento de interés en salud pública. Este despacho consideró relevante generar un espacio para la realización de orientación técnica con los Prestadores de Servicios de Salud del Tolima, con el fin de afianzar el deber del prestador como Unidad Primaria Generadora de Datos - UPGD, así como de reiterar la responsabilidad que les asiste en el cumplimiento de las características del Sistema General de Seguridad Social en Salud, como accesibilidad, oportunidad, seguridad, pertinencia y continuidad.
Teniendo en cuenta que el Chocó se encuentra entre los Departamentos con mayor número de casos de desnutrición aguda en menores de 5 años (evento 113), morbilidad materna extrema (evento 549) y mortalidad materna (550), se realizó jornada de seguimiento a los planes de mejora de los prestadores priorizados ante los eventos de Interés en Salud Pública desnutrición y morbimortalidad materna y perinatal, con el objetivo de verificar el cumplimiento efectivo del plan de mejora generado por parte de los ocho (8) prestadores de servicios de salud priorizados, frente a la atención de los menores de edad de 0 a 59 meses, las gestante y neonatos en los territorios de influencia de cada uno de ellos con el propósito disminuir la desnutrición y la morbimortalidad materno perinatal.
</v>
      </c>
      <c r="CH29" s="272" t="str">
        <f t="shared" si="6"/>
        <v>N/A</v>
      </c>
      <c r="CI29" s="211" t="str">
        <f t="shared" si="7"/>
        <v>N/A</v>
      </c>
      <c r="CJ29" s="211" t="str">
        <f t="shared" si="8"/>
        <v>N/A</v>
      </c>
      <c r="CK29" s="211" t="str">
        <f t="shared" si="9"/>
        <v>N/A</v>
      </c>
      <c r="CL29" s="211" t="str">
        <f t="shared" si="10"/>
        <v>N/A</v>
      </c>
      <c r="CM29" s="211" t="str">
        <f t="shared" si="11"/>
        <v>N/A</v>
      </c>
      <c r="CO29" s="211" t="s">
        <v>271</v>
      </c>
      <c r="CP29" s="211" t="s">
        <v>140</v>
      </c>
      <c r="CQ29" s="211" t="s">
        <v>301</v>
      </c>
      <c r="CR29" s="211" t="s">
        <v>302</v>
      </c>
      <c r="CS29" s="211" t="s">
        <v>305</v>
      </c>
      <c r="CT29" s="211" t="s">
        <v>301</v>
      </c>
      <c r="CU29" s="211" t="str">
        <f t="shared" si="12"/>
        <v>N/A</v>
      </c>
      <c r="CV29" s="211" t="str">
        <f t="shared" si="13"/>
        <v>N/A</v>
      </c>
      <c r="CW29" s="211" t="str">
        <f t="shared" si="14"/>
        <v xml:space="preserve">​Se tenían planeadas 20 mesas al año y se realizaron 24.  Se adelantaron 4 del próximo corte ya que se consideró necesario avanzar en el tema porque los próximos meses pueden ser más demandantes en diversos temas.  En total para todo el año se programaron 80.
</v>
      </c>
      <c r="CX29" s="211" t="str">
        <f t="shared" si="15"/>
        <v>N/A</v>
      </c>
      <c r="CY29" s="211" t="str">
        <f t="shared" si="29"/>
        <v>N/A</v>
      </c>
      <c r="CZ29" s="211" t="str">
        <f t="shared" si="16"/>
        <v>N/A</v>
      </c>
      <c r="DA29" s="211" t="str">
        <f t="shared" si="17"/>
        <v>N/A</v>
      </c>
      <c r="DB29" s="211" t="str">
        <f t="shared" si="18"/>
        <v>N/A</v>
      </c>
      <c r="DC29" s="211" t="str">
        <f t="shared" si="19"/>
        <v>N/A</v>
      </c>
      <c r="DD29" s="211" t="str">
        <f t="shared" si="20"/>
        <v>N/A</v>
      </c>
      <c r="DE29" s="211" t="str">
        <f t="shared" si="21"/>
        <v>N/A</v>
      </c>
      <c r="DF29" s="211" t="str">
        <f t="shared" si="22"/>
        <v>N/A</v>
      </c>
    </row>
    <row r="30" spans="1:110" s="211" customFormat="1" ht="409.5">
      <c r="A30" s="348" t="s">
        <v>271</v>
      </c>
      <c r="B30" s="211" t="s">
        <v>140</v>
      </c>
      <c r="C30" s="211" t="s">
        <v>307</v>
      </c>
      <c r="D30" s="211" t="s">
        <v>308</v>
      </c>
      <c r="E30" s="211" t="s">
        <v>309</v>
      </c>
      <c r="F30" s="348" t="s">
        <v>310</v>
      </c>
      <c r="G30" s="211" t="s">
        <v>157</v>
      </c>
      <c r="H30" s="211">
        <v>3</v>
      </c>
      <c r="I30" s="323">
        <v>3</v>
      </c>
      <c r="J30" s="323">
        <v>3</v>
      </c>
      <c r="K30" s="288">
        <v>1</v>
      </c>
      <c r="L30" s="211" t="s">
        <v>3032</v>
      </c>
      <c r="M30" s="211" t="b">
        <v>0</v>
      </c>
      <c r="O30" s="209" t="s">
        <v>2832</v>
      </c>
      <c r="P30" s="211" t="s">
        <v>159</v>
      </c>
      <c r="Q30" s="211" t="s">
        <v>160</v>
      </c>
      <c r="T30" s="236" t="s">
        <v>306</v>
      </c>
      <c r="U30" s="269"/>
      <c r="V30" s="269"/>
      <c r="W30" s="269"/>
      <c r="X30" s="269"/>
      <c r="Y30" s="269"/>
      <c r="Z30" s="269">
        <v>189</v>
      </c>
      <c r="AA30" s="269"/>
      <c r="AB30" s="269"/>
      <c r="AC30" s="269"/>
      <c r="AD30" s="269"/>
      <c r="AE30" s="269"/>
      <c r="AF30" s="269">
        <v>143</v>
      </c>
      <c r="AG30" s="269">
        <v>332</v>
      </c>
      <c r="AH30"/>
      <c r="AI30"/>
      <c r="AJ30" s="236" t="s">
        <v>306</v>
      </c>
      <c r="AK30" s="269"/>
      <c r="AL30" s="269"/>
      <c r="AM30" s="269"/>
      <c r="AN30" s="269"/>
      <c r="AO30" s="269"/>
      <c r="AP30" s="269">
        <v>376</v>
      </c>
      <c r="AQ30" s="269"/>
      <c r="AR30" s="269"/>
      <c r="AS30" s="269"/>
      <c r="AT30" s="269"/>
      <c r="AU30" s="269"/>
      <c r="AV30" s="269">
        <v>222</v>
      </c>
      <c r="AW30" s="269">
        <v>598</v>
      </c>
      <c r="AX30" s="236"/>
      <c r="AY30" s="236"/>
      <c r="AZ30" s="236"/>
      <c r="BA30" s="239" t="s">
        <v>306</v>
      </c>
      <c r="BB30" s="240">
        <f t="shared" si="30"/>
        <v>0</v>
      </c>
      <c r="BC30" s="240">
        <f t="shared" si="31"/>
        <v>0</v>
      </c>
      <c r="BD30" s="240">
        <f t="shared" si="32"/>
        <v>0</v>
      </c>
      <c r="BE30" s="240">
        <f t="shared" si="33"/>
        <v>0</v>
      </c>
      <c r="BF30" s="240">
        <f t="shared" si="34"/>
        <v>0</v>
      </c>
      <c r="BG30" s="240">
        <f t="shared" si="35"/>
        <v>189</v>
      </c>
      <c r="BH30" s="240">
        <f t="shared" si="36"/>
        <v>0</v>
      </c>
      <c r="BI30" s="240">
        <f t="shared" si="37"/>
        <v>0</v>
      </c>
      <c r="BJ30" s="240">
        <f t="shared" si="38"/>
        <v>0</v>
      </c>
      <c r="BK30" s="240">
        <f t="shared" si="23"/>
        <v>0</v>
      </c>
      <c r="BL30" s="240">
        <f t="shared" si="24"/>
        <v>0</v>
      </c>
      <c r="BM30" s="240">
        <f t="shared" si="25"/>
        <v>143</v>
      </c>
      <c r="BN30" s="211">
        <f t="shared" si="39"/>
        <v>0</v>
      </c>
      <c r="BO30" s="236">
        <f t="shared" si="40"/>
        <v>0</v>
      </c>
      <c r="BP30" s="236">
        <f t="shared" si="41"/>
        <v>0</v>
      </c>
      <c r="BQ30" s="236">
        <f t="shared" si="42"/>
        <v>0</v>
      </c>
      <c r="BR30" s="236">
        <f t="shared" si="43"/>
        <v>0</v>
      </c>
      <c r="BS30" s="236">
        <f t="shared" si="44"/>
        <v>376</v>
      </c>
      <c r="BT30" s="236">
        <f t="shared" si="45"/>
        <v>0</v>
      </c>
      <c r="BU30" s="236">
        <f t="shared" si="46"/>
        <v>0</v>
      </c>
      <c r="BV30" s="236">
        <f t="shared" si="47"/>
        <v>0</v>
      </c>
      <c r="BW30" s="236">
        <f t="shared" si="26"/>
        <v>0</v>
      </c>
      <c r="BX30" s="236">
        <f t="shared" si="27"/>
        <v>0</v>
      </c>
      <c r="BY30" s="236">
        <f t="shared" si="28"/>
        <v>222</v>
      </c>
      <c r="BZ30" s="236"/>
      <c r="CA30" s="275" t="s">
        <v>612</v>
      </c>
      <c r="CB30" s="272" t="str">
        <f t="shared" si="0"/>
        <v>N/A</v>
      </c>
      <c r="CC30" s="272" t="str">
        <f t="shared" si="1"/>
        <v>N/A</v>
      </c>
      <c r="CD30" s="272" t="str">
        <f t="shared" si="2"/>
        <v>N/A</v>
      </c>
      <c r="CE30" s="284" t="str">
        <f t="shared" si="3"/>
        <v>N/A</v>
      </c>
      <c r="CF30" s="284" t="str">
        <f t="shared" si="4"/>
        <v>N/A</v>
      </c>
      <c r="CG30" s="284" t="str">
        <f t="shared" si="5"/>
        <v xml:space="preserve">Para el I semestre de la vigencia 2025, se realizó una (1) acción de IV relacionada con monitoreo de riesgos- (Requerimiento de información al vigilado CENTRO DERMATOLOGICO FEDERICO LLERAS ACOSTA E.S.E, teniendo en cuenta los siguientes antecedentes:
*El 7 de febrero de 2025, se recibió traslado por parte de la Contraloría General de la República a través del radicado nro. 20259300400720912, mediante el cual informaron dos (2) hallazgos identificados en el marco de la auditoría de Cumplimiento al CENTRO DERMATOLOGICO FEDERICO LLERAS ACOSTA E.S.E de las vigencias 2022 y 2023, los cuales quedaron registrados en el informe CGR-CDSS 033 de diciembre 6 de 2024 y se citan a continuación:
"Hallazgo 10. Consulta previa de Sistema de Administración de Riesgos de Lavado de Activos y Financiación del Terrorismo (SARLAFT) y de listas restrictivas y de control internacionales y nacionales. (A-D-OI)."
"Hallazgo 16. Mayores valores pagados a Proveedores por Medicamentos, Insumos o Productos vigencias 2022 y 2023. (A-D-OI-IP)."
A tal efecto, en el desarrollo de dichas acciones, se verificaron las evidencias allegadas por la Contraloría en lo relacionado al Subsistema de Administración del Riesgo de Lavado de Activos, Financiación del Terrorismo y Financiación de la Proliferación de Armas de Destrucción Masiva.
*El 25/02/2025 se realizó el primer requerimiento a través del radicado nro. 20254100000392221, el vigilado da respuesta 28/02/2025 mediante el radicado nro.20259300404316142.
*El 20/04/2025 se realizó el primer requerimiento a través del radicado nro. 20254100000856901, el 19/05/2025 se realizó reiteración a través del radicado nro. 20254100001084001, el vigilado da respuesta 21/05/2025 mediante el radicado nro.20259300411249152.
*El 6/06/2025 se realizó el primer requerimiento a través del radicado nro.20254100001232821, el vigilado da respuesta 11/06/2025 mediante el radicado nro. 20259300413165572.
En virtud de lo anterior, se elaboró informe con los incumplimientos evidenciados.
Por lo anterior, se da cumplimiento a la meta establecida para el I semestre de la vigencia 2025 de realizar una acción de monitoreo de riesgos a un vigilado priorizado para tal fin.
</v>
      </c>
      <c r="CH30" s="272" t="str">
        <f t="shared" si="6"/>
        <v>N/A</v>
      </c>
      <c r="CI30" s="211" t="str">
        <f t="shared" si="7"/>
        <v>N/A</v>
      </c>
      <c r="CJ30" s="211" t="str">
        <f t="shared" si="8"/>
        <v>N/A</v>
      </c>
      <c r="CK30" s="211" t="str">
        <f t="shared" si="9"/>
        <v>N/A</v>
      </c>
      <c r="CL30" s="211" t="str">
        <f t="shared" si="10"/>
        <v>N/A</v>
      </c>
      <c r="CM30" s="211" t="str">
        <f t="shared" si="11"/>
        <v>N/A</v>
      </c>
      <c r="CO30" s="211" t="s">
        <v>271</v>
      </c>
      <c r="CP30" s="211" t="s">
        <v>140</v>
      </c>
      <c r="CQ30" s="211" t="s">
        <v>307</v>
      </c>
      <c r="CR30" s="211" t="s">
        <v>308</v>
      </c>
      <c r="CS30" s="211" t="s">
        <v>3032</v>
      </c>
      <c r="CT30" s="211" t="s">
        <v>307</v>
      </c>
      <c r="CU30" s="211" t="str">
        <f t="shared" si="12"/>
        <v>N/A</v>
      </c>
      <c r="CV30" s="211" t="str">
        <f t="shared" si="13"/>
        <v>N/A</v>
      </c>
      <c r="CW30" s="211" t="str">
        <f t="shared" si="14"/>
        <v xml:space="preserve">Se realizan actividades derivadas de mesas de Gobernanza en las siguientes Entidades Territoriales:
* Chiquinquirá
* Soatá
* Sogamoso
En el excel adjunto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
</v>
      </c>
      <c r="CX30" s="211" t="str">
        <f t="shared" si="15"/>
        <v>N/A</v>
      </c>
      <c r="CY30" s="211" t="str">
        <f t="shared" si="29"/>
        <v>N/A</v>
      </c>
      <c r="CZ30" s="211" t="str">
        <f t="shared" si="16"/>
        <v>N/A</v>
      </c>
      <c r="DA30" s="211" t="str">
        <f t="shared" si="17"/>
        <v>N/A</v>
      </c>
      <c r="DB30" s="211" t="str">
        <f t="shared" si="18"/>
        <v>N/A</v>
      </c>
      <c r="DC30" s="211" t="str">
        <f t="shared" si="19"/>
        <v>N/A</v>
      </c>
      <c r="DD30" s="211" t="str">
        <f t="shared" si="20"/>
        <v>N/A</v>
      </c>
      <c r="DE30" s="211" t="str">
        <f t="shared" si="21"/>
        <v>N/A</v>
      </c>
      <c r="DF30" s="211" t="str">
        <f t="shared" si="22"/>
        <v>N/A</v>
      </c>
    </row>
    <row r="31" spans="1:110" s="211" customFormat="1" ht="267.75">
      <c r="A31" s="348" t="s">
        <v>391</v>
      </c>
      <c r="B31" s="211" t="s">
        <v>140</v>
      </c>
      <c r="C31" s="211" t="s">
        <v>214</v>
      </c>
      <c r="D31" s="211" t="s">
        <v>413</v>
      </c>
      <c r="E31" s="211" t="s">
        <v>414</v>
      </c>
      <c r="F31" s="348" t="s">
        <v>415</v>
      </c>
      <c r="G31" s="211" t="s">
        <v>157</v>
      </c>
      <c r="H31" s="211">
        <v>27</v>
      </c>
      <c r="I31" s="323">
        <v>33</v>
      </c>
      <c r="J31" s="323">
        <v>27</v>
      </c>
      <c r="K31" s="288">
        <v>1.2222222222222201</v>
      </c>
      <c r="L31" s="211" t="s">
        <v>416</v>
      </c>
      <c r="M31" s="211" t="b">
        <v>1</v>
      </c>
      <c r="N31" s="211" t="s">
        <v>417</v>
      </c>
      <c r="O31" s="209" t="s">
        <v>2832</v>
      </c>
      <c r="P31" s="211" t="s">
        <v>159</v>
      </c>
      <c r="Q31" s="211" t="s">
        <v>160</v>
      </c>
      <c r="T31" s="236" t="s">
        <v>311</v>
      </c>
      <c r="U31" s="269"/>
      <c r="V31" s="269"/>
      <c r="W31" s="269">
        <v>6</v>
      </c>
      <c r="X31" s="269"/>
      <c r="Y31" s="269"/>
      <c r="Z31" s="269">
        <v>2</v>
      </c>
      <c r="AA31" s="269"/>
      <c r="AB31" s="269"/>
      <c r="AC31" s="269">
        <v>3</v>
      </c>
      <c r="AD31" s="269"/>
      <c r="AE31" s="269"/>
      <c r="AF31" s="269">
        <v>5</v>
      </c>
      <c r="AG31" s="269">
        <v>16</v>
      </c>
      <c r="AH31"/>
      <c r="AI31"/>
      <c r="AJ31" s="236" t="s">
        <v>311</v>
      </c>
      <c r="AK31" s="269"/>
      <c r="AL31" s="269"/>
      <c r="AM31" s="269">
        <v>6</v>
      </c>
      <c r="AN31" s="269"/>
      <c r="AO31" s="269"/>
      <c r="AP31" s="269">
        <v>2</v>
      </c>
      <c r="AQ31" s="269"/>
      <c r="AR31" s="269"/>
      <c r="AS31" s="269">
        <v>4</v>
      </c>
      <c r="AT31" s="269"/>
      <c r="AU31" s="269"/>
      <c r="AV31" s="269">
        <v>5</v>
      </c>
      <c r="AW31" s="269">
        <v>17</v>
      </c>
      <c r="AX31" s="236"/>
      <c r="AY31" s="236"/>
      <c r="AZ31" s="236"/>
      <c r="BA31" s="239" t="s">
        <v>311</v>
      </c>
      <c r="BB31" s="240">
        <f t="shared" si="30"/>
        <v>0</v>
      </c>
      <c r="BC31" s="240">
        <f t="shared" si="31"/>
        <v>0</v>
      </c>
      <c r="BD31" s="240">
        <f t="shared" si="32"/>
        <v>6</v>
      </c>
      <c r="BE31" s="240">
        <f t="shared" si="33"/>
        <v>0</v>
      </c>
      <c r="BF31" s="240">
        <f t="shared" si="34"/>
        <v>0</v>
      </c>
      <c r="BG31" s="240">
        <f t="shared" si="35"/>
        <v>2</v>
      </c>
      <c r="BH31" s="240">
        <f t="shared" si="36"/>
        <v>0</v>
      </c>
      <c r="BI31" s="240">
        <f t="shared" si="37"/>
        <v>0</v>
      </c>
      <c r="BJ31" s="240">
        <f t="shared" si="38"/>
        <v>3</v>
      </c>
      <c r="BK31" s="240">
        <f t="shared" si="23"/>
        <v>0</v>
      </c>
      <c r="BL31" s="240">
        <f t="shared" si="24"/>
        <v>0</v>
      </c>
      <c r="BM31" s="240">
        <f t="shared" si="25"/>
        <v>5</v>
      </c>
      <c r="BN31" s="211">
        <f t="shared" si="39"/>
        <v>0</v>
      </c>
      <c r="BO31" s="236">
        <f t="shared" si="40"/>
        <v>0</v>
      </c>
      <c r="BP31" s="236">
        <f t="shared" si="41"/>
        <v>6</v>
      </c>
      <c r="BQ31" s="236">
        <f t="shared" si="42"/>
        <v>0</v>
      </c>
      <c r="BR31" s="236">
        <f t="shared" si="43"/>
        <v>0</v>
      </c>
      <c r="BS31" s="236">
        <f t="shared" si="44"/>
        <v>2</v>
      </c>
      <c r="BT31" s="236">
        <f t="shared" si="45"/>
        <v>0</v>
      </c>
      <c r="BU31" s="236">
        <f t="shared" si="46"/>
        <v>0</v>
      </c>
      <c r="BV31" s="236">
        <f t="shared" si="47"/>
        <v>4</v>
      </c>
      <c r="BW31" s="236">
        <f t="shared" si="26"/>
        <v>0</v>
      </c>
      <c r="BX31" s="236">
        <f t="shared" si="27"/>
        <v>0</v>
      </c>
      <c r="BY31" s="236">
        <f t="shared" si="28"/>
        <v>5</v>
      </c>
      <c r="BZ31" s="236"/>
      <c r="CA31" s="275" t="s">
        <v>209</v>
      </c>
      <c r="CB31" s="272" t="str">
        <f t="shared" si="0"/>
        <v>N/A</v>
      </c>
      <c r="CC31" s="272" t="str">
        <f t="shared" si="1"/>
        <v>N/A</v>
      </c>
      <c r="CD31" s="272" t="str">
        <f t="shared" si="2"/>
        <v xml:space="preserve">​La Dirección de Medidas Especiales para Prestadores de Servicios de Salud adelanto 2 seguimientos en campo para el primer trimestre 2025, de acuerdo a la priorización y necesidades de las Entidades en medida especial.
</v>
      </c>
      <c r="CE31" s="284" t="str">
        <f t="shared" si="3"/>
        <v>N/A</v>
      </c>
      <c r="CF31" s="284" t="str">
        <f t="shared" si="4"/>
        <v>N/A</v>
      </c>
      <c r="CG31" s="284" t="str">
        <f t="shared" si="5"/>
        <v>N/A</v>
      </c>
      <c r="CH31" s="272" t="str">
        <f t="shared" si="6"/>
        <v>N/A</v>
      </c>
      <c r="CI31" s="211" t="str">
        <f t="shared" si="7"/>
        <v>N/A</v>
      </c>
      <c r="CJ31" s="211" t="str">
        <f t="shared" si="8"/>
        <v>N/A</v>
      </c>
      <c r="CK31" s="211" t="str">
        <f t="shared" si="9"/>
        <v>N/A</v>
      </c>
      <c r="CL31" s="211" t="str">
        <f t="shared" si="10"/>
        <v>N/A</v>
      </c>
      <c r="CM31" s="211" t="str">
        <f t="shared" si="11"/>
        <v>N/A</v>
      </c>
      <c r="CO31" s="211" t="s">
        <v>391</v>
      </c>
      <c r="CP31" s="211" t="s">
        <v>140</v>
      </c>
      <c r="CQ31" s="211" t="s">
        <v>214</v>
      </c>
      <c r="CR31" s="211" t="s">
        <v>413</v>
      </c>
      <c r="CS31" s="211" t="s">
        <v>416</v>
      </c>
      <c r="CT31" s="211" t="s">
        <v>214</v>
      </c>
      <c r="CU31" s="211" t="str">
        <f t="shared" si="12"/>
        <v>N/A</v>
      </c>
      <c r="CV31" s="211" t="str">
        <f t="shared" si="13"/>
        <v>N/A</v>
      </c>
      <c r="CW31" s="211" t="str">
        <f t="shared" si="14"/>
        <v>Se realizaron 30 auditorías a los vigilados relacionadas con el Sistema de Información y Atención al Usuario - SIAU, mecanismos de Participación Ciudadana y comportamiento de reclamos en salud. Asimismo, se efectuaron tres  auditorias del sistema de información, recepción y gestión dentro de los términos de la circular, frente a los reclamos en salud radicados ante la SNS. </v>
      </c>
      <c r="CX31" s="211" t="str">
        <f t="shared" si="15"/>
        <v>N/A</v>
      </c>
      <c r="CY31" s="211" t="str">
        <f t="shared" si="29"/>
        <v>N/A</v>
      </c>
      <c r="CZ31" s="211" t="str">
        <f t="shared" si="16"/>
        <v>N/A</v>
      </c>
      <c r="DA31" s="211" t="str">
        <f t="shared" si="17"/>
        <v>N/A</v>
      </c>
      <c r="DB31" s="211" t="str">
        <f t="shared" si="18"/>
        <v>N/A</v>
      </c>
      <c r="DC31" s="211" t="str">
        <f t="shared" si="19"/>
        <v>N/A</v>
      </c>
      <c r="DD31" s="211" t="str">
        <f t="shared" si="20"/>
        <v>N/A</v>
      </c>
      <c r="DE31" s="211" t="str">
        <f t="shared" si="21"/>
        <v>N/A</v>
      </c>
      <c r="DF31" s="211" t="str">
        <f t="shared" si="22"/>
        <v>N/A</v>
      </c>
    </row>
    <row r="32" spans="1:110" s="211" customFormat="1" ht="178.5">
      <c r="A32" s="348" t="s">
        <v>391</v>
      </c>
      <c r="B32" s="211" t="s">
        <v>140</v>
      </c>
      <c r="C32" s="211" t="s">
        <v>418</v>
      </c>
      <c r="D32" s="211" t="s">
        <v>419</v>
      </c>
      <c r="E32" s="211" t="s">
        <v>420</v>
      </c>
      <c r="F32" s="348" t="s">
        <v>421</v>
      </c>
      <c r="G32" s="211" t="s">
        <v>178</v>
      </c>
      <c r="H32" s="211">
        <v>0.87</v>
      </c>
      <c r="I32" s="323">
        <v>134953</v>
      </c>
      <c r="J32" s="323">
        <v>156221</v>
      </c>
      <c r="K32" s="288">
        <v>0.86385953232919999</v>
      </c>
      <c r="L32" s="211" t="s">
        <v>3051</v>
      </c>
      <c r="M32" s="211" t="b">
        <v>1</v>
      </c>
      <c r="O32" s="209" t="s">
        <v>2832</v>
      </c>
      <c r="P32" s="211" t="s">
        <v>159</v>
      </c>
      <c r="Q32" s="211" t="s">
        <v>160</v>
      </c>
      <c r="T32" s="236" t="s">
        <v>316</v>
      </c>
      <c r="U32" s="269"/>
      <c r="V32" s="269"/>
      <c r="W32" s="269">
        <v>0</v>
      </c>
      <c r="X32" s="269"/>
      <c r="Y32" s="269"/>
      <c r="Z32" s="269">
        <v>87</v>
      </c>
      <c r="AA32" s="269"/>
      <c r="AB32" s="269"/>
      <c r="AC32" s="269">
        <v>116</v>
      </c>
      <c r="AD32" s="269"/>
      <c r="AE32" s="269"/>
      <c r="AF32" s="269"/>
      <c r="AG32" s="269">
        <v>203</v>
      </c>
      <c r="AH32"/>
      <c r="AI32"/>
      <c r="AJ32" s="236" t="s">
        <v>316</v>
      </c>
      <c r="AK32" s="269"/>
      <c r="AL32" s="269"/>
      <c r="AM32" s="269">
        <v>1</v>
      </c>
      <c r="AN32" s="269"/>
      <c r="AO32" s="269"/>
      <c r="AP32" s="269">
        <v>1</v>
      </c>
      <c r="AQ32" s="269"/>
      <c r="AR32" s="269"/>
      <c r="AS32" s="269">
        <v>2</v>
      </c>
      <c r="AT32" s="269"/>
      <c r="AU32" s="269"/>
      <c r="AV32" s="269"/>
      <c r="AW32" s="269">
        <v>4</v>
      </c>
      <c r="AX32" s="236"/>
      <c r="AY32" s="236"/>
      <c r="AZ32" s="236"/>
      <c r="BA32" s="239" t="s">
        <v>316</v>
      </c>
      <c r="BB32" s="240">
        <f t="shared" si="30"/>
        <v>0</v>
      </c>
      <c r="BC32" s="240">
        <f t="shared" si="31"/>
        <v>0</v>
      </c>
      <c r="BD32" s="240">
        <f t="shared" si="32"/>
        <v>0</v>
      </c>
      <c r="BE32" s="240">
        <f t="shared" si="33"/>
        <v>0</v>
      </c>
      <c r="BF32" s="240">
        <f t="shared" si="34"/>
        <v>0</v>
      </c>
      <c r="BG32" s="240">
        <f t="shared" si="35"/>
        <v>87</v>
      </c>
      <c r="BH32" s="240">
        <f t="shared" si="36"/>
        <v>0</v>
      </c>
      <c r="BI32" s="240">
        <f t="shared" si="37"/>
        <v>0</v>
      </c>
      <c r="BJ32" s="240">
        <f t="shared" si="38"/>
        <v>116</v>
      </c>
      <c r="BK32" s="240">
        <f t="shared" si="23"/>
        <v>0</v>
      </c>
      <c r="BL32" s="240">
        <f t="shared" si="24"/>
        <v>0</v>
      </c>
      <c r="BM32" s="240">
        <f t="shared" si="25"/>
        <v>0</v>
      </c>
      <c r="BN32" s="211">
        <f t="shared" si="39"/>
        <v>0</v>
      </c>
      <c r="BO32" s="236">
        <f t="shared" si="40"/>
        <v>0</v>
      </c>
      <c r="BP32" s="236">
        <f t="shared" si="41"/>
        <v>1</v>
      </c>
      <c r="BQ32" s="236">
        <f t="shared" si="42"/>
        <v>0</v>
      </c>
      <c r="BR32" s="236">
        <f t="shared" si="43"/>
        <v>0</v>
      </c>
      <c r="BS32" s="236">
        <f t="shared" si="44"/>
        <v>1</v>
      </c>
      <c r="BT32" s="236">
        <f t="shared" si="45"/>
        <v>0</v>
      </c>
      <c r="BU32" s="236">
        <f t="shared" si="46"/>
        <v>0</v>
      </c>
      <c r="BV32" s="236">
        <f t="shared" si="47"/>
        <v>2</v>
      </c>
      <c r="BW32" s="236">
        <f t="shared" si="26"/>
        <v>0</v>
      </c>
      <c r="BX32" s="236">
        <f t="shared" si="27"/>
        <v>0</v>
      </c>
      <c r="BY32" s="236">
        <f t="shared" si="28"/>
        <v>0</v>
      </c>
      <c r="BZ32" s="236"/>
      <c r="CA32" s="275" t="s">
        <v>300</v>
      </c>
      <c r="CB32" s="272" t="str">
        <f t="shared" si="0"/>
        <v>N/A</v>
      </c>
      <c r="CC32" s="272" t="str">
        <f t="shared" si="1"/>
        <v>N/A</v>
      </c>
      <c r="CD32" s="272" t="str">
        <f t="shared" si="2"/>
        <v>N/A</v>
      </c>
      <c r="CE32" s="284" t="str">
        <f t="shared" si="3"/>
        <v>N/A</v>
      </c>
      <c r="CF32" s="284" t="str">
        <f t="shared" si="4"/>
        <v>N/A</v>
      </c>
      <c r="CG32" s="284" t="str">
        <f t="shared" si="5"/>
        <v xml:space="preserve">​Para el I semestre de 2025, la Dirección de Medidas Especiales para Prestadores de Servicios de Salud realizó 148 acciones de monitoreo y verificación a los Prestadores de Servicios de Salud- PSS con medida, de las cuales 28 corresponden a fichas, 14 a bullets, 9 a conceptos, 11 a seguimimientos en campo, 46 a Fenix y 40 a informes de gestion ante el superintendente, dando cumplimiento a la meta programada del 100%.
</v>
      </c>
      <c r="CH32" s="272" t="str">
        <f t="shared" si="6"/>
        <v>N/A</v>
      </c>
      <c r="CI32" s="211" t="str">
        <f t="shared" si="7"/>
        <v>N/A</v>
      </c>
      <c r="CJ32" s="211" t="str">
        <f t="shared" si="8"/>
        <v>N/A</v>
      </c>
      <c r="CK32" s="211" t="str">
        <f t="shared" si="9"/>
        <v>N/A</v>
      </c>
      <c r="CL32" s="211" t="str">
        <f t="shared" si="10"/>
        <v>N/A</v>
      </c>
      <c r="CM32" s="211" t="str">
        <f t="shared" si="11"/>
        <v>N/A</v>
      </c>
      <c r="CO32" s="211" t="s">
        <v>391</v>
      </c>
      <c r="CP32" s="211" t="s">
        <v>140</v>
      </c>
      <c r="CQ32" s="211" t="s">
        <v>418</v>
      </c>
      <c r="CR32" s="211" t="s">
        <v>419</v>
      </c>
      <c r="CS32" s="211" t="s">
        <v>3051</v>
      </c>
      <c r="CT32" s="211" t="s">
        <v>418</v>
      </c>
      <c r="CU32" s="211" t="str">
        <f t="shared" si="12"/>
        <v>N/A</v>
      </c>
      <c r="CV32" s="211" t="str">
        <f t="shared" si="13"/>
        <v>N/A</v>
      </c>
      <c r="CW32" s="211" t="str">
        <f t="shared" si="14"/>
        <v xml:space="preserve">​Se presenta información con corte a febrero 2025, en virtud de que el periodo de reporte de insumos es 5 días hábiles mes vencido. 
Aclarado lo anterior se presenta el resultado de la aplicación de la encuesta de satisfacción realizada en el canal telefónico y presencial (Regionales, Puntos de Atención y CAC). 
Entre enero y febrero 2025 se recibieron 134.953 respuestas con calificación buena y excelente, de un total de 156.221 respuestas, las cuales corresponden a un 86.36% de satisfacción.
La meta se ajusto para el mes de abril. 
</v>
      </c>
      <c r="CX32" s="211" t="str">
        <f t="shared" si="15"/>
        <v>N/A</v>
      </c>
      <c r="CY32" s="211" t="str">
        <f t="shared" si="29"/>
        <v>N/A</v>
      </c>
      <c r="CZ32" s="211" t="str">
        <f t="shared" si="16"/>
        <v>N/A</v>
      </c>
      <c r="DA32" s="211" t="str">
        <f t="shared" si="17"/>
        <v>N/A</v>
      </c>
      <c r="DB32" s="211" t="str">
        <f t="shared" si="18"/>
        <v>N/A</v>
      </c>
      <c r="DC32" s="211" t="str">
        <f t="shared" si="19"/>
        <v>N/A</v>
      </c>
      <c r="DD32" s="211" t="str">
        <f t="shared" si="20"/>
        <v>N/A</v>
      </c>
      <c r="DE32" s="211" t="str">
        <f t="shared" si="21"/>
        <v>N/A</v>
      </c>
      <c r="DF32" s="211" t="str">
        <f t="shared" si="22"/>
        <v>N/A</v>
      </c>
    </row>
    <row r="33" spans="1:110" s="211" customFormat="1" ht="90">
      <c r="A33" s="348" t="s">
        <v>391</v>
      </c>
      <c r="B33" s="211" t="s">
        <v>140</v>
      </c>
      <c r="C33" s="211" t="s">
        <v>444</v>
      </c>
      <c r="D33" s="211" t="s">
        <v>445</v>
      </c>
      <c r="E33" s="211" t="s">
        <v>446</v>
      </c>
      <c r="F33" s="348" t="s">
        <v>447</v>
      </c>
      <c r="G33" s="211" t="s">
        <v>178</v>
      </c>
      <c r="H33" s="211">
        <v>1</v>
      </c>
      <c r="I33" s="323">
        <v>427884</v>
      </c>
      <c r="J33" s="323">
        <v>427884</v>
      </c>
      <c r="K33" s="288">
        <v>1</v>
      </c>
      <c r="L33" s="211" t="s">
        <v>448</v>
      </c>
      <c r="M33" s="211" t="b">
        <v>0</v>
      </c>
      <c r="O33" s="209" t="s">
        <v>2832</v>
      </c>
      <c r="P33" s="211" t="s">
        <v>159</v>
      </c>
      <c r="Q33" s="211" t="s">
        <v>160</v>
      </c>
      <c r="T33" s="236" t="s">
        <v>323</v>
      </c>
      <c r="U33" s="269"/>
      <c r="V33" s="269"/>
      <c r="W33" s="269">
        <v>321</v>
      </c>
      <c r="X33" s="269"/>
      <c r="Y33" s="269"/>
      <c r="Z33" s="269">
        <v>464</v>
      </c>
      <c r="AA33" s="269"/>
      <c r="AB33" s="269"/>
      <c r="AC33" s="269"/>
      <c r="AD33" s="269"/>
      <c r="AE33" s="269"/>
      <c r="AF33" s="269">
        <v>644</v>
      </c>
      <c r="AG33" s="269">
        <v>1429</v>
      </c>
      <c r="AH33"/>
      <c r="AI33"/>
      <c r="AJ33" s="236" t="s">
        <v>323</v>
      </c>
      <c r="AK33" s="269"/>
      <c r="AL33" s="269"/>
      <c r="AM33" s="269">
        <v>124</v>
      </c>
      <c r="AN33" s="269"/>
      <c r="AO33" s="269"/>
      <c r="AP33" s="269">
        <v>65</v>
      </c>
      <c r="AQ33" s="269"/>
      <c r="AR33" s="269"/>
      <c r="AS33" s="269"/>
      <c r="AT33" s="269"/>
      <c r="AU33" s="269"/>
      <c r="AV33" s="269">
        <v>212</v>
      </c>
      <c r="AW33" s="269">
        <v>401</v>
      </c>
      <c r="AX33" s="236"/>
      <c r="AY33" s="236"/>
      <c r="AZ33" s="236"/>
      <c r="BA33" s="239" t="s">
        <v>323</v>
      </c>
      <c r="BB33" s="240">
        <f t="shared" si="30"/>
        <v>0</v>
      </c>
      <c r="BC33" s="240">
        <f t="shared" si="31"/>
        <v>0</v>
      </c>
      <c r="BD33" s="240">
        <f t="shared" si="32"/>
        <v>321</v>
      </c>
      <c r="BE33" s="240">
        <f t="shared" si="33"/>
        <v>0</v>
      </c>
      <c r="BF33" s="240">
        <f t="shared" si="34"/>
        <v>0</v>
      </c>
      <c r="BG33" s="240">
        <f t="shared" si="35"/>
        <v>464</v>
      </c>
      <c r="BH33" s="240">
        <f t="shared" si="36"/>
        <v>0</v>
      </c>
      <c r="BI33" s="240">
        <f t="shared" si="37"/>
        <v>0</v>
      </c>
      <c r="BJ33" s="240">
        <f t="shared" si="38"/>
        <v>0</v>
      </c>
      <c r="BK33" s="240">
        <f t="shared" si="23"/>
        <v>0</v>
      </c>
      <c r="BL33" s="240">
        <f t="shared" si="24"/>
        <v>0</v>
      </c>
      <c r="BM33" s="240">
        <f t="shared" si="25"/>
        <v>644</v>
      </c>
      <c r="BN33" s="211">
        <f t="shared" si="39"/>
        <v>0</v>
      </c>
      <c r="BO33" s="236">
        <f t="shared" si="40"/>
        <v>0</v>
      </c>
      <c r="BP33" s="236">
        <f t="shared" si="41"/>
        <v>124</v>
      </c>
      <c r="BQ33" s="236">
        <f t="shared" si="42"/>
        <v>0</v>
      </c>
      <c r="BR33" s="236">
        <f t="shared" si="43"/>
        <v>0</v>
      </c>
      <c r="BS33" s="236">
        <f t="shared" si="44"/>
        <v>65</v>
      </c>
      <c r="BT33" s="236">
        <f t="shared" si="45"/>
        <v>0</v>
      </c>
      <c r="BU33" s="236">
        <f t="shared" si="46"/>
        <v>0</v>
      </c>
      <c r="BV33" s="236">
        <f t="shared" si="47"/>
        <v>0</v>
      </c>
      <c r="BW33" s="236">
        <f t="shared" si="26"/>
        <v>0</v>
      </c>
      <c r="BX33" s="236">
        <f t="shared" si="27"/>
        <v>0</v>
      </c>
      <c r="BY33" s="236">
        <f t="shared" si="28"/>
        <v>212</v>
      </c>
      <c r="BZ33" s="236"/>
      <c r="CA33" s="275" t="s">
        <v>649</v>
      </c>
      <c r="CB33" s="272" t="str">
        <f t="shared" si="0"/>
        <v>N/A</v>
      </c>
      <c r="CC33" s="272" t="str">
        <f t="shared" si="1"/>
        <v>N/A</v>
      </c>
      <c r="CD33" s="272" t="str">
        <f t="shared" si="2"/>
        <v>N/A</v>
      </c>
      <c r="CE33" s="284" t="str">
        <f t="shared" si="3"/>
        <v>N/A</v>
      </c>
      <c r="CF33" s="284" t="str">
        <f t="shared" si="4"/>
        <v>N/A</v>
      </c>
      <c r="CG33" s="284" t="str">
        <f t="shared" si="5"/>
        <v xml:space="preserve">​Para el I semestre del año 2025, no se presentaron solicitudes para la promoción de acuerdo de reestructuración de pasivos, por lo que no se hizo necesaria la validación de cumplimiento de requisitos establecidos en el articulo 6 de la ley 550 de 1999
</v>
      </c>
      <c r="CH33" s="272" t="str">
        <f t="shared" si="6"/>
        <v>N/A</v>
      </c>
      <c r="CI33" s="211" t="str">
        <f t="shared" si="7"/>
        <v>N/A</v>
      </c>
      <c r="CJ33" s="211" t="str">
        <f t="shared" si="8"/>
        <v>N/A</v>
      </c>
      <c r="CK33" s="211" t="str">
        <f t="shared" si="9"/>
        <v>N/A</v>
      </c>
      <c r="CL33" s="211" t="str">
        <f t="shared" si="10"/>
        <v>N/A</v>
      </c>
      <c r="CM33" s="211" t="str">
        <f t="shared" si="11"/>
        <v>N/A</v>
      </c>
      <c r="CO33" s="211" t="s">
        <v>391</v>
      </c>
      <c r="CP33" s="211" t="s">
        <v>140</v>
      </c>
      <c r="CQ33" s="211" t="s">
        <v>444</v>
      </c>
      <c r="CR33" s="211" t="s">
        <v>445</v>
      </c>
      <c r="CS33" s="211" t="s">
        <v>448</v>
      </c>
      <c r="CT33" s="211" t="s">
        <v>444</v>
      </c>
      <c r="CU33" s="211" t="str">
        <f t="shared" si="12"/>
        <v>N/A</v>
      </c>
      <c r="CV33" s="211" t="str">
        <f t="shared" si="13"/>
        <v>N/A</v>
      </c>
      <c r="CW33" s="211" t="str">
        <f t="shared" si="14"/>
        <v xml:space="preserve">​Entre enero a marzo se radicaron y trasladaron al responsable del aseguramiento a través de una orden de inmediato y obligatorio cumplimiento 427.884 reclamos en salud recibidos por multicanal (escrito, web, telefónico, chat y redes sociales)
</v>
      </c>
      <c r="CX33" s="211" t="str">
        <f t="shared" si="15"/>
        <v>N/A</v>
      </c>
      <c r="CY33" s="211" t="str">
        <f t="shared" si="29"/>
        <v>N/A</v>
      </c>
      <c r="CZ33" s="211" t="str">
        <f t="shared" si="16"/>
        <v>N/A</v>
      </c>
      <c r="DA33" s="211" t="str">
        <f t="shared" si="17"/>
        <v>N/A</v>
      </c>
      <c r="DB33" s="211" t="str">
        <f t="shared" si="18"/>
        <v>N/A</v>
      </c>
      <c r="DC33" s="211" t="str">
        <f t="shared" si="19"/>
        <v>N/A</v>
      </c>
      <c r="DD33" s="211" t="str">
        <f t="shared" si="20"/>
        <v>N/A</v>
      </c>
      <c r="DE33" s="211" t="str">
        <f t="shared" si="21"/>
        <v>N/A</v>
      </c>
      <c r="DF33" s="211" t="str">
        <f t="shared" si="22"/>
        <v>N/A</v>
      </c>
    </row>
    <row r="34" spans="1:110" s="211" customFormat="1" ht="127.5">
      <c r="A34" s="348" t="s">
        <v>391</v>
      </c>
      <c r="B34" s="211" t="s">
        <v>140</v>
      </c>
      <c r="C34" s="211" t="s">
        <v>435</v>
      </c>
      <c r="D34" s="211" t="s">
        <v>436</v>
      </c>
      <c r="E34" s="211" t="s">
        <v>437</v>
      </c>
      <c r="F34" s="348" t="s">
        <v>438</v>
      </c>
      <c r="G34" s="211" t="s">
        <v>157</v>
      </c>
      <c r="H34" s="211">
        <v>70</v>
      </c>
      <c r="I34" s="323">
        <v>79</v>
      </c>
      <c r="J34" s="323">
        <v>70</v>
      </c>
      <c r="K34" s="288">
        <v>1.1285714285714299</v>
      </c>
      <c r="L34" s="211" t="s">
        <v>439</v>
      </c>
      <c r="M34" s="211" t="b">
        <v>0</v>
      </c>
      <c r="O34" s="209" t="s">
        <v>2832</v>
      </c>
      <c r="P34" s="211" t="s">
        <v>159</v>
      </c>
      <c r="Q34" s="211" t="s">
        <v>160</v>
      </c>
      <c r="T34" s="236" t="s">
        <v>329</v>
      </c>
      <c r="U34" s="269"/>
      <c r="V34" s="269"/>
      <c r="W34" s="269">
        <v>166</v>
      </c>
      <c r="X34" s="269"/>
      <c r="Y34" s="269"/>
      <c r="Z34" s="269">
        <v>136</v>
      </c>
      <c r="AA34" s="269"/>
      <c r="AB34" s="269"/>
      <c r="AC34" s="269">
        <v>97</v>
      </c>
      <c r="AD34" s="269"/>
      <c r="AE34" s="269"/>
      <c r="AF34" s="269">
        <v>41</v>
      </c>
      <c r="AG34" s="269">
        <v>440</v>
      </c>
      <c r="AH34"/>
      <c r="AI34"/>
      <c r="AJ34" s="236" t="s">
        <v>329</v>
      </c>
      <c r="AK34" s="269"/>
      <c r="AL34" s="269"/>
      <c r="AM34" s="269">
        <v>441</v>
      </c>
      <c r="AN34" s="269"/>
      <c r="AO34" s="269"/>
      <c r="AP34" s="269">
        <v>441</v>
      </c>
      <c r="AQ34" s="269"/>
      <c r="AR34" s="269"/>
      <c r="AS34" s="269">
        <v>441</v>
      </c>
      <c r="AT34" s="269"/>
      <c r="AU34" s="269"/>
      <c r="AV34" s="269">
        <v>441</v>
      </c>
      <c r="AW34" s="269">
        <v>1764</v>
      </c>
      <c r="AX34" s="236"/>
      <c r="AY34" s="236"/>
      <c r="AZ34" s="236"/>
      <c r="BA34" s="239" t="s">
        <v>329</v>
      </c>
      <c r="BB34" s="240">
        <f t="shared" si="30"/>
        <v>0</v>
      </c>
      <c r="BC34" s="240">
        <f t="shared" si="31"/>
        <v>0</v>
      </c>
      <c r="BD34" s="240">
        <f t="shared" si="32"/>
        <v>166</v>
      </c>
      <c r="BE34" s="240">
        <f t="shared" si="33"/>
        <v>0</v>
      </c>
      <c r="BF34" s="240">
        <f t="shared" si="34"/>
        <v>0</v>
      </c>
      <c r="BG34" s="240">
        <f t="shared" si="35"/>
        <v>136</v>
      </c>
      <c r="BH34" s="240">
        <f t="shared" si="36"/>
        <v>0</v>
      </c>
      <c r="BI34" s="240">
        <f t="shared" si="37"/>
        <v>0</v>
      </c>
      <c r="BJ34" s="240">
        <f t="shared" si="38"/>
        <v>97</v>
      </c>
      <c r="BK34" s="240">
        <f t="shared" si="23"/>
        <v>0</v>
      </c>
      <c r="BL34" s="240">
        <f t="shared" si="24"/>
        <v>0</v>
      </c>
      <c r="BM34" s="240">
        <f t="shared" si="25"/>
        <v>41</v>
      </c>
      <c r="BN34" s="211">
        <f t="shared" si="39"/>
        <v>0</v>
      </c>
      <c r="BO34" s="236">
        <f t="shared" si="40"/>
        <v>0</v>
      </c>
      <c r="BP34" s="236">
        <f t="shared" si="41"/>
        <v>441</v>
      </c>
      <c r="BQ34" s="236">
        <f t="shared" si="42"/>
        <v>0</v>
      </c>
      <c r="BR34" s="236">
        <f t="shared" si="43"/>
        <v>0</v>
      </c>
      <c r="BS34" s="236">
        <f t="shared" si="44"/>
        <v>441</v>
      </c>
      <c r="BT34" s="236">
        <f t="shared" si="45"/>
        <v>0</v>
      </c>
      <c r="BU34" s="236">
        <f t="shared" si="46"/>
        <v>0</v>
      </c>
      <c r="BV34" s="236">
        <f t="shared" si="47"/>
        <v>441</v>
      </c>
      <c r="BW34" s="236">
        <f t="shared" si="26"/>
        <v>0</v>
      </c>
      <c r="BX34" s="236">
        <f t="shared" si="27"/>
        <v>0</v>
      </c>
      <c r="BY34" s="236">
        <f t="shared" si="28"/>
        <v>441</v>
      </c>
      <c r="BZ34" s="236"/>
      <c r="CA34" s="275" t="s">
        <v>264</v>
      </c>
      <c r="CB34" s="272" t="str">
        <f t="shared" si="0"/>
        <v>N/A</v>
      </c>
      <c r="CC34" s="272" t="str">
        <f t="shared" si="1"/>
        <v>N/A</v>
      </c>
      <c r="CD34" s="272" t="str">
        <f t="shared" si="2"/>
        <v>N/A</v>
      </c>
      <c r="CE34" s="284" t="str">
        <f t="shared" si="3"/>
        <v>N/A</v>
      </c>
      <c r="CF34" s="284" t="str">
        <f t="shared" si="4"/>
        <v>N/A</v>
      </c>
      <c r="CG34" s="284" t="str">
        <f t="shared" si="5"/>
        <v xml:space="preserve">​Para el I semestre de 2025, se realizó una (1) visita de seguimiento programada a la ESE Hospital San Diego de Cereté del departemento de Cordoba, la cual tuvo como objetivo, participar en la reunion convocada en el marco de acuerdo de reestructuración de pasivos, dando cumplimiento a la meta establecida del 100%.
</v>
      </c>
      <c r="CH34" s="272" t="str">
        <f t="shared" si="6"/>
        <v>N/A</v>
      </c>
      <c r="CI34" s="211" t="str">
        <f t="shared" si="7"/>
        <v>N/A</v>
      </c>
      <c r="CJ34" s="211" t="str">
        <f t="shared" si="8"/>
        <v>N/A</v>
      </c>
      <c r="CK34" s="211" t="str">
        <f t="shared" si="9"/>
        <v>N/A</v>
      </c>
      <c r="CL34" s="211" t="str">
        <f t="shared" si="10"/>
        <v>N/A</v>
      </c>
      <c r="CM34" s="211" t="str">
        <f t="shared" si="11"/>
        <v>N/A</v>
      </c>
      <c r="CO34" s="211" t="s">
        <v>391</v>
      </c>
      <c r="CP34" s="211" t="s">
        <v>140</v>
      </c>
      <c r="CQ34" s="211" t="s">
        <v>435</v>
      </c>
      <c r="CR34" s="211" t="s">
        <v>436</v>
      </c>
      <c r="CS34" s="211" t="s">
        <v>439</v>
      </c>
      <c r="CT34" s="211" t="s">
        <v>435</v>
      </c>
      <c r="CU34" s="211" t="str">
        <f t="shared" si="12"/>
        <v>N/A</v>
      </c>
      <c r="CV34" s="211" t="str">
        <f t="shared" si="13"/>
        <v>N/A</v>
      </c>
      <c r="CW34" s="211" t="str">
        <f t="shared" si="14"/>
        <v xml:space="preserve">​En el trimestre, se desarrollaron  79 actividades entre jornadas de atención, diálogos y procesos de capacitación, superando la meta establecida. Este sobre cumplimiento obedece a múltiples solicitudes adicionales por parte de los municipios, así como a la identificación de necesidades emergentes en los territorios relacionadas con el acceso, garantía y ejercicio efectivo del derecho a la salud.
</v>
      </c>
      <c r="CX34" s="211" t="str">
        <f t="shared" si="15"/>
        <v>N/A</v>
      </c>
      <c r="CY34" s="211" t="str">
        <f t="shared" si="29"/>
        <v>N/A</v>
      </c>
      <c r="CZ34" s="211" t="str">
        <f t="shared" si="16"/>
        <v>N/A</v>
      </c>
      <c r="DA34" s="211" t="str">
        <f t="shared" si="17"/>
        <v>N/A</v>
      </c>
      <c r="DB34" s="211" t="str">
        <f t="shared" si="18"/>
        <v>N/A</v>
      </c>
      <c r="DC34" s="211" t="str">
        <f t="shared" si="19"/>
        <v>N/A</v>
      </c>
      <c r="DD34" s="211" t="str">
        <f t="shared" si="20"/>
        <v>N/A</v>
      </c>
      <c r="DE34" s="211" t="str">
        <f t="shared" si="21"/>
        <v>N/A</v>
      </c>
      <c r="DF34" s="211" t="str">
        <f t="shared" si="22"/>
        <v>N/A</v>
      </c>
    </row>
    <row r="35" spans="1:110" s="211" customFormat="1" ht="409.5">
      <c r="A35" s="348" t="s">
        <v>391</v>
      </c>
      <c r="B35" s="211" t="s">
        <v>140</v>
      </c>
      <c r="C35" s="211" t="s">
        <v>392</v>
      </c>
      <c r="D35" s="211" t="s">
        <v>393</v>
      </c>
      <c r="E35" s="211" t="s">
        <v>394</v>
      </c>
      <c r="F35" s="348" t="s">
        <v>395</v>
      </c>
      <c r="G35" s="211" t="s">
        <v>178</v>
      </c>
      <c r="H35" s="211">
        <v>1</v>
      </c>
      <c r="I35" s="323">
        <v>746</v>
      </c>
      <c r="J35" s="323">
        <v>746</v>
      </c>
      <c r="K35" s="288">
        <v>1</v>
      </c>
      <c r="L35" s="211" t="s">
        <v>396</v>
      </c>
      <c r="M35" s="211" t="b">
        <v>0</v>
      </c>
      <c r="O35" s="209" t="s">
        <v>2832</v>
      </c>
      <c r="P35" s="211" t="s">
        <v>159</v>
      </c>
      <c r="Q35" s="211" t="s">
        <v>160</v>
      </c>
      <c r="T35" s="236" t="s">
        <v>335</v>
      </c>
      <c r="U35" s="269"/>
      <c r="V35" s="269"/>
      <c r="W35" s="269"/>
      <c r="X35" s="269"/>
      <c r="Y35" s="269">
        <v>77</v>
      </c>
      <c r="Z35" s="269"/>
      <c r="AA35" s="269"/>
      <c r="AB35" s="269"/>
      <c r="AC35" s="269">
        <v>67</v>
      </c>
      <c r="AD35" s="269"/>
      <c r="AE35" s="269"/>
      <c r="AF35" s="269">
        <v>105</v>
      </c>
      <c r="AG35" s="269">
        <v>249</v>
      </c>
      <c r="AH35"/>
      <c r="AI35"/>
      <c r="AJ35" s="236" t="s">
        <v>335</v>
      </c>
      <c r="AK35" s="269"/>
      <c r="AL35" s="269"/>
      <c r="AM35" s="269"/>
      <c r="AN35" s="269"/>
      <c r="AO35" s="269">
        <v>77</v>
      </c>
      <c r="AP35" s="269"/>
      <c r="AQ35" s="269"/>
      <c r="AR35" s="269"/>
      <c r="AS35" s="269">
        <v>67</v>
      </c>
      <c r="AT35" s="269"/>
      <c r="AU35" s="269"/>
      <c r="AV35" s="269">
        <v>105</v>
      </c>
      <c r="AW35" s="269">
        <v>249</v>
      </c>
      <c r="AX35" s="236"/>
      <c r="AY35" s="236"/>
      <c r="AZ35" s="236"/>
      <c r="BA35" s="239" t="s">
        <v>1229</v>
      </c>
      <c r="BB35" s="240">
        <f t="shared" si="30"/>
        <v>0</v>
      </c>
      <c r="BC35" s="240">
        <f t="shared" si="31"/>
        <v>0</v>
      </c>
      <c r="BD35" s="240">
        <f t="shared" si="32"/>
        <v>0</v>
      </c>
      <c r="BE35" s="240">
        <f t="shared" si="33"/>
        <v>0</v>
      </c>
      <c r="BF35" s="240">
        <f t="shared" si="34"/>
        <v>0</v>
      </c>
      <c r="BG35" s="240">
        <f t="shared" si="35"/>
        <v>0</v>
      </c>
      <c r="BH35" s="240">
        <f t="shared" si="36"/>
        <v>0</v>
      </c>
      <c r="BI35" s="240">
        <f t="shared" si="37"/>
        <v>100</v>
      </c>
      <c r="BJ35" s="240">
        <f t="shared" si="38"/>
        <v>0</v>
      </c>
      <c r="BK35" s="240">
        <f t="shared" si="23"/>
        <v>0</v>
      </c>
      <c r="BL35" s="240">
        <f t="shared" si="24"/>
        <v>0</v>
      </c>
      <c r="BM35" s="240">
        <f t="shared" si="25"/>
        <v>0</v>
      </c>
      <c r="BN35" s="211">
        <f t="shared" si="39"/>
        <v>0</v>
      </c>
      <c r="BO35" s="236">
        <f t="shared" si="40"/>
        <v>0</v>
      </c>
      <c r="BP35" s="236">
        <f t="shared" si="41"/>
        <v>0</v>
      </c>
      <c r="BQ35" s="236">
        <f t="shared" si="42"/>
        <v>0</v>
      </c>
      <c r="BR35" s="236">
        <f t="shared" si="43"/>
        <v>0</v>
      </c>
      <c r="BS35" s="236">
        <f t="shared" si="44"/>
        <v>0</v>
      </c>
      <c r="BT35" s="236">
        <f t="shared" si="45"/>
        <v>0</v>
      </c>
      <c r="BU35" s="236">
        <f t="shared" si="46"/>
        <v>100</v>
      </c>
      <c r="BV35" s="236">
        <f t="shared" si="47"/>
        <v>0</v>
      </c>
      <c r="BW35" s="236">
        <f t="shared" si="26"/>
        <v>0</v>
      </c>
      <c r="BX35" s="236">
        <f t="shared" si="27"/>
        <v>0</v>
      </c>
      <c r="BY35" s="236">
        <f t="shared" si="28"/>
        <v>0</v>
      </c>
      <c r="BZ35" s="236"/>
      <c r="CA35" s="275" t="s">
        <v>1032</v>
      </c>
      <c r="CB35" s="272" t="str">
        <f t="shared" ref="CB35:CB66" si="48">+VLOOKUP(CA35,CT:DF,2,FALSE)</f>
        <v>N/A</v>
      </c>
      <c r="CC35" s="272" t="str">
        <f t="shared" ref="CC35:CC66" si="49">+VLOOKUP(CA35,CT:DF,3,FALSE)</f>
        <v>N/A</v>
      </c>
      <c r="CD35" s="272" t="str">
        <f t="shared" ref="CD35:CD66" si="50">+VLOOKUP(CA35,CT:DF,4,FALSE)</f>
        <v>N/A</v>
      </c>
      <c r="CE35" s="284" t="str">
        <f t="shared" ref="CE35:CE66" si="51">+VLOOKUP(CA35,CT:DF,5,FALSE)</f>
        <v>N/A</v>
      </c>
      <c r="CF35" s="284" t="str">
        <f t="shared" ref="CF35:CF66" si="52">+VLOOKUP(CA35,CT:DF,6,FALSE)</f>
        <v>N/A</v>
      </c>
      <c r="CG35" s="284" t="str">
        <f t="shared" ref="CG35:CG66" si="53">+VLOOKUP(CA35,CT:DF,7,FALSE)</f>
        <v>N/A</v>
      </c>
      <c r="CH35" s="272" t="str">
        <f t="shared" ref="CH35:CH66" si="54">+VLOOKUP(CA35,CT:DF,8,FALSE)</f>
        <v>N/A</v>
      </c>
      <c r="CI35" s="211" t="str">
        <f t="shared" ref="CI35:CI66" si="55">+VLOOKUP(CA35,CT:DF,9,FALSE)</f>
        <v>N/A</v>
      </c>
      <c r="CJ35" s="211" t="str">
        <f t="shared" ref="CJ35:CJ66" si="56">+VLOOKUP(CA35,CT:DF,10,FALSE)</f>
        <v>N/A</v>
      </c>
      <c r="CK35" s="211" t="str">
        <f t="shared" ref="CK35:CK66" si="57">+VLOOKUP(CA35,CT:DF,11,FALSE)</f>
        <v>N/A</v>
      </c>
      <c r="CL35" s="211" t="str">
        <f t="shared" ref="CL35:CL66" si="58">+VLOOKUP(CA35,CT:DF,12,FALSE)</f>
        <v xml:space="preserve">En el periodo reportado correspondiente al segundo trimestre de 2025, se ejecutaron 11 acciones, dando como resultado un cumplimiento del 100% frente a la meta pogramada. De acuerdo con lo anterior, el indicador se encuentra en un rango bueno, la tendencia del indicador es ascendente lo que refleja una mejora, este resultado se debe a que la Dirección de Medidas Especiales para Prestadores de Servicios en Salud, ha gestionado la implementación del lineamiento de enfoque diferencial y el plan de trabajo de formalización laboral por parte de las Entidades de Salud del Estado (E.S.E.) en medida especial.
Este resultado permitió que 11 entidades que actualmente se encuentran en medida dieran inicio a la implementacion y adopción de los lineamientos de formalización laboral y de la atención en salud con enfoque diferencial para el II trimestre de la vigencia 2025, por lo cual no se requieren ajustes por el momento, pero se recomienda realizar seguimiento para que estos vigilados continuen con la implementación de las acciones que a la fecha de corte se encuentran de la siguiente manera:
Para el indicador de Enfoque Diferencial , 8 entidades estan en etapa de medicion y 3 se encuentran en etapa de parametrizacion del sistema para el reporte de datos. Para el indicador de Formalizacion Laboral, las entidades avanzan segun su plan y sus correspondientes fases estimadas.
</v>
      </c>
      <c r="CM35" s="211" t="str">
        <f t="shared" ref="CM35:CM66" si="59">+VLOOKUP(CA35,CT:DF,13,FALSE)</f>
        <v>N/A</v>
      </c>
      <c r="CO35" s="211" t="s">
        <v>391</v>
      </c>
      <c r="CP35" s="211" t="s">
        <v>140</v>
      </c>
      <c r="CQ35" s="211" t="s">
        <v>392</v>
      </c>
      <c r="CR35" s="211" t="s">
        <v>393</v>
      </c>
      <c r="CS35" s="211" t="s">
        <v>396</v>
      </c>
      <c r="CT35" s="211" t="s">
        <v>392</v>
      </c>
      <c r="CU35" s="211" t="str">
        <f t="shared" si="12"/>
        <v>N/A</v>
      </c>
      <c r="CV35" s="211" t="str">
        <f t="shared" si="13"/>
        <v>N/A</v>
      </c>
      <c r="CW35" s="211" t="str">
        <f t="shared" si="14"/>
        <v xml:space="preserve">​Entre enero a marzo 2025 se han realizado 6 diálogos en donde se han recibido 746 reclamos en salud, de los cuales a todos se les ha realizado seguimiento,  de estos se han cerrado 644 (86.32%%) y permanecen abiertos 102 reclamos en salud. 
</v>
      </c>
      <c r="CX35" s="211" t="str">
        <f t="shared" si="15"/>
        <v>N/A</v>
      </c>
      <c r="CY35" s="211" t="str">
        <f t="shared" si="29"/>
        <v>N/A</v>
      </c>
      <c r="CZ35" s="211" t="str">
        <f t="shared" si="16"/>
        <v>N/A</v>
      </c>
      <c r="DA35" s="211" t="str">
        <f t="shared" si="17"/>
        <v>N/A</v>
      </c>
      <c r="DB35" s="211" t="str">
        <f t="shared" si="18"/>
        <v>N/A</v>
      </c>
      <c r="DC35" s="211" t="str">
        <f t="shared" si="19"/>
        <v>N/A</v>
      </c>
      <c r="DD35" s="211" t="str">
        <f t="shared" si="20"/>
        <v>N/A</v>
      </c>
      <c r="DE35" s="211" t="str">
        <f t="shared" si="21"/>
        <v>N/A</v>
      </c>
      <c r="DF35" s="211" t="str">
        <f t="shared" si="22"/>
        <v>N/A</v>
      </c>
    </row>
    <row r="36" spans="1:110" s="211" customFormat="1" ht="267.75">
      <c r="A36" s="348" t="s">
        <v>391</v>
      </c>
      <c r="B36" s="211" t="s">
        <v>140</v>
      </c>
      <c r="C36" s="211" t="s">
        <v>440</v>
      </c>
      <c r="D36" s="211" t="s">
        <v>441</v>
      </c>
      <c r="E36" s="211" t="s">
        <v>442</v>
      </c>
      <c r="F36" s="348" t="s">
        <v>443</v>
      </c>
      <c r="G36" s="211" t="s">
        <v>157</v>
      </c>
      <c r="H36" s="211">
        <v>5</v>
      </c>
      <c r="I36" s="323">
        <v>7</v>
      </c>
      <c r="J36" s="323">
        <v>5</v>
      </c>
      <c r="K36" s="288">
        <v>1.4</v>
      </c>
      <c r="L36" s="211" t="s">
        <v>3107</v>
      </c>
      <c r="M36" s="211" t="b">
        <v>0</v>
      </c>
      <c r="O36" s="209" t="s">
        <v>2832</v>
      </c>
      <c r="P36" s="211" t="s">
        <v>159</v>
      </c>
      <c r="Q36" s="211" t="s">
        <v>160</v>
      </c>
      <c r="T36" s="236" t="s">
        <v>341</v>
      </c>
      <c r="U36" s="269"/>
      <c r="V36" s="269"/>
      <c r="W36" s="269"/>
      <c r="X36" s="269">
        <v>4</v>
      </c>
      <c r="Y36" s="269"/>
      <c r="Z36" s="269"/>
      <c r="AA36" s="269"/>
      <c r="AB36" s="269">
        <v>3</v>
      </c>
      <c r="AC36" s="269"/>
      <c r="AD36" s="269"/>
      <c r="AE36" s="269"/>
      <c r="AF36" s="269">
        <v>5</v>
      </c>
      <c r="AG36" s="269">
        <v>12</v>
      </c>
      <c r="AH36"/>
      <c r="AI36"/>
      <c r="AJ36" s="236" t="s">
        <v>341</v>
      </c>
      <c r="AK36" s="269"/>
      <c r="AL36" s="269"/>
      <c r="AM36" s="269"/>
      <c r="AN36" s="269">
        <v>4</v>
      </c>
      <c r="AO36" s="269"/>
      <c r="AP36" s="269"/>
      <c r="AQ36" s="269"/>
      <c r="AR36" s="269">
        <v>4</v>
      </c>
      <c r="AS36" s="269"/>
      <c r="AT36" s="269"/>
      <c r="AU36" s="269"/>
      <c r="AV36" s="269">
        <v>4</v>
      </c>
      <c r="AW36" s="269">
        <v>12</v>
      </c>
      <c r="AX36" s="236"/>
      <c r="AY36" s="236"/>
      <c r="AZ36" s="236"/>
      <c r="BA36" s="239" t="s">
        <v>335</v>
      </c>
      <c r="BB36" s="240">
        <f t="shared" si="30"/>
        <v>0</v>
      </c>
      <c r="BC36" s="240">
        <f t="shared" si="31"/>
        <v>0</v>
      </c>
      <c r="BD36" s="240">
        <f t="shared" si="32"/>
        <v>0</v>
      </c>
      <c r="BE36" s="240">
        <f t="shared" si="33"/>
        <v>0</v>
      </c>
      <c r="BF36" s="240">
        <f t="shared" si="34"/>
        <v>77</v>
      </c>
      <c r="BG36" s="240">
        <f t="shared" si="35"/>
        <v>0</v>
      </c>
      <c r="BH36" s="240">
        <f t="shared" si="36"/>
        <v>0</v>
      </c>
      <c r="BI36" s="240">
        <f t="shared" si="37"/>
        <v>0</v>
      </c>
      <c r="BJ36" s="240">
        <f t="shared" si="38"/>
        <v>67</v>
      </c>
      <c r="BK36" s="240">
        <f t="shared" si="23"/>
        <v>0</v>
      </c>
      <c r="BL36" s="240">
        <f t="shared" si="24"/>
        <v>0</v>
      </c>
      <c r="BM36" s="240">
        <f t="shared" si="25"/>
        <v>105</v>
      </c>
      <c r="BN36" s="211">
        <f t="shared" si="39"/>
        <v>0</v>
      </c>
      <c r="BO36" s="236">
        <f t="shared" si="40"/>
        <v>0</v>
      </c>
      <c r="BP36" s="236">
        <f t="shared" si="41"/>
        <v>0</v>
      </c>
      <c r="BQ36" s="236">
        <f t="shared" si="42"/>
        <v>0</v>
      </c>
      <c r="BR36" s="236">
        <f t="shared" si="43"/>
        <v>77</v>
      </c>
      <c r="BS36" s="236">
        <f t="shared" si="44"/>
        <v>0</v>
      </c>
      <c r="BT36" s="236">
        <f t="shared" si="45"/>
        <v>0</v>
      </c>
      <c r="BU36" s="236">
        <f t="shared" si="46"/>
        <v>0</v>
      </c>
      <c r="BV36" s="236">
        <f t="shared" si="47"/>
        <v>67</v>
      </c>
      <c r="BW36" s="236">
        <f t="shared" si="26"/>
        <v>0</v>
      </c>
      <c r="BX36" s="236">
        <f t="shared" si="27"/>
        <v>0</v>
      </c>
      <c r="BY36" s="236">
        <f t="shared" si="28"/>
        <v>105</v>
      </c>
      <c r="BZ36" s="236"/>
      <c r="CA36" s="275" t="s">
        <v>270</v>
      </c>
      <c r="CB36" s="272" t="str">
        <f t="shared" si="48"/>
        <v>N/A</v>
      </c>
      <c r="CC36" s="272" t="str">
        <f t="shared" si="49"/>
        <v>N/A</v>
      </c>
      <c r="CD36" s="272" t="str">
        <f t="shared" si="50"/>
        <v>N/A</v>
      </c>
      <c r="CE36" s="284" t="str">
        <f t="shared" si="51"/>
        <v>N/A</v>
      </c>
      <c r="CF36" s="284" t="str">
        <f t="shared" si="52"/>
        <v>N/A</v>
      </c>
      <c r="CG36" s="284" t="str">
        <f t="shared" si="53"/>
        <v xml:space="preserve">​Para el I semestre de la vigencia 2025, la Delegada para Prestadores de Servicios de Salud, realizó dos (2) eventos de socialización y uno (1) de concertacion con EPS, para un total de tres (3) eventos en relación con las acciones y medidas especiales adoptadas a los Prestadores de Servicios de Salud-PSS, dando cumplimiento a la meta establecida del 100%
</v>
      </c>
      <c r="CH36" s="272" t="str">
        <f t="shared" si="54"/>
        <v>N/A</v>
      </c>
      <c r="CI36" s="211" t="str">
        <f t="shared" si="55"/>
        <v>N/A</v>
      </c>
      <c r="CJ36" s="211" t="str">
        <f t="shared" si="56"/>
        <v>N/A</v>
      </c>
      <c r="CK36" s="211" t="str">
        <f t="shared" si="57"/>
        <v>N/A</v>
      </c>
      <c r="CL36" s="211" t="str">
        <f t="shared" si="58"/>
        <v>N/A</v>
      </c>
      <c r="CM36" s="211" t="str">
        <f t="shared" si="59"/>
        <v>N/A</v>
      </c>
      <c r="CO36" s="211" t="s">
        <v>391</v>
      </c>
      <c r="CP36" s="211" t="s">
        <v>140</v>
      </c>
      <c r="CQ36" s="211" t="s">
        <v>440</v>
      </c>
      <c r="CR36" s="211" t="s">
        <v>441</v>
      </c>
      <c r="CS36" s="211" t="s">
        <v>3107</v>
      </c>
      <c r="CT36" s="211" t="s">
        <v>440</v>
      </c>
      <c r="CU36" s="211" t="str">
        <f t="shared" si="12"/>
        <v>N/A</v>
      </c>
      <c r="CV36" s="211" t="str">
        <f t="shared" si="13"/>
        <v>N/A</v>
      </c>
      <c r="CW36" s="211" t="str">
        <f t="shared" si="14"/>
        <v>​Se ejecutaron diversas actividades en cumplimiento a  la implementación de la política de Servicio al Ciudadano, como:                                                                       
   * Implementar acciones para articular con las dependencias y áreas para el Relacionamiento con la Ciudadanía y Grupos Valor. 
   *Desarrollar los escenarios de relacionamiento             
  *Realizar ejercicios de Benchmarking.                                                
   *Revisar y ajustar los Manuales, Protocolos, Documentos.  
  *Socializar, sensibilizar y capacitar en temática relevante de servicio al ciudadano.  
 *Realizar campañas de ortografía en el marco de los lineamientos nacionales del Lenguaje Claro.                
 *Transformar, actualizar o ajustar las respuestas de los Derechos de Petición y Solicitudes de Información</v>
      </c>
      <c r="CX36" s="211" t="str">
        <f t="shared" si="15"/>
        <v>N/A</v>
      </c>
      <c r="CY36" s="211" t="str">
        <f t="shared" si="29"/>
        <v>N/A</v>
      </c>
      <c r="CZ36" s="211" t="str">
        <f t="shared" si="16"/>
        <v>N/A</v>
      </c>
      <c r="DA36" s="211" t="str">
        <f t="shared" si="17"/>
        <v>N/A</v>
      </c>
      <c r="DB36" s="211" t="str">
        <f t="shared" si="18"/>
        <v>N/A</v>
      </c>
      <c r="DC36" s="211" t="str">
        <f t="shared" si="19"/>
        <v>N/A</v>
      </c>
      <c r="DD36" s="211" t="str">
        <f t="shared" si="20"/>
        <v>N/A</v>
      </c>
      <c r="DE36" s="211" t="str">
        <f t="shared" si="21"/>
        <v>N/A</v>
      </c>
      <c r="DF36" s="211" t="str">
        <f t="shared" si="22"/>
        <v>N/A</v>
      </c>
    </row>
    <row r="37" spans="1:110" s="211" customFormat="1" ht="99.75">
      <c r="A37" s="348" t="s">
        <v>391</v>
      </c>
      <c r="B37" s="211" t="s">
        <v>140</v>
      </c>
      <c r="C37" s="211" t="s">
        <v>449</v>
      </c>
      <c r="D37" s="211" t="s">
        <v>450</v>
      </c>
      <c r="E37" s="211" t="s">
        <v>451</v>
      </c>
      <c r="F37" s="348" t="s">
        <v>447</v>
      </c>
      <c r="G37" s="211" t="s">
        <v>178</v>
      </c>
      <c r="H37" s="211">
        <v>1</v>
      </c>
      <c r="I37" s="323">
        <v>91364</v>
      </c>
      <c r="J37" s="323">
        <v>91364</v>
      </c>
      <c r="K37" s="288">
        <v>1</v>
      </c>
      <c r="L37" s="211" t="s">
        <v>3108</v>
      </c>
      <c r="M37" s="211" t="b">
        <v>0</v>
      </c>
      <c r="O37" s="209" t="s">
        <v>2832</v>
      </c>
      <c r="P37" s="211" t="s">
        <v>159</v>
      </c>
      <c r="Q37" s="211" t="s">
        <v>160</v>
      </c>
      <c r="T37" s="236" t="s">
        <v>239</v>
      </c>
      <c r="U37" s="269"/>
      <c r="V37" s="269"/>
      <c r="W37" s="269">
        <v>15</v>
      </c>
      <c r="X37" s="269"/>
      <c r="Y37" s="269"/>
      <c r="Z37" s="269">
        <v>50</v>
      </c>
      <c r="AA37" s="269"/>
      <c r="AB37" s="269"/>
      <c r="AC37" s="269">
        <v>75</v>
      </c>
      <c r="AD37" s="269"/>
      <c r="AE37" s="269"/>
      <c r="AF37" s="269">
        <v>5</v>
      </c>
      <c r="AG37" s="269">
        <v>145</v>
      </c>
      <c r="AH37"/>
      <c r="AI37"/>
      <c r="AJ37" s="236" t="s">
        <v>239</v>
      </c>
      <c r="AK37" s="269"/>
      <c r="AL37" s="269"/>
      <c r="AM37" s="269">
        <v>15</v>
      </c>
      <c r="AN37" s="269"/>
      <c r="AO37" s="269"/>
      <c r="AP37" s="269">
        <v>100</v>
      </c>
      <c r="AQ37" s="269"/>
      <c r="AR37" s="269"/>
      <c r="AS37" s="269">
        <v>100</v>
      </c>
      <c r="AT37" s="269"/>
      <c r="AU37" s="269"/>
      <c r="AV37" s="269">
        <v>5</v>
      </c>
      <c r="AW37" s="269">
        <v>220</v>
      </c>
      <c r="AX37" s="236"/>
      <c r="AY37" s="236"/>
      <c r="AZ37" s="236"/>
      <c r="BA37" s="239" t="s">
        <v>341</v>
      </c>
      <c r="BB37" s="240">
        <f t="shared" si="30"/>
        <v>0</v>
      </c>
      <c r="BC37" s="240">
        <f t="shared" si="31"/>
        <v>0</v>
      </c>
      <c r="BD37" s="240">
        <f t="shared" si="32"/>
        <v>0</v>
      </c>
      <c r="BE37" s="240">
        <f t="shared" si="33"/>
        <v>4</v>
      </c>
      <c r="BF37" s="240">
        <f t="shared" si="34"/>
        <v>0</v>
      </c>
      <c r="BG37" s="240">
        <f t="shared" si="35"/>
        <v>0</v>
      </c>
      <c r="BH37" s="240">
        <f t="shared" si="36"/>
        <v>0</v>
      </c>
      <c r="BI37" s="240">
        <f t="shared" si="37"/>
        <v>3</v>
      </c>
      <c r="BJ37" s="240">
        <f t="shared" si="38"/>
        <v>0</v>
      </c>
      <c r="BK37" s="240">
        <f t="shared" si="23"/>
        <v>0</v>
      </c>
      <c r="BL37" s="240">
        <f t="shared" si="24"/>
        <v>0</v>
      </c>
      <c r="BM37" s="240">
        <f t="shared" si="25"/>
        <v>5</v>
      </c>
      <c r="BN37" s="211">
        <f t="shared" si="39"/>
        <v>0</v>
      </c>
      <c r="BO37" s="236">
        <f t="shared" si="40"/>
        <v>0</v>
      </c>
      <c r="BP37" s="236">
        <f t="shared" si="41"/>
        <v>0</v>
      </c>
      <c r="BQ37" s="236">
        <f t="shared" si="42"/>
        <v>4</v>
      </c>
      <c r="BR37" s="236">
        <f t="shared" si="43"/>
        <v>0</v>
      </c>
      <c r="BS37" s="236">
        <f t="shared" si="44"/>
        <v>0</v>
      </c>
      <c r="BT37" s="236">
        <f t="shared" si="45"/>
        <v>0</v>
      </c>
      <c r="BU37" s="236">
        <f t="shared" si="46"/>
        <v>4</v>
      </c>
      <c r="BV37" s="236">
        <f t="shared" si="47"/>
        <v>0</v>
      </c>
      <c r="BW37" s="236">
        <f t="shared" si="26"/>
        <v>0</v>
      </c>
      <c r="BX37" s="236">
        <f t="shared" si="27"/>
        <v>0</v>
      </c>
      <c r="BY37" s="236">
        <f t="shared" si="28"/>
        <v>4</v>
      </c>
      <c r="BZ37" s="236"/>
      <c r="CA37" s="275" t="s">
        <v>392</v>
      </c>
      <c r="CB37" s="272" t="str">
        <f t="shared" si="48"/>
        <v>N/A</v>
      </c>
      <c r="CC37" s="272" t="str">
        <f t="shared" si="49"/>
        <v>N/A</v>
      </c>
      <c r="CD37" s="272" t="str">
        <f t="shared" si="50"/>
        <v xml:space="preserve">​Entre enero a marzo 2025 se han realizado 6 diálogos en donde se han recibido 746 reclamos en salud, de los cuales a todos se les ha realizado seguimiento,  de estos se han cerrado 644 (86.32%%) y permanecen abiertos 102 reclamos en salud. 
</v>
      </c>
      <c r="CE37" s="284" t="str">
        <f t="shared" si="51"/>
        <v>N/A</v>
      </c>
      <c r="CF37" s="284" t="str">
        <f t="shared" si="52"/>
        <v>N/A</v>
      </c>
      <c r="CG37" s="284" t="str">
        <f t="shared" si="53"/>
        <v>N/A</v>
      </c>
      <c r="CH37" s="272" t="str">
        <f t="shared" si="54"/>
        <v>N/A</v>
      </c>
      <c r="CI37" s="211" t="str">
        <f t="shared" si="55"/>
        <v>N/A</v>
      </c>
      <c r="CJ37" s="211" t="str">
        <f t="shared" si="56"/>
        <v>N/A</v>
      </c>
      <c r="CK37" s="211" t="str">
        <f t="shared" si="57"/>
        <v>N/A</v>
      </c>
      <c r="CL37" s="211" t="str">
        <f t="shared" si="58"/>
        <v>N/A</v>
      </c>
      <c r="CM37" s="211" t="str">
        <f t="shared" si="59"/>
        <v>N/A</v>
      </c>
      <c r="CO37" s="211" t="s">
        <v>391</v>
      </c>
      <c r="CP37" s="211" t="s">
        <v>140</v>
      </c>
      <c r="CQ37" s="211" t="s">
        <v>449</v>
      </c>
      <c r="CR37" s="211" t="s">
        <v>450</v>
      </c>
      <c r="CS37" s="211" t="s">
        <v>3108</v>
      </c>
      <c r="CT37" s="211" t="s">
        <v>449</v>
      </c>
      <c r="CU37" s="211" t="str">
        <f t="shared" si="12"/>
        <v>N/A</v>
      </c>
      <c r="CV37" s="211" t="str">
        <f t="shared" si="13"/>
        <v>N/A</v>
      </c>
      <c r="CW37" s="211" t="str">
        <f t="shared" si="14"/>
        <v>​Entre enero a marzo se radicaron y trasladaron al responsable del aseguramiento a través de una orden de inmediato y obligatorio cumplimiento 91.364 reclamos en salud recibidos por el canal presencial.</v>
      </c>
      <c r="CX37" s="211" t="str">
        <f t="shared" si="15"/>
        <v>N/A</v>
      </c>
      <c r="CY37" s="211" t="str">
        <f t="shared" si="29"/>
        <v>N/A</v>
      </c>
      <c r="CZ37" s="211" t="str">
        <f t="shared" si="16"/>
        <v>N/A</v>
      </c>
      <c r="DA37" s="211" t="str">
        <f t="shared" si="17"/>
        <v>N/A</v>
      </c>
      <c r="DB37" s="211" t="str">
        <f t="shared" si="18"/>
        <v>N/A</v>
      </c>
      <c r="DC37" s="211" t="str">
        <f t="shared" si="19"/>
        <v>N/A</v>
      </c>
      <c r="DD37" s="211" t="str">
        <f t="shared" si="20"/>
        <v>N/A</v>
      </c>
      <c r="DE37" s="211" t="str">
        <f t="shared" si="21"/>
        <v>N/A</v>
      </c>
      <c r="DF37" s="211" t="str">
        <f t="shared" si="22"/>
        <v>N/A</v>
      </c>
    </row>
    <row r="38" spans="1:110" s="211" customFormat="1" ht="128.25">
      <c r="A38" s="348" t="s">
        <v>454</v>
      </c>
      <c r="B38" s="211" t="s">
        <v>140</v>
      </c>
      <c r="C38" s="211" t="s">
        <v>223</v>
      </c>
      <c r="D38" s="211" t="s">
        <v>455</v>
      </c>
      <c r="E38" s="211" t="s">
        <v>456</v>
      </c>
      <c r="F38" s="348" t="s">
        <v>457</v>
      </c>
      <c r="G38" s="211" t="s">
        <v>157</v>
      </c>
      <c r="H38" s="211">
        <v>1</v>
      </c>
      <c r="I38" s="323">
        <v>1</v>
      </c>
      <c r="J38" s="323">
        <v>1</v>
      </c>
      <c r="K38" s="288">
        <v>1</v>
      </c>
      <c r="L38" s="211" t="s">
        <v>3109</v>
      </c>
      <c r="M38" s="211" t="b">
        <v>0</v>
      </c>
      <c r="O38" s="209" t="s">
        <v>2832</v>
      </c>
      <c r="P38" s="211" t="s">
        <v>159</v>
      </c>
      <c r="Q38" s="211" t="s">
        <v>160</v>
      </c>
      <c r="T38" s="236" t="s">
        <v>259</v>
      </c>
      <c r="U38" s="269"/>
      <c r="V38" s="269"/>
      <c r="W38" s="269">
        <v>10</v>
      </c>
      <c r="X38" s="269"/>
      <c r="Y38" s="269"/>
      <c r="Z38" s="269">
        <v>14</v>
      </c>
      <c r="AA38" s="269"/>
      <c r="AB38" s="269"/>
      <c r="AC38" s="269">
        <v>2</v>
      </c>
      <c r="AD38" s="269"/>
      <c r="AE38" s="269"/>
      <c r="AF38" s="269">
        <v>6</v>
      </c>
      <c r="AG38" s="269">
        <v>32</v>
      </c>
      <c r="AH38"/>
      <c r="AI38"/>
      <c r="AJ38" s="236" t="s">
        <v>259</v>
      </c>
      <c r="AK38" s="269"/>
      <c r="AL38" s="269"/>
      <c r="AM38" s="269">
        <v>10</v>
      </c>
      <c r="AN38" s="269"/>
      <c r="AO38" s="269"/>
      <c r="AP38" s="269">
        <v>14</v>
      </c>
      <c r="AQ38" s="269"/>
      <c r="AR38" s="269"/>
      <c r="AS38" s="269">
        <v>2</v>
      </c>
      <c r="AT38" s="269"/>
      <c r="AU38" s="269"/>
      <c r="AV38" s="269">
        <v>6</v>
      </c>
      <c r="AW38" s="269">
        <v>32</v>
      </c>
      <c r="AX38" s="236"/>
      <c r="AY38" s="236"/>
      <c r="AZ38" s="236"/>
      <c r="BA38" s="239" t="s">
        <v>239</v>
      </c>
      <c r="BB38" s="240">
        <f t="shared" si="30"/>
        <v>0</v>
      </c>
      <c r="BC38" s="240">
        <f t="shared" si="31"/>
        <v>0</v>
      </c>
      <c r="BD38" s="240">
        <f t="shared" si="32"/>
        <v>15</v>
      </c>
      <c r="BE38" s="240">
        <f t="shared" si="33"/>
        <v>0</v>
      </c>
      <c r="BF38" s="240">
        <f t="shared" si="34"/>
        <v>0</v>
      </c>
      <c r="BG38" s="240">
        <f t="shared" si="35"/>
        <v>50</v>
      </c>
      <c r="BH38" s="240">
        <f t="shared" si="36"/>
        <v>0</v>
      </c>
      <c r="BI38" s="240">
        <f t="shared" si="37"/>
        <v>0</v>
      </c>
      <c r="BJ38" s="240">
        <f t="shared" si="38"/>
        <v>75</v>
      </c>
      <c r="BK38" s="240">
        <f t="shared" si="23"/>
        <v>0</v>
      </c>
      <c r="BL38" s="240">
        <f t="shared" si="24"/>
        <v>0</v>
      </c>
      <c r="BM38" s="240">
        <f t="shared" si="25"/>
        <v>5</v>
      </c>
      <c r="BN38" s="211">
        <f t="shared" si="39"/>
        <v>0</v>
      </c>
      <c r="BO38" s="236">
        <f t="shared" si="40"/>
        <v>0</v>
      </c>
      <c r="BP38" s="236">
        <f t="shared" si="41"/>
        <v>15</v>
      </c>
      <c r="BQ38" s="236">
        <f t="shared" si="42"/>
        <v>0</v>
      </c>
      <c r="BR38" s="236">
        <f t="shared" si="43"/>
        <v>0</v>
      </c>
      <c r="BS38" s="236">
        <f t="shared" si="44"/>
        <v>100</v>
      </c>
      <c r="BT38" s="236">
        <f t="shared" si="45"/>
        <v>0</v>
      </c>
      <c r="BU38" s="236">
        <f t="shared" si="46"/>
        <v>0</v>
      </c>
      <c r="BV38" s="236">
        <f t="shared" si="47"/>
        <v>100</v>
      </c>
      <c r="BW38" s="236">
        <f t="shared" si="26"/>
        <v>0</v>
      </c>
      <c r="BX38" s="236">
        <f t="shared" si="27"/>
        <v>0</v>
      </c>
      <c r="BY38" s="236">
        <f t="shared" si="28"/>
        <v>5</v>
      </c>
      <c r="BZ38" s="236"/>
      <c r="CA38" s="275" t="s">
        <v>435</v>
      </c>
      <c r="CB38" s="272" t="str">
        <f t="shared" si="48"/>
        <v>N/A</v>
      </c>
      <c r="CC38" s="272" t="str">
        <f t="shared" si="49"/>
        <v>N/A</v>
      </c>
      <c r="CD38" s="272" t="str">
        <f t="shared" si="50"/>
        <v xml:space="preserve">​En el trimestre, se desarrollaron  79 actividades entre jornadas de atención, diálogos y procesos de capacitación, superando la meta establecida. Este sobre cumplimiento obedece a múltiples solicitudes adicionales por parte de los municipios, así como a la identificación de necesidades emergentes en los territorios relacionadas con el acceso, garantía y ejercicio efectivo del derecho a la salud.
</v>
      </c>
      <c r="CE38" s="284" t="str">
        <f t="shared" si="51"/>
        <v>N/A</v>
      </c>
      <c r="CF38" s="284" t="str">
        <f t="shared" si="52"/>
        <v>N/A</v>
      </c>
      <c r="CG38" s="284" t="str">
        <f t="shared" si="53"/>
        <v>N/A</v>
      </c>
      <c r="CH38" s="272" t="str">
        <f t="shared" si="54"/>
        <v>N/A</v>
      </c>
      <c r="CI38" s="211" t="str">
        <f t="shared" si="55"/>
        <v>N/A</v>
      </c>
      <c r="CJ38" s="211" t="str">
        <f t="shared" si="56"/>
        <v>N/A</v>
      </c>
      <c r="CK38" s="211" t="str">
        <f t="shared" si="57"/>
        <v>N/A</v>
      </c>
      <c r="CL38" s="211" t="str">
        <f t="shared" si="58"/>
        <v>N/A</v>
      </c>
      <c r="CM38" s="211" t="str">
        <f t="shared" si="59"/>
        <v>N/A</v>
      </c>
      <c r="CO38" s="211" t="s">
        <v>454</v>
      </c>
      <c r="CP38" s="211" t="s">
        <v>140</v>
      </c>
      <c r="CQ38" s="211" t="s">
        <v>223</v>
      </c>
      <c r="CR38" s="211" t="s">
        <v>455</v>
      </c>
      <c r="CS38" s="211" t="s">
        <v>3109</v>
      </c>
      <c r="CT38" s="211" t="s">
        <v>223</v>
      </c>
      <c r="CU38" s="211" t="str">
        <f t="shared" si="12"/>
        <v>N/A</v>
      </c>
      <c r="CV38" s="211" t="str">
        <f t="shared" si="13"/>
        <v>N/A</v>
      </c>
      <c r="CW38" s="211" t="str">
        <f t="shared" si="14"/>
        <v>​Se realizó auditoria integral  en al Gestor Farmaceutico CAFAM en Manizalez y Bogotá, ordenada a través de Auto2025600000000428- 7, las auditorias son fundamentales en el desarrollo de las acciones de IVC a nuestros vigilados y el cumplimiento al Programa de Auditorias. Se da cumplimiento al 100% de lo propuesto para el mes de Marzo.</v>
      </c>
      <c r="CX38" s="211" t="str">
        <f t="shared" si="15"/>
        <v>N/A</v>
      </c>
      <c r="CY38" s="211" t="str">
        <f t="shared" si="29"/>
        <v>N/A</v>
      </c>
      <c r="CZ38" s="211" t="str">
        <f t="shared" si="16"/>
        <v>N/A</v>
      </c>
      <c r="DA38" s="211" t="str">
        <f t="shared" si="17"/>
        <v>N/A</v>
      </c>
      <c r="DB38" s="211" t="str">
        <f t="shared" si="18"/>
        <v>N/A</v>
      </c>
      <c r="DC38" s="211" t="str">
        <f t="shared" si="19"/>
        <v>N/A</v>
      </c>
      <c r="DD38" s="211" t="str">
        <f t="shared" si="20"/>
        <v>N/A</v>
      </c>
      <c r="DE38" s="211" t="str">
        <f t="shared" si="21"/>
        <v>N/A</v>
      </c>
      <c r="DF38" s="211" t="str">
        <f t="shared" si="22"/>
        <v>N/A</v>
      </c>
    </row>
    <row r="39" spans="1:110" s="211" customFormat="1" ht="299.25">
      <c r="A39" s="348" t="s">
        <v>454</v>
      </c>
      <c r="B39" s="211" t="s">
        <v>140</v>
      </c>
      <c r="C39" s="211" t="s">
        <v>460</v>
      </c>
      <c r="D39" s="211" t="s">
        <v>461</v>
      </c>
      <c r="E39" s="211" t="s">
        <v>462</v>
      </c>
      <c r="F39" s="348" t="s">
        <v>463</v>
      </c>
      <c r="G39" s="211" t="s">
        <v>157</v>
      </c>
      <c r="H39" s="211">
        <v>1</v>
      </c>
      <c r="I39" s="323">
        <v>1</v>
      </c>
      <c r="J39" s="323">
        <v>1</v>
      </c>
      <c r="K39" s="288">
        <v>1</v>
      </c>
      <c r="L39" s="211" t="s">
        <v>3110</v>
      </c>
      <c r="M39" s="211" t="b">
        <v>0</v>
      </c>
      <c r="O39" s="209" t="s">
        <v>2832</v>
      </c>
      <c r="P39" s="211" t="s">
        <v>159</v>
      </c>
      <c r="Q39" s="211" t="s">
        <v>160</v>
      </c>
      <c r="T39" s="236" t="s">
        <v>353</v>
      </c>
      <c r="U39" s="269"/>
      <c r="V39" s="269"/>
      <c r="W39" s="269"/>
      <c r="X39" s="269"/>
      <c r="Y39" s="269"/>
      <c r="Z39" s="269">
        <v>2</v>
      </c>
      <c r="AA39" s="269"/>
      <c r="AB39" s="269"/>
      <c r="AC39" s="269"/>
      <c r="AD39" s="269"/>
      <c r="AE39" s="269"/>
      <c r="AF39" s="269">
        <v>4</v>
      </c>
      <c r="AG39" s="269">
        <v>6</v>
      </c>
      <c r="AH39"/>
      <c r="AI39"/>
      <c r="AJ39" s="236" t="s">
        <v>353</v>
      </c>
      <c r="AK39" s="269"/>
      <c r="AL39" s="269"/>
      <c r="AM39" s="269"/>
      <c r="AN39" s="269"/>
      <c r="AO39" s="269"/>
      <c r="AP39" s="269">
        <v>4</v>
      </c>
      <c r="AQ39" s="269"/>
      <c r="AR39" s="269"/>
      <c r="AS39" s="269"/>
      <c r="AT39" s="269"/>
      <c r="AU39" s="269"/>
      <c r="AV39" s="269">
        <v>4</v>
      </c>
      <c r="AW39" s="269">
        <v>8</v>
      </c>
      <c r="AX39" s="236"/>
      <c r="AY39" s="236"/>
      <c r="AZ39" s="236"/>
      <c r="BA39" s="239" t="s">
        <v>259</v>
      </c>
      <c r="BB39" s="240">
        <f t="shared" si="30"/>
        <v>0</v>
      </c>
      <c r="BC39" s="240">
        <f t="shared" si="31"/>
        <v>0</v>
      </c>
      <c r="BD39" s="240">
        <f t="shared" si="32"/>
        <v>10</v>
      </c>
      <c r="BE39" s="240">
        <f t="shared" si="33"/>
        <v>0</v>
      </c>
      <c r="BF39" s="240">
        <f t="shared" si="34"/>
        <v>0</v>
      </c>
      <c r="BG39" s="240">
        <f t="shared" si="35"/>
        <v>14</v>
      </c>
      <c r="BH39" s="240">
        <f t="shared" si="36"/>
        <v>0</v>
      </c>
      <c r="BI39" s="240">
        <f t="shared" si="37"/>
        <v>0</v>
      </c>
      <c r="BJ39" s="240">
        <f t="shared" si="38"/>
        <v>2</v>
      </c>
      <c r="BK39" s="240">
        <f t="shared" si="23"/>
        <v>0</v>
      </c>
      <c r="BL39" s="240">
        <f t="shared" si="24"/>
        <v>0</v>
      </c>
      <c r="BM39" s="240">
        <f t="shared" si="25"/>
        <v>6</v>
      </c>
      <c r="BN39" s="211">
        <f t="shared" si="39"/>
        <v>0</v>
      </c>
      <c r="BO39" s="236">
        <f t="shared" si="40"/>
        <v>0</v>
      </c>
      <c r="BP39" s="236">
        <f t="shared" si="41"/>
        <v>10</v>
      </c>
      <c r="BQ39" s="236">
        <f t="shared" si="42"/>
        <v>0</v>
      </c>
      <c r="BR39" s="236">
        <f t="shared" si="43"/>
        <v>0</v>
      </c>
      <c r="BS39" s="236">
        <f t="shared" si="44"/>
        <v>14</v>
      </c>
      <c r="BT39" s="236">
        <f t="shared" si="45"/>
        <v>0</v>
      </c>
      <c r="BU39" s="236">
        <f t="shared" si="46"/>
        <v>0</v>
      </c>
      <c r="BV39" s="236">
        <f t="shared" si="47"/>
        <v>2</v>
      </c>
      <c r="BW39" s="236">
        <f t="shared" si="26"/>
        <v>0</v>
      </c>
      <c r="BX39" s="236">
        <f t="shared" si="27"/>
        <v>0</v>
      </c>
      <c r="BY39" s="236">
        <f t="shared" si="28"/>
        <v>6</v>
      </c>
      <c r="BZ39" s="236"/>
      <c r="CA39" s="275" t="s">
        <v>440</v>
      </c>
      <c r="CB39" s="272" t="str">
        <f t="shared" si="48"/>
        <v>N/A</v>
      </c>
      <c r="CC39" s="272" t="str">
        <f t="shared" si="49"/>
        <v>N/A</v>
      </c>
      <c r="CD39" s="272" t="str">
        <f t="shared" si="50"/>
        <v>​Se ejecutaron diversas actividades en cumplimiento a  la implementación de la política de Servicio al Ciudadano, como:                                                                       
   * Implementar acciones para articular con las dependencias y áreas para el Relacionamiento con la Ciudadanía y Grupos Valor. 
   *Desarrollar los escenarios de relacionamiento             
  *Realizar ejercicios de Benchmarking.                                                
   *Revisar y ajustar los Manuales, Protocolos, Documentos.  
  *Socializar, sensibilizar y capacitar en temática relevante de servicio al ciudadano.  
 *Realizar campañas de ortografía en el marco de los lineamientos nacionales del Lenguaje Claro.                
 *Transformar, actualizar o ajustar las respuestas de los Derechos de Petición y Solicitudes de Información</v>
      </c>
      <c r="CE39" s="284" t="str">
        <f t="shared" si="51"/>
        <v>N/A</v>
      </c>
      <c r="CF39" s="284" t="str">
        <f t="shared" si="52"/>
        <v>N/A</v>
      </c>
      <c r="CG39" s="284" t="str">
        <f t="shared" si="53"/>
        <v>N/A</v>
      </c>
      <c r="CH39" s="272" t="str">
        <f t="shared" si="54"/>
        <v>N/A</v>
      </c>
      <c r="CI39" s="211" t="str">
        <f t="shared" si="55"/>
        <v>N/A</v>
      </c>
      <c r="CJ39" s="211" t="str">
        <f t="shared" si="56"/>
        <v>N/A</v>
      </c>
      <c r="CK39" s="211" t="str">
        <f t="shared" si="57"/>
        <v>N/A</v>
      </c>
      <c r="CL39" s="211" t="str">
        <f t="shared" si="58"/>
        <v>N/A</v>
      </c>
      <c r="CM39" s="211" t="str">
        <f t="shared" si="59"/>
        <v>N/A</v>
      </c>
      <c r="CO39" s="211" t="s">
        <v>454</v>
      </c>
      <c r="CP39" s="211" t="s">
        <v>140</v>
      </c>
      <c r="CQ39" s="211" t="s">
        <v>460</v>
      </c>
      <c r="CR39" s="211" t="s">
        <v>461</v>
      </c>
      <c r="CS39" s="211" t="s">
        <v>3110</v>
      </c>
      <c r="CT39" s="211" t="s">
        <v>460</v>
      </c>
      <c r="CU39" s="211" t="str">
        <f t="shared" si="12"/>
        <v>N/A</v>
      </c>
      <c r="CV39" s="211" t="str">
        <f t="shared" si="13"/>
        <v>N/A</v>
      </c>
      <c r="CW39" s="211" t="str">
        <f t="shared" si="14"/>
        <v>​Se ralizó asistencia tecnica con el Gestor Farmaceutico Pharmaasan, la cual  fue fundamenta para el cumplimiento del reporte financiero por parte de los vigilados. De esta manera se da cumplimiento al 100% de lo propuesto en el PAG para Marzo 2025.</v>
      </c>
      <c r="CX39" s="211" t="str">
        <f t="shared" si="15"/>
        <v>N/A</v>
      </c>
      <c r="CY39" s="211" t="str">
        <f t="shared" si="29"/>
        <v>N/A</v>
      </c>
      <c r="CZ39" s="211" t="str">
        <f t="shared" si="16"/>
        <v>N/A</v>
      </c>
      <c r="DA39" s="211" t="str">
        <f t="shared" si="17"/>
        <v>N/A</v>
      </c>
      <c r="DB39" s="211" t="str">
        <f t="shared" si="18"/>
        <v>N/A</v>
      </c>
      <c r="DC39" s="211" t="str">
        <f t="shared" si="19"/>
        <v>N/A</v>
      </c>
      <c r="DD39" s="211" t="str">
        <f t="shared" si="20"/>
        <v>N/A</v>
      </c>
      <c r="DE39" s="211" t="str">
        <f t="shared" si="21"/>
        <v>N/A</v>
      </c>
      <c r="DF39" s="211" t="str">
        <f t="shared" si="22"/>
        <v>N/A</v>
      </c>
    </row>
    <row r="40" spans="1:110" s="211" customFormat="1" ht="127.5">
      <c r="A40" s="348" t="s">
        <v>454</v>
      </c>
      <c r="B40" s="211" t="s">
        <v>140</v>
      </c>
      <c r="C40" s="211" t="s">
        <v>466</v>
      </c>
      <c r="D40" s="211" t="s">
        <v>467</v>
      </c>
      <c r="E40" s="211" t="s">
        <v>468</v>
      </c>
      <c r="F40" s="348" t="s">
        <v>469</v>
      </c>
      <c r="G40" s="211" t="s">
        <v>157</v>
      </c>
      <c r="H40" s="211">
        <v>2</v>
      </c>
      <c r="I40" s="323">
        <v>2</v>
      </c>
      <c r="J40" s="323">
        <v>2</v>
      </c>
      <c r="K40" s="288">
        <v>1</v>
      </c>
      <c r="L40" s="211" t="s">
        <v>3111</v>
      </c>
      <c r="M40" s="211" t="b">
        <v>0</v>
      </c>
      <c r="O40" s="209" t="s">
        <v>2832</v>
      </c>
      <c r="P40" s="211" t="s">
        <v>159</v>
      </c>
      <c r="Q40" s="211" t="s">
        <v>160</v>
      </c>
      <c r="T40" s="236" t="s">
        <v>358</v>
      </c>
      <c r="U40" s="269"/>
      <c r="V40" s="269"/>
      <c r="W40" s="269">
        <v>0.5</v>
      </c>
      <c r="X40" s="269"/>
      <c r="Y40" s="269"/>
      <c r="Z40" s="269">
        <v>1</v>
      </c>
      <c r="AA40" s="269"/>
      <c r="AB40" s="269"/>
      <c r="AC40" s="269"/>
      <c r="AD40" s="269"/>
      <c r="AE40" s="269"/>
      <c r="AF40" s="269"/>
      <c r="AG40" s="269">
        <v>1.5</v>
      </c>
      <c r="AH40"/>
      <c r="AI40"/>
      <c r="AJ40" s="236" t="s">
        <v>358</v>
      </c>
      <c r="AK40" s="269"/>
      <c r="AL40" s="269"/>
      <c r="AM40" s="269">
        <v>0</v>
      </c>
      <c r="AN40" s="269"/>
      <c r="AO40" s="269"/>
      <c r="AP40" s="269">
        <v>1</v>
      </c>
      <c r="AQ40" s="269"/>
      <c r="AR40" s="269"/>
      <c r="AS40" s="269"/>
      <c r="AT40" s="269"/>
      <c r="AU40" s="269"/>
      <c r="AV40" s="269"/>
      <c r="AW40" s="269">
        <v>1</v>
      </c>
      <c r="AX40" s="236"/>
      <c r="AY40" s="236"/>
      <c r="AZ40" s="236"/>
      <c r="BA40" s="239" t="s">
        <v>353</v>
      </c>
      <c r="BB40" s="240">
        <f t="shared" si="30"/>
        <v>0</v>
      </c>
      <c r="BC40" s="240">
        <f t="shared" si="31"/>
        <v>0</v>
      </c>
      <c r="BD40" s="240">
        <f t="shared" si="32"/>
        <v>0</v>
      </c>
      <c r="BE40" s="240">
        <f t="shared" si="33"/>
        <v>0</v>
      </c>
      <c r="BF40" s="240">
        <f t="shared" si="34"/>
        <v>0</v>
      </c>
      <c r="BG40" s="240">
        <f t="shared" si="35"/>
        <v>2</v>
      </c>
      <c r="BH40" s="240">
        <f t="shared" si="36"/>
        <v>0</v>
      </c>
      <c r="BI40" s="240">
        <f t="shared" si="37"/>
        <v>0</v>
      </c>
      <c r="BJ40" s="240">
        <f t="shared" si="38"/>
        <v>0</v>
      </c>
      <c r="BK40" s="240">
        <f t="shared" si="23"/>
        <v>0</v>
      </c>
      <c r="BL40" s="240">
        <f t="shared" si="24"/>
        <v>0</v>
      </c>
      <c r="BM40" s="240">
        <f t="shared" si="25"/>
        <v>4</v>
      </c>
      <c r="BN40" s="211">
        <f t="shared" si="39"/>
        <v>0</v>
      </c>
      <c r="BO40" s="236">
        <f t="shared" si="40"/>
        <v>0</v>
      </c>
      <c r="BP40" s="236">
        <f t="shared" si="41"/>
        <v>0</v>
      </c>
      <c r="BQ40" s="236">
        <f t="shared" si="42"/>
        <v>0</v>
      </c>
      <c r="BR40" s="236">
        <f t="shared" si="43"/>
        <v>0</v>
      </c>
      <c r="BS40" s="236">
        <f t="shared" si="44"/>
        <v>4</v>
      </c>
      <c r="BT40" s="236">
        <f t="shared" si="45"/>
        <v>0</v>
      </c>
      <c r="BU40" s="236">
        <f t="shared" si="46"/>
        <v>0</v>
      </c>
      <c r="BV40" s="236">
        <f t="shared" si="47"/>
        <v>0</v>
      </c>
      <c r="BW40" s="236">
        <f t="shared" si="26"/>
        <v>0</v>
      </c>
      <c r="BX40" s="236">
        <f t="shared" si="27"/>
        <v>0</v>
      </c>
      <c r="BY40" s="236">
        <f t="shared" si="28"/>
        <v>4</v>
      </c>
      <c r="BZ40" s="236"/>
      <c r="CA40" s="275" t="s">
        <v>214</v>
      </c>
      <c r="CB40" s="272" t="str">
        <f t="shared" si="48"/>
        <v>N/A</v>
      </c>
      <c r="CC40" s="272" t="str">
        <f t="shared" si="49"/>
        <v>N/A</v>
      </c>
      <c r="CD40" s="272" t="str">
        <f t="shared" si="50"/>
        <v>Se realizaron 30 auditorías a los vigilados relacionadas con el Sistema de Información y Atención al Usuario - SIAU, mecanismos de Participación Ciudadana y comportamiento de reclamos en salud. Asimismo, se efectuaron tres  auditorias del sistema de información, recepción y gestión dentro de los términos de la circular, frente a los reclamos en salud radicados ante la SNS. </v>
      </c>
      <c r="CE40" s="284" t="str">
        <f t="shared" si="51"/>
        <v>N/A</v>
      </c>
      <c r="CF40" s="284" t="str">
        <f t="shared" si="52"/>
        <v>N/A</v>
      </c>
      <c r="CG40" s="284" t="str">
        <f t="shared" si="53"/>
        <v>N/A</v>
      </c>
      <c r="CH40" s="272" t="str">
        <f t="shared" si="54"/>
        <v>N/A</v>
      </c>
      <c r="CI40" s="211" t="str">
        <f t="shared" si="55"/>
        <v>N/A</v>
      </c>
      <c r="CJ40" s="211" t="str">
        <f t="shared" si="56"/>
        <v>N/A</v>
      </c>
      <c r="CK40" s="211" t="str">
        <f t="shared" si="57"/>
        <v>N/A</v>
      </c>
      <c r="CL40" s="211" t="str">
        <f t="shared" si="58"/>
        <v>N/A</v>
      </c>
      <c r="CM40" s="211" t="str">
        <f t="shared" si="59"/>
        <v>N/A</v>
      </c>
      <c r="CO40" s="211" t="s">
        <v>454</v>
      </c>
      <c r="CP40" s="211" t="s">
        <v>140</v>
      </c>
      <c r="CQ40" s="211" t="s">
        <v>466</v>
      </c>
      <c r="CR40" s="211" t="s">
        <v>467</v>
      </c>
      <c r="CS40" s="211" t="s">
        <v>3111</v>
      </c>
      <c r="CT40" s="211" t="s">
        <v>466</v>
      </c>
      <c r="CU40" s="211" t="str">
        <f t="shared" si="12"/>
        <v>N/A</v>
      </c>
      <c r="CV40" s="211" t="str">
        <f t="shared" si="13"/>
        <v>N/A</v>
      </c>
      <c r="CW40" s="211" t="str">
        <f t="shared" si="14"/>
        <v>​Se realizaron 2 actividades de acompañamiento a las Direcciones Regionales en actividades de IVC a los Gestores Farmaceutocos ,  Santa Sofia de Asis en la ciudad y Ramedicas en Quido Choco estas acciones son fundamentales en el cumplimiento de las funiones de IVC de nuestra Delegada, se da cumplimiento al 100% de lo planteado en el PAG para marzo 2025.</v>
      </c>
      <c r="CX40" s="211" t="str">
        <f t="shared" si="15"/>
        <v>N/A</v>
      </c>
      <c r="CY40" s="211" t="str">
        <f t="shared" si="29"/>
        <v>N/A</v>
      </c>
      <c r="CZ40" s="211" t="str">
        <f t="shared" si="16"/>
        <v>N/A</v>
      </c>
      <c r="DA40" s="211" t="str">
        <f t="shared" si="17"/>
        <v>N/A</v>
      </c>
      <c r="DB40" s="211" t="str">
        <f t="shared" si="18"/>
        <v>N/A</v>
      </c>
      <c r="DC40" s="211" t="str">
        <f t="shared" si="19"/>
        <v>N/A</v>
      </c>
      <c r="DD40" s="211" t="str">
        <f t="shared" si="20"/>
        <v>N/A</v>
      </c>
      <c r="DE40" s="211" t="str">
        <f t="shared" si="21"/>
        <v>N/A</v>
      </c>
      <c r="DF40" s="211" t="str">
        <f t="shared" si="22"/>
        <v>N/A</v>
      </c>
    </row>
    <row r="41" spans="1:110" s="211" customFormat="1" ht="199.5">
      <c r="A41" s="348" t="s">
        <v>199</v>
      </c>
      <c r="B41" s="211" t="s">
        <v>140</v>
      </c>
      <c r="C41" s="211" t="s">
        <v>200</v>
      </c>
      <c r="D41" s="211" t="s">
        <v>201</v>
      </c>
      <c r="E41" s="211" t="s">
        <v>202</v>
      </c>
      <c r="F41" s="348" t="s">
        <v>203</v>
      </c>
      <c r="G41" s="211" t="s">
        <v>157</v>
      </c>
      <c r="H41" s="211">
        <v>19</v>
      </c>
      <c r="I41" s="323">
        <v>19</v>
      </c>
      <c r="J41" s="323">
        <v>19</v>
      </c>
      <c r="K41" s="288">
        <v>1</v>
      </c>
      <c r="L41" s="211" t="s">
        <v>3112</v>
      </c>
      <c r="M41" s="211" t="b">
        <v>0</v>
      </c>
      <c r="O41" s="209" t="s">
        <v>2832</v>
      </c>
      <c r="P41" s="211" t="s">
        <v>159</v>
      </c>
      <c r="Q41" s="211" t="s">
        <v>160</v>
      </c>
      <c r="T41" s="236" t="s">
        <v>364</v>
      </c>
      <c r="U41" s="269"/>
      <c r="V41" s="269"/>
      <c r="W41" s="269"/>
      <c r="X41" s="269"/>
      <c r="Y41" s="269"/>
      <c r="Z41" s="269">
        <v>2</v>
      </c>
      <c r="AA41" s="269"/>
      <c r="AB41" s="269">
        <v>2</v>
      </c>
      <c r="AC41" s="269">
        <v>0</v>
      </c>
      <c r="AD41" s="269">
        <v>1</v>
      </c>
      <c r="AE41" s="269">
        <v>1</v>
      </c>
      <c r="AF41" s="269"/>
      <c r="AG41" s="269">
        <v>6</v>
      </c>
      <c r="AH41"/>
      <c r="AI41"/>
      <c r="AJ41" s="236" t="s">
        <v>364</v>
      </c>
      <c r="AK41" s="269"/>
      <c r="AL41" s="269"/>
      <c r="AM41" s="269"/>
      <c r="AN41" s="269"/>
      <c r="AO41" s="269"/>
      <c r="AP41" s="269">
        <v>2</v>
      </c>
      <c r="AQ41" s="269"/>
      <c r="AR41" s="269">
        <v>1</v>
      </c>
      <c r="AS41" s="269">
        <v>1</v>
      </c>
      <c r="AT41" s="269">
        <v>1</v>
      </c>
      <c r="AU41" s="269">
        <v>1</v>
      </c>
      <c r="AV41" s="269"/>
      <c r="AW41" s="269">
        <v>6</v>
      </c>
      <c r="AX41" s="236"/>
      <c r="AY41" s="236"/>
      <c r="AZ41" s="236"/>
      <c r="BA41" s="239" t="s">
        <v>358</v>
      </c>
      <c r="BB41" s="240">
        <f t="shared" si="30"/>
        <v>0</v>
      </c>
      <c r="BC41" s="240">
        <f t="shared" si="31"/>
        <v>0</v>
      </c>
      <c r="BD41" s="240">
        <f t="shared" si="32"/>
        <v>0.5</v>
      </c>
      <c r="BE41" s="240">
        <f t="shared" si="33"/>
        <v>0</v>
      </c>
      <c r="BF41" s="240">
        <f t="shared" si="34"/>
        <v>0</v>
      </c>
      <c r="BG41" s="240">
        <f t="shared" si="35"/>
        <v>1</v>
      </c>
      <c r="BH41" s="240">
        <f t="shared" si="36"/>
        <v>0</v>
      </c>
      <c r="BI41" s="240">
        <f t="shared" si="37"/>
        <v>0</v>
      </c>
      <c r="BJ41" s="240">
        <f t="shared" si="38"/>
        <v>0</v>
      </c>
      <c r="BK41" s="240">
        <f t="shared" si="23"/>
        <v>0</v>
      </c>
      <c r="BL41" s="240">
        <f t="shared" si="24"/>
        <v>0</v>
      </c>
      <c r="BM41" s="240">
        <f t="shared" si="25"/>
        <v>0</v>
      </c>
      <c r="BN41" s="211">
        <f t="shared" si="39"/>
        <v>0</v>
      </c>
      <c r="BO41" s="236">
        <f t="shared" si="40"/>
        <v>0</v>
      </c>
      <c r="BP41" s="236">
        <f t="shared" si="41"/>
        <v>0</v>
      </c>
      <c r="BQ41" s="236">
        <f t="shared" si="42"/>
        <v>0</v>
      </c>
      <c r="BR41" s="236">
        <f t="shared" si="43"/>
        <v>0</v>
      </c>
      <c r="BS41" s="236">
        <f t="shared" si="44"/>
        <v>1</v>
      </c>
      <c r="BT41" s="236">
        <f t="shared" si="45"/>
        <v>0</v>
      </c>
      <c r="BU41" s="236">
        <f t="shared" si="46"/>
        <v>0</v>
      </c>
      <c r="BV41" s="236">
        <f t="shared" si="47"/>
        <v>0</v>
      </c>
      <c r="BW41" s="236">
        <f t="shared" si="26"/>
        <v>0</v>
      </c>
      <c r="BX41" s="236">
        <f t="shared" si="27"/>
        <v>0</v>
      </c>
      <c r="BY41" s="236">
        <f t="shared" si="28"/>
        <v>0</v>
      </c>
      <c r="BZ41" s="236"/>
      <c r="CA41" s="275" t="s">
        <v>418</v>
      </c>
      <c r="CB41" s="272" t="str">
        <f t="shared" si="48"/>
        <v>N/A</v>
      </c>
      <c r="CC41" s="272" t="str">
        <f t="shared" si="49"/>
        <v>N/A</v>
      </c>
      <c r="CD41" s="272" t="str">
        <f t="shared" si="50"/>
        <v xml:space="preserve">​Se presenta información con corte a febrero 2025, en virtud de que el periodo de reporte de insumos es 5 días hábiles mes vencido. 
Aclarado lo anterior se presenta el resultado de la aplicación de la encuesta de satisfacción realizada en el canal telefónico y presencial (Regionales, Puntos de Atención y CAC). 
Entre enero y febrero 2025 se recibieron 134.953 respuestas con calificación buena y excelente, de un total de 156.221 respuestas, las cuales corresponden a un 86.36% de satisfacción.
La meta se ajusto para el mes de abril. 
</v>
      </c>
      <c r="CE41" s="284" t="str">
        <f t="shared" si="51"/>
        <v>N/A</v>
      </c>
      <c r="CF41" s="284" t="str">
        <f t="shared" si="52"/>
        <v>N/A</v>
      </c>
      <c r="CG41" s="284" t="str">
        <f t="shared" si="53"/>
        <v>N/A</v>
      </c>
      <c r="CH41" s="272" t="str">
        <f t="shared" si="54"/>
        <v>N/A</v>
      </c>
      <c r="CI41" s="211" t="str">
        <f t="shared" si="55"/>
        <v>N/A</v>
      </c>
      <c r="CJ41" s="211" t="str">
        <f t="shared" si="56"/>
        <v>N/A</v>
      </c>
      <c r="CK41" s="211" t="str">
        <f t="shared" si="57"/>
        <v>N/A</v>
      </c>
      <c r="CL41" s="211" t="str">
        <f t="shared" si="58"/>
        <v>N/A</v>
      </c>
      <c r="CM41" s="211" t="str">
        <f t="shared" si="59"/>
        <v>N/A</v>
      </c>
      <c r="CO41" s="211" t="s">
        <v>199</v>
      </c>
      <c r="CP41" s="211" t="s">
        <v>140</v>
      </c>
      <c r="CQ41" s="211" t="s">
        <v>200</v>
      </c>
      <c r="CR41" s="211" t="s">
        <v>201</v>
      </c>
      <c r="CS41" s="211" t="s">
        <v>3112</v>
      </c>
      <c r="CT41" s="211" t="s">
        <v>200</v>
      </c>
      <c r="CU41" s="211" t="str">
        <f t="shared" si="12"/>
        <v>N/A</v>
      </c>
      <c r="CV41" s="211" t="str">
        <f t="shared" si="13"/>
        <v>N/A</v>
      </c>
      <c r="CW41" s="211" t="str">
        <f t="shared" si="14"/>
        <v xml:space="preserve">​Para el primer trimestre de 2025 se programó la realización de 19 auditorias. 
Durante el mes de enero, se realizaron 3 auditorias, en el mes de febrero 8 auditorias y en el mes de marzo 8 auditorias, para un total de 19 auditorias, dando cumplimiento en el numero de auditorias realizadas, versus las auditorias programadas para el I trimestre de la vigencia 2025.
</v>
      </c>
      <c r="CX41" s="211" t="str">
        <f t="shared" si="15"/>
        <v>N/A</v>
      </c>
      <c r="CY41" s="211" t="str">
        <f t="shared" si="29"/>
        <v>N/A</v>
      </c>
      <c r="CZ41" s="211" t="str">
        <f t="shared" si="16"/>
        <v>N/A</v>
      </c>
      <c r="DA41" s="211" t="str">
        <f t="shared" si="17"/>
        <v>N/A</v>
      </c>
      <c r="DB41" s="211" t="str">
        <f t="shared" si="18"/>
        <v>N/A</v>
      </c>
      <c r="DC41" s="211" t="str">
        <f t="shared" si="19"/>
        <v>N/A</v>
      </c>
      <c r="DD41" s="211" t="str">
        <f t="shared" si="20"/>
        <v>N/A</v>
      </c>
      <c r="DE41" s="211" t="str">
        <f t="shared" si="21"/>
        <v>N/A</v>
      </c>
      <c r="DF41" s="211" t="str">
        <f t="shared" si="22"/>
        <v>N/A</v>
      </c>
    </row>
    <row r="42" spans="1:110" s="211" customFormat="1" ht="140.25">
      <c r="A42" s="348" t="s">
        <v>199</v>
      </c>
      <c r="B42" s="211" t="s">
        <v>140</v>
      </c>
      <c r="C42" s="211" t="s">
        <v>204</v>
      </c>
      <c r="D42" s="211" t="s">
        <v>205</v>
      </c>
      <c r="E42" s="211" t="s">
        <v>206</v>
      </c>
      <c r="F42" s="348" t="s">
        <v>207</v>
      </c>
      <c r="G42" s="211" t="s">
        <v>178</v>
      </c>
      <c r="H42" s="211">
        <v>1</v>
      </c>
      <c r="I42" s="323">
        <v>88</v>
      </c>
      <c r="J42" s="323">
        <v>88</v>
      </c>
      <c r="K42" s="288">
        <v>1</v>
      </c>
      <c r="L42" s="211" t="s">
        <v>208</v>
      </c>
      <c r="M42" s="211" t="b">
        <v>0</v>
      </c>
      <c r="O42" s="209" t="s">
        <v>2832</v>
      </c>
      <c r="P42" s="211" t="s">
        <v>159</v>
      </c>
      <c r="Q42" s="211" t="s">
        <v>160</v>
      </c>
      <c r="T42" s="236" t="s">
        <v>371</v>
      </c>
      <c r="U42" s="269"/>
      <c r="V42" s="269"/>
      <c r="W42" s="269">
        <v>7</v>
      </c>
      <c r="X42" s="269"/>
      <c r="Y42" s="269"/>
      <c r="Z42" s="269">
        <v>15</v>
      </c>
      <c r="AA42" s="269"/>
      <c r="AB42" s="269"/>
      <c r="AC42" s="269">
        <v>7</v>
      </c>
      <c r="AD42" s="269"/>
      <c r="AE42" s="269"/>
      <c r="AF42" s="269">
        <v>17</v>
      </c>
      <c r="AG42" s="269">
        <v>46</v>
      </c>
      <c r="AH42"/>
      <c r="AI42"/>
      <c r="AJ42" s="236" t="s">
        <v>371</v>
      </c>
      <c r="AK42" s="269"/>
      <c r="AL42" s="269"/>
      <c r="AM42" s="269">
        <v>8</v>
      </c>
      <c r="AN42" s="269"/>
      <c r="AO42" s="269"/>
      <c r="AP42" s="269">
        <v>21</v>
      </c>
      <c r="AQ42" s="269"/>
      <c r="AR42" s="269"/>
      <c r="AS42" s="269">
        <v>8</v>
      </c>
      <c r="AT42" s="269"/>
      <c r="AU42" s="269"/>
      <c r="AV42" s="269">
        <v>21</v>
      </c>
      <c r="AW42" s="269">
        <v>58</v>
      </c>
      <c r="AX42" s="236"/>
      <c r="AY42" s="236"/>
      <c r="AZ42" s="236"/>
      <c r="BA42" s="239" t="s">
        <v>1306</v>
      </c>
      <c r="BB42" s="240">
        <f t="shared" si="30"/>
        <v>0</v>
      </c>
      <c r="BC42" s="240">
        <f t="shared" si="31"/>
        <v>0</v>
      </c>
      <c r="BD42" s="240">
        <f t="shared" si="32"/>
        <v>0</v>
      </c>
      <c r="BE42" s="240">
        <f t="shared" si="33"/>
        <v>0</v>
      </c>
      <c r="BF42" s="240">
        <f t="shared" si="34"/>
        <v>0</v>
      </c>
      <c r="BG42" s="240">
        <f t="shared" si="35"/>
        <v>0</v>
      </c>
      <c r="BH42" s="240">
        <f t="shared" si="36"/>
        <v>0</v>
      </c>
      <c r="BI42" s="240">
        <f t="shared" si="37"/>
        <v>0</v>
      </c>
      <c r="BJ42" s="240">
        <f t="shared" si="38"/>
        <v>0.5</v>
      </c>
      <c r="BK42" s="240">
        <f t="shared" si="23"/>
        <v>0</v>
      </c>
      <c r="BL42" s="240">
        <f t="shared" si="24"/>
        <v>0</v>
      </c>
      <c r="BM42" s="240">
        <f t="shared" si="25"/>
        <v>1</v>
      </c>
      <c r="BN42" s="211">
        <f t="shared" si="39"/>
        <v>0</v>
      </c>
      <c r="BO42" s="236">
        <f t="shared" si="40"/>
        <v>0</v>
      </c>
      <c r="BP42" s="236">
        <f t="shared" si="41"/>
        <v>0</v>
      </c>
      <c r="BQ42" s="236">
        <f t="shared" si="42"/>
        <v>0</v>
      </c>
      <c r="BR42" s="236">
        <f t="shared" si="43"/>
        <v>0</v>
      </c>
      <c r="BS42" s="236">
        <f t="shared" si="44"/>
        <v>0</v>
      </c>
      <c r="BT42" s="236">
        <f t="shared" si="45"/>
        <v>0</v>
      </c>
      <c r="BU42" s="236">
        <f t="shared" si="46"/>
        <v>0</v>
      </c>
      <c r="BV42" s="236">
        <f t="shared" si="47"/>
        <v>1</v>
      </c>
      <c r="BW42" s="236">
        <f t="shared" si="26"/>
        <v>0</v>
      </c>
      <c r="BX42" s="236">
        <f t="shared" si="27"/>
        <v>0</v>
      </c>
      <c r="BY42" s="236">
        <f t="shared" si="28"/>
        <v>1</v>
      </c>
      <c r="BZ42" s="236"/>
      <c r="CA42" s="275" t="s">
        <v>573</v>
      </c>
      <c r="CB42" s="272" t="str">
        <f t="shared" si="48"/>
        <v>N/A</v>
      </c>
      <c r="CC42" s="272" t="str">
        <f t="shared" si="49"/>
        <v>N/A</v>
      </c>
      <c r="CD42" s="272" t="str">
        <f t="shared" si="50"/>
        <v>N/A</v>
      </c>
      <c r="CE42" s="284" t="str">
        <f t="shared" si="51"/>
        <v>N/A</v>
      </c>
      <c r="CF42" s="284" t="str">
        <f t="shared" si="52"/>
        <v>N/A</v>
      </c>
      <c r="CG42" s="284" t="str">
        <f t="shared" si="53"/>
        <v xml:space="preserve">​Durante el semestre se realizaron 7 capacitaciones en derechos y deberes y mecanismos de participacion ciudadana en municipios PDET con un total de 962 asistentes 
</v>
      </c>
      <c r="CH42" s="272" t="str">
        <f t="shared" si="54"/>
        <v>N/A</v>
      </c>
      <c r="CI42" s="211" t="str">
        <f t="shared" si="55"/>
        <v>N/A</v>
      </c>
      <c r="CJ42" s="211" t="str">
        <f t="shared" si="56"/>
        <v>N/A</v>
      </c>
      <c r="CK42" s="211" t="str">
        <f t="shared" si="57"/>
        <v>N/A</v>
      </c>
      <c r="CL42" s="211" t="str">
        <f t="shared" si="58"/>
        <v>N/A</v>
      </c>
      <c r="CM42" s="211" t="str">
        <f t="shared" si="59"/>
        <v>N/A</v>
      </c>
      <c r="CO42" s="211" t="s">
        <v>199</v>
      </c>
      <c r="CP42" s="211" t="s">
        <v>140</v>
      </c>
      <c r="CQ42" s="211" t="s">
        <v>204</v>
      </c>
      <c r="CR42" s="211" t="s">
        <v>205</v>
      </c>
      <c r="CS42" s="211" t="s">
        <v>208</v>
      </c>
      <c r="CT42" s="211" t="s">
        <v>204</v>
      </c>
      <c r="CU42" s="211" t="str">
        <f t="shared" si="12"/>
        <v>N/A</v>
      </c>
      <c r="CV42" s="211" t="str">
        <f t="shared" si="13"/>
        <v>N/A</v>
      </c>
      <c r="CW42" s="211" t="str">
        <f t="shared" si="14"/>
        <v xml:space="preserve">​La Dirección de Inspección y Vigilancia para los Prestadores de Servicios de Salud recibió diecinueve (19) planes de mejoramiento para primera revisión, treinta y uno (31) para segunda y treinta y ocho (38) soportes de ejecución para evaluación de cumplimiento de los planes. La totalidad de los planes de mejoramiento y soportes de ejecución fueron evaluados y analizados por esta dirección durante el primer semestre de 2025.
</v>
      </c>
      <c r="CX42" s="211" t="str">
        <f t="shared" si="15"/>
        <v>N/A</v>
      </c>
      <c r="CY42" s="211" t="str">
        <f t="shared" si="29"/>
        <v>N/A</v>
      </c>
      <c r="CZ42" s="211" t="str">
        <f t="shared" si="16"/>
        <v>N/A</v>
      </c>
      <c r="DA42" s="211" t="str">
        <f t="shared" si="17"/>
        <v>N/A</v>
      </c>
      <c r="DB42" s="211" t="str">
        <f t="shared" si="18"/>
        <v>N/A</v>
      </c>
      <c r="DC42" s="211" t="str">
        <f t="shared" si="19"/>
        <v>N/A</v>
      </c>
      <c r="DD42" s="211" t="str">
        <f t="shared" si="20"/>
        <v>N/A</v>
      </c>
      <c r="DE42" s="211" t="str">
        <f t="shared" si="21"/>
        <v>N/A</v>
      </c>
      <c r="DF42" s="211" t="str">
        <f t="shared" si="22"/>
        <v>N/A</v>
      </c>
    </row>
    <row r="43" spans="1:110" s="211" customFormat="1" ht="102">
      <c r="A43" s="348" t="s">
        <v>199</v>
      </c>
      <c r="B43" s="211" t="s">
        <v>140</v>
      </c>
      <c r="C43" s="211" t="s">
        <v>209</v>
      </c>
      <c r="D43" s="211" t="s">
        <v>210</v>
      </c>
      <c r="E43" s="211" t="s">
        <v>211</v>
      </c>
      <c r="F43" s="348" t="s">
        <v>212</v>
      </c>
      <c r="G43" s="211" t="s">
        <v>178</v>
      </c>
      <c r="H43" s="211">
        <v>0.2</v>
      </c>
      <c r="I43" s="323">
        <v>2</v>
      </c>
      <c r="J43" s="323">
        <v>2</v>
      </c>
      <c r="K43" s="288">
        <v>1</v>
      </c>
      <c r="L43" s="211" t="s">
        <v>213</v>
      </c>
      <c r="M43" s="211" t="b">
        <v>0</v>
      </c>
      <c r="O43" s="209" t="s">
        <v>2832</v>
      </c>
      <c r="P43" s="211" t="s">
        <v>159</v>
      </c>
      <c r="Q43" s="211" t="s">
        <v>160</v>
      </c>
      <c r="T43" s="236" t="s">
        <v>375</v>
      </c>
      <c r="U43" s="269"/>
      <c r="V43" s="269"/>
      <c r="W43" s="269">
        <v>1</v>
      </c>
      <c r="X43" s="269"/>
      <c r="Y43" s="269"/>
      <c r="Z43" s="269">
        <v>4</v>
      </c>
      <c r="AA43" s="269"/>
      <c r="AB43" s="269"/>
      <c r="AC43" s="269">
        <v>1</v>
      </c>
      <c r="AD43" s="269"/>
      <c r="AE43" s="269"/>
      <c r="AF43" s="269">
        <v>4</v>
      </c>
      <c r="AG43" s="269">
        <v>10</v>
      </c>
      <c r="AH43"/>
      <c r="AI43"/>
      <c r="AJ43" s="236" t="s">
        <v>375</v>
      </c>
      <c r="AK43" s="269"/>
      <c r="AL43" s="269"/>
      <c r="AM43" s="269">
        <v>1</v>
      </c>
      <c r="AN43" s="269"/>
      <c r="AO43" s="269"/>
      <c r="AP43" s="269">
        <v>5</v>
      </c>
      <c r="AQ43" s="269"/>
      <c r="AR43" s="269"/>
      <c r="AS43" s="269">
        <v>1</v>
      </c>
      <c r="AT43" s="269"/>
      <c r="AU43" s="269"/>
      <c r="AV43" s="269">
        <v>5</v>
      </c>
      <c r="AW43" s="269">
        <v>12</v>
      </c>
      <c r="AX43" s="236"/>
      <c r="AY43" s="236"/>
      <c r="AZ43" s="236"/>
      <c r="BA43" s="239" t="s">
        <v>364</v>
      </c>
      <c r="BB43" s="240">
        <f t="shared" si="30"/>
        <v>0</v>
      </c>
      <c r="BC43" s="240">
        <f t="shared" si="31"/>
        <v>0</v>
      </c>
      <c r="BD43" s="240">
        <f t="shared" si="32"/>
        <v>0</v>
      </c>
      <c r="BE43" s="240">
        <f t="shared" si="33"/>
        <v>0</v>
      </c>
      <c r="BF43" s="240">
        <f t="shared" si="34"/>
        <v>0</v>
      </c>
      <c r="BG43" s="240">
        <f t="shared" si="35"/>
        <v>2</v>
      </c>
      <c r="BH43" s="240">
        <f t="shared" si="36"/>
        <v>0</v>
      </c>
      <c r="BI43" s="240">
        <f t="shared" si="37"/>
        <v>2</v>
      </c>
      <c r="BJ43" s="240">
        <f t="shared" si="38"/>
        <v>0</v>
      </c>
      <c r="BK43" s="240">
        <f t="shared" si="23"/>
        <v>1</v>
      </c>
      <c r="BL43" s="240">
        <f t="shared" si="24"/>
        <v>1</v>
      </c>
      <c r="BM43" s="240">
        <f t="shared" si="25"/>
        <v>0</v>
      </c>
      <c r="BN43" s="211">
        <f t="shared" si="39"/>
        <v>0</v>
      </c>
      <c r="BO43" s="236">
        <f t="shared" si="40"/>
        <v>0</v>
      </c>
      <c r="BP43" s="236">
        <f t="shared" si="41"/>
        <v>0</v>
      </c>
      <c r="BQ43" s="236">
        <f t="shared" si="42"/>
        <v>0</v>
      </c>
      <c r="BR43" s="236">
        <f t="shared" si="43"/>
        <v>0</v>
      </c>
      <c r="BS43" s="236">
        <f t="shared" si="44"/>
        <v>2</v>
      </c>
      <c r="BT43" s="236">
        <f t="shared" si="45"/>
        <v>0</v>
      </c>
      <c r="BU43" s="236">
        <f t="shared" si="46"/>
        <v>1</v>
      </c>
      <c r="BV43" s="236">
        <f t="shared" si="47"/>
        <v>1</v>
      </c>
      <c r="BW43" s="236">
        <f t="shared" si="26"/>
        <v>1</v>
      </c>
      <c r="BX43" s="236">
        <f t="shared" si="27"/>
        <v>1</v>
      </c>
      <c r="BY43" s="236">
        <f t="shared" si="28"/>
        <v>0</v>
      </c>
      <c r="BZ43" s="236"/>
      <c r="CA43" s="275" t="s">
        <v>444</v>
      </c>
      <c r="CB43" s="272" t="str">
        <f t="shared" si="48"/>
        <v>N/A</v>
      </c>
      <c r="CC43" s="272" t="str">
        <f t="shared" si="49"/>
        <v>N/A</v>
      </c>
      <c r="CD43" s="272" t="str">
        <f t="shared" si="50"/>
        <v xml:space="preserve">​Entre enero a marzo se radicaron y trasladaron al responsable del aseguramiento a través de una orden de inmediato y obligatorio cumplimiento 427.884 reclamos en salud recibidos por multicanal (escrito, web, telefónico, chat y redes sociales)
</v>
      </c>
      <c r="CE43" s="284" t="str">
        <f t="shared" si="51"/>
        <v>N/A</v>
      </c>
      <c r="CF43" s="284" t="str">
        <f t="shared" si="52"/>
        <v>N/A</v>
      </c>
      <c r="CG43" s="284" t="str">
        <f t="shared" si="53"/>
        <v>N/A</v>
      </c>
      <c r="CH43" s="272" t="str">
        <f t="shared" si="54"/>
        <v>N/A</v>
      </c>
      <c r="CI43" s="211" t="str">
        <f t="shared" si="55"/>
        <v>N/A</v>
      </c>
      <c r="CJ43" s="211" t="str">
        <f t="shared" si="56"/>
        <v>N/A</v>
      </c>
      <c r="CK43" s="211" t="str">
        <f t="shared" si="57"/>
        <v>N/A</v>
      </c>
      <c r="CL43" s="211" t="str">
        <f t="shared" si="58"/>
        <v>N/A</v>
      </c>
      <c r="CM43" s="211" t="str">
        <f t="shared" si="59"/>
        <v>N/A</v>
      </c>
      <c r="CO43" s="211" t="s">
        <v>199</v>
      </c>
      <c r="CP43" s="211" t="s">
        <v>140</v>
      </c>
      <c r="CQ43" s="211" t="s">
        <v>209</v>
      </c>
      <c r="CR43" s="211" t="s">
        <v>210</v>
      </c>
      <c r="CS43" s="211" t="s">
        <v>213</v>
      </c>
      <c r="CT43" s="211" t="s">
        <v>209</v>
      </c>
      <c r="CU43" s="211" t="str">
        <f t="shared" si="12"/>
        <v>N/A</v>
      </c>
      <c r="CV43" s="211" t="str">
        <f t="shared" si="13"/>
        <v>N/A</v>
      </c>
      <c r="CW43" s="211" t="str">
        <f t="shared" si="14"/>
        <v xml:space="preserve">​La Dirección de Medidas Especiales para Prestadores de Servicios de Salud adelanto 2 seguimientos en campo para el primer trimestre 2025, de acuerdo a la priorización y necesidades de las Entidades en medida especial.
</v>
      </c>
      <c r="CX43" s="211" t="str">
        <f t="shared" si="15"/>
        <v>N/A</v>
      </c>
      <c r="CY43" s="211" t="str">
        <f t="shared" si="29"/>
        <v>N/A</v>
      </c>
      <c r="CZ43" s="211" t="str">
        <f t="shared" si="16"/>
        <v>N/A</v>
      </c>
      <c r="DA43" s="211" t="str">
        <f t="shared" si="17"/>
        <v>N/A</v>
      </c>
      <c r="DB43" s="211" t="str">
        <f t="shared" si="18"/>
        <v>N/A</v>
      </c>
      <c r="DC43" s="211" t="str">
        <f t="shared" si="19"/>
        <v>N/A</v>
      </c>
      <c r="DD43" s="211" t="str">
        <f t="shared" si="20"/>
        <v>N/A</v>
      </c>
      <c r="DE43" s="211" t="str">
        <f t="shared" si="21"/>
        <v>N/A</v>
      </c>
      <c r="DF43" s="211" t="str">
        <f t="shared" si="22"/>
        <v>N/A</v>
      </c>
    </row>
    <row r="44" spans="1:110" s="211" customFormat="1" ht="382.5">
      <c r="A44" s="348" t="s">
        <v>238</v>
      </c>
      <c r="B44" s="211" t="s">
        <v>140</v>
      </c>
      <c r="C44" s="211" t="s">
        <v>239</v>
      </c>
      <c r="D44" s="211" t="s">
        <v>240</v>
      </c>
      <c r="E44" s="211" t="s">
        <v>241</v>
      </c>
      <c r="F44" s="348" t="s">
        <v>242</v>
      </c>
      <c r="G44" s="211" t="s">
        <v>178</v>
      </c>
      <c r="H44" s="211">
        <v>0.15</v>
      </c>
      <c r="I44" s="323">
        <v>15</v>
      </c>
      <c r="J44" s="323">
        <v>15</v>
      </c>
      <c r="K44" s="288">
        <v>1</v>
      </c>
      <c r="L44" s="211" t="s">
        <v>3113</v>
      </c>
      <c r="M44" s="211" t="b">
        <v>1</v>
      </c>
      <c r="N44" s="211" t="s">
        <v>243</v>
      </c>
      <c r="O44" s="209" t="s">
        <v>2832</v>
      </c>
      <c r="P44" s="211" t="s">
        <v>159</v>
      </c>
      <c r="Q44" s="211" t="s">
        <v>160</v>
      </c>
      <c r="T44" s="236" t="s">
        <v>380</v>
      </c>
      <c r="U44" s="269"/>
      <c r="V44" s="269"/>
      <c r="W44" s="269">
        <v>1</v>
      </c>
      <c r="X44" s="269"/>
      <c r="Y44" s="269"/>
      <c r="Z44" s="269">
        <v>3</v>
      </c>
      <c r="AA44" s="269"/>
      <c r="AB44" s="269"/>
      <c r="AC44" s="269">
        <v>4</v>
      </c>
      <c r="AD44" s="269"/>
      <c r="AE44" s="269"/>
      <c r="AF44" s="269">
        <v>8</v>
      </c>
      <c r="AG44" s="269">
        <v>16</v>
      </c>
      <c r="AH44"/>
      <c r="AI44"/>
      <c r="AJ44" s="236" t="s">
        <v>380</v>
      </c>
      <c r="AK44" s="269"/>
      <c r="AL44" s="269"/>
      <c r="AM44" s="269">
        <v>8</v>
      </c>
      <c r="AN44" s="269"/>
      <c r="AO44" s="269"/>
      <c r="AP44" s="269">
        <v>8</v>
      </c>
      <c r="AQ44" s="269"/>
      <c r="AR44" s="269"/>
      <c r="AS44" s="269">
        <v>8</v>
      </c>
      <c r="AT44" s="269"/>
      <c r="AU44" s="269"/>
      <c r="AV44" s="269">
        <v>8</v>
      </c>
      <c r="AW44" s="269">
        <v>32</v>
      </c>
      <c r="AX44" s="236"/>
      <c r="AY44" s="236"/>
      <c r="AZ44" s="236"/>
      <c r="BA44" s="239" t="s">
        <v>371</v>
      </c>
      <c r="BB44" s="240">
        <f t="shared" si="30"/>
        <v>0</v>
      </c>
      <c r="BC44" s="240">
        <f t="shared" si="31"/>
        <v>0</v>
      </c>
      <c r="BD44" s="240">
        <f t="shared" si="32"/>
        <v>7</v>
      </c>
      <c r="BE44" s="240">
        <f t="shared" si="33"/>
        <v>0</v>
      </c>
      <c r="BF44" s="240">
        <f t="shared" si="34"/>
        <v>0</v>
      </c>
      <c r="BG44" s="240">
        <f t="shared" si="35"/>
        <v>15</v>
      </c>
      <c r="BH44" s="240">
        <f t="shared" si="36"/>
        <v>0</v>
      </c>
      <c r="BI44" s="240">
        <f t="shared" si="37"/>
        <v>0</v>
      </c>
      <c r="BJ44" s="240">
        <f t="shared" si="38"/>
        <v>7</v>
      </c>
      <c r="BK44" s="240">
        <f t="shared" si="23"/>
        <v>0</v>
      </c>
      <c r="BL44" s="240">
        <f t="shared" si="24"/>
        <v>0</v>
      </c>
      <c r="BM44" s="240">
        <f t="shared" si="25"/>
        <v>17</v>
      </c>
      <c r="BN44" s="211">
        <f t="shared" si="39"/>
        <v>0</v>
      </c>
      <c r="BO44" s="236">
        <f t="shared" si="40"/>
        <v>0</v>
      </c>
      <c r="BP44" s="236">
        <f t="shared" si="41"/>
        <v>8</v>
      </c>
      <c r="BQ44" s="236">
        <f t="shared" si="42"/>
        <v>0</v>
      </c>
      <c r="BR44" s="236">
        <f t="shared" si="43"/>
        <v>0</v>
      </c>
      <c r="BS44" s="236">
        <f t="shared" si="44"/>
        <v>21</v>
      </c>
      <c r="BT44" s="236">
        <f t="shared" si="45"/>
        <v>0</v>
      </c>
      <c r="BU44" s="236">
        <f t="shared" si="46"/>
        <v>0</v>
      </c>
      <c r="BV44" s="236">
        <f t="shared" si="47"/>
        <v>8</v>
      </c>
      <c r="BW44" s="236">
        <f t="shared" si="26"/>
        <v>0</v>
      </c>
      <c r="BX44" s="236">
        <f t="shared" si="27"/>
        <v>0</v>
      </c>
      <c r="BY44" s="236">
        <f t="shared" si="28"/>
        <v>21</v>
      </c>
      <c r="BZ44" s="236"/>
      <c r="CA44" s="275" t="s">
        <v>449</v>
      </c>
      <c r="CB44" s="272" t="str">
        <f t="shared" si="48"/>
        <v>N/A</v>
      </c>
      <c r="CC44" s="272" t="str">
        <f t="shared" si="49"/>
        <v>N/A</v>
      </c>
      <c r="CD44" s="272" t="str">
        <f t="shared" si="50"/>
        <v>​Entre enero a marzo se radicaron y trasladaron al responsable del aseguramiento a través de una orden de inmediato y obligatorio cumplimiento 91.364 reclamos en salud recibidos por el canal presencial.</v>
      </c>
      <c r="CE44" s="284" t="str">
        <f t="shared" si="51"/>
        <v>N/A</v>
      </c>
      <c r="CF44" s="284" t="str">
        <f t="shared" si="52"/>
        <v>N/A</v>
      </c>
      <c r="CG44" s="284" t="str">
        <f t="shared" si="53"/>
        <v>N/A</v>
      </c>
      <c r="CH44" s="272" t="str">
        <f t="shared" si="54"/>
        <v>N/A</v>
      </c>
      <c r="CI44" s="211" t="str">
        <f t="shared" si="55"/>
        <v>N/A</v>
      </c>
      <c r="CJ44" s="211" t="str">
        <f t="shared" si="56"/>
        <v>N/A</v>
      </c>
      <c r="CK44" s="211" t="str">
        <f t="shared" si="57"/>
        <v>N/A</v>
      </c>
      <c r="CL44" s="211" t="str">
        <f t="shared" si="58"/>
        <v>N/A</v>
      </c>
      <c r="CM44" s="211" t="str">
        <f t="shared" si="59"/>
        <v>N/A</v>
      </c>
      <c r="CO44" s="211" t="s">
        <v>238</v>
      </c>
      <c r="CP44" s="211" t="s">
        <v>140</v>
      </c>
      <c r="CQ44" s="211" t="s">
        <v>239</v>
      </c>
      <c r="CR44" s="211" t="s">
        <v>240</v>
      </c>
      <c r="CS44" s="211" t="s">
        <v>3113</v>
      </c>
      <c r="CT44" s="211" t="s">
        <v>239</v>
      </c>
      <c r="CU44" s="211" t="str">
        <f t="shared" si="12"/>
        <v>N/A</v>
      </c>
      <c r="CV44" s="211" t="str">
        <f t="shared" si="13"/>
        <v>N/A</v>
      </c>
      <c r="CW44" s="211" t="str">
        <f t="shared" si="14"/>
        <v xml:space="preserve">​
Como resultado de la gestión adelantada durante el primer trimestre de la vigencia en curso, y tenieno en cuenta los compromisos adquiridos por la Subdirección de Analítica, se avanzó en: 
1. Diseño, exposición y aprobación por parte del Comité Directivo de la estrategia de transferencia del conocimiento, la cual tiene como objetivo mitigar la fuga del conocimiento con la transición del personal de la entidad; para ser implementada durante este periodo de tiempo de evaluación. 
2. Primera sesión del Equipo Técnico de Apoyo a la Gestión de Inovación y del Conocimiento. 
3. Implementación del formato PEFT52 Transferencia del Conocimiento, para ser diligenciado por parte de todos los colaboradores de la entidad: https://docs.supersalud.gov.co/PortalWeb/planeacion/AdministracionSIG/PEFT52.docx 
4. Elaboración de tablero de control para el análisis de los resultados obtenidos a partir del ejercicio de diligenciamiento del formulario de Transferencia de Conocimiento. 
5. Estructuración de los repositorios de información para cada una de las dependencias y grupos de trabajo, con el fin de consignar los productos finales en éstos. 
</v>
      </c>
      <c r="CX44" s="211" t="str">
        <f t="shared" si="15"/>
        <v>N/A</v>
      </c>
      <c r="CY44" s="211" t="str">
        <f t="shared" si="29"/>
        <v>N/A</v>
      </c>
      <c r="CZ44" s="211" t="str">
        <f t="shared" si="16"/>
        <v>N/A</v>
      </c>
      <c r="DA44" s="211" t="str">
        <f t="shared" si="17"/>
        <v>N/A</v>
      </c>
      <c r="DB44" s="211" t="str">
        <f t="shared" si="18"/>
        <v>N/A</v>
      </c>
      <c r="DC44" s="211" t="str">
        <f t="shared" si="19"/>
        <v>N/A</v>
      </c>
      <c r="DD44" s="211" t="str">
        <f t="shared" si="20"/>
        <v>N/A</v>
      </c>
      <c r="DE44" s="211" t="str">
        <f t="shared" si="21"/>
        <v>N/A</v>
      </c>
      <c r="DF44" s="211" t="str">
        <f t="shared" si="22"/>
        <v>N/A</v>
      </c>
    </row>
    <row r="45" spans="1:110" s="211" customFormat="1" ht="280.5">
      <c r="A45" s="348" t="s">
        <v>238</v>
      </c>
      <c r="B45" s="211" t="s">
        <v>140</v>
      </c>
      <c r="C45" s="211" t="s">
        <v>259</v>
      </c>
      <c r="D45" s="211" t="s">
        <v>260</v>
      </c>
      <c r="E45" s="211" t="s">
        <v>261</v>
      </c>
      <c r="F45" s="348" t="s">
        <v>262</v>
      </c>
      <c r="G45" s="211" t="s">
        <v>178</v>
      </c>
      <c r="H45" s="211">
        <v>1</v>
      </c>
      <c r="I45" s="323">
        <v>10</v>
      </c>
      <c r="J45" s="323">
        <v>10</v>
      </c>
      <c r="K45" s="288">
        <v>1</v>
      </c>
      <c r="L45" s="211" t="s">
        <v>3076</v>
      </c>
      <c r="M45" s="211" t="b">
        <v>1</v>
      </c>
      <c r="N45" s="211" t="s">
        <v>263</v>
      </c>
      <c r="O45" s="209" t="s">
        <v>2832</v>
      </c>
      <c r="P45" s="211" t="s">
        <v>159</v>
      </c>
      <c r="Q45" s="211" t="s">
        <v>160</v>
      </c>
      <c r="T45" s="236" t="s">
        <v>266</v>
      </c>
      <c r="U45" s="269"/>
      <c r="V45" s="269"/>
      <c r="W45" s="269"/>
      <c r="X45" s="269">
        <v>1</v>
      </c>
      <c r="Y45" s="269"/>
      <c r="Z45" s="269"/>
      <c r="AA45" s="269">
        <v>2</v>
      </c>
      <c r="AB45" s="269"/>
      <c r="AC45" s="269">
        <v>1</v>
      </c>
      <c r="AD45" s="269"/>
      <c r="AE45" s="269"/>
      <c r="AF45" s="269">
        <v>1</v>
      </c>
      <c r="AG45" s="269">
        <v>5</v>
      </c>
      <c r="AH45"/>
      <c r="AI45"/>
      <c r="AJ45" s="236" t="s">
        <v>266</v>
      </c>
      <c r="AK45" s="269"/>
      <c r="AL45" s="269"/>
      <c r="AM45" s="269"/>
      <c r="AN45" s="269">
        <v>1</v>
      </c>
      <c r="AO45" s="269"/>
      <c r="AP45" s="269"/>
      <c r="AQ45" s="269">
        <v>2</v>
      </c>
      <c r="AR45" s="269"/>
      <c r="AS45" s="269">
        <v>1</v>
      </c>
      <c r="AT45" s="269"/>
      <c r="AU45" s="269"/>
      <c r="AV45" s="269">
        <v>1</v>
      </c>
      <c r="AW45" s="269">
        <v>5</v>
      </c>
      <c r="AX45" s="236"/>
      <c r="AY45" s="236"/>
      <c r="AZ45" s="236"/>
      <c r="BA45" s="239" t="s">
        <v>375</v>
      </c>
      <c r="BB45" s="240">
        <f t="shared" si="30"/>
        <v>0</v>
      </c>
      <c r="BC45" s="240">
        <f t="shared" si="31"/>
        <v>0</v>
      </c>
      <c r="BD45" s="240">
        <f t="shared" si="32"/>
        <v>1</v>
      </c>
      <c r="BE45" s="240">
        <f t="shared" si="33"/>
        <v>0</v>
      </c>
      <c r="BF45" s="240">
        <f t="shared" si="34"/>
        <v>0</v>
      </c>
      <c r="BG45" s="240">
        <f t="shared" si="35"/>
        <v>4</v>
      </c>
      <c r="BH45" s="240">
        <f t="shared" si="36"/>
        <v>0</v>
      </c>
      <c r="BI45" s="240">
        <f t="shared" si="37"/>
        <v>0</v>
      </c>
      <c r="BJ45" s="240">
        <f t="shared" si="38"/>
        <v>1</v>
      </c>
      <c r="BK45" s="240">
        <f t="shared" si="23"/>
        <v>0</v>
      </c>
      <c r="BL45" s="240">
        <f t="shared" si="24"/>
        <v>0</v>
      </c>
      <c r="BM45" s="240">
        <f t="shared" si="25"/>
        <v>4</v>
      </c>
      <c r="BN45" s="211">
        <f t="shared" si="39"/>
        <v>0</v>
      </c>
      <c r="BO45" s="236">
        <f t="shared" si="40"/>
        <v>0</v>
      </c>
      <c r="BP45" s="236">
        <f t="shared" si="41"/>
        <v>1</v>
      </c>
      <c r="BQ45" s="236">
        <f t="shared" si="42"/>
        <v>0</v>
      </c>
      <c r="BR45" s="236">
        <f t="shared" si="43"/>
        <v>0</v>
      </c>
      <c r="BS45" s="236">
        <f t="shared" si="44"/>
        <v>5</v>
      </c>
      <c r="BT45" s="236">
        <f t="shared" si="45"/>
        <v>0</v>
      </c>
      <c r="BU45" s="236">
        <f t="shared" si="46"/>
        <v>0</v>
      </c>
      <c r="BV45" s="236">
        <f t="shared" si="47"/>
        <v>1</v>
      </c>
      <c r="BW45" s="236">
        <f t="shared" si="26"/>
        <v>0</v>
      </c>
      <c r="BX45" s="236">
        <f t="shared" si="27"/>
        <v>0</v>
      </c>
      <c r="BY45" s="236">
        <f t="shared" si="28"/>
        <v>5</v>
      </c>
      <c r="BZ45" s="236"/>
      <c r="CA45" s="275" t="s">
        <v>642</v>
      </c>
      <c r="CB45" s="272" t="str">
        <f t="shared" si="48"/>
        <v>N/A</v>
      </c>
      <c r="CC45" s="272" t="str">
        <f t="shared" si="49"/>
        <v>N/A</v>
      </c>
      <c r="CD45" s="272" t="str">
        <f t="shared" si="50"/>
        <v>N/A</v>
      </c>
      <c r="CE45" s="284" t="str">
        <f t="shared" si="51"/>
        <v>N/A</v>
      </c>
      <c r="CF45" s="284" t="str">
        <f t="shared" si="52"/>
        <v>N/A</v>
      </c>
      <c r="CG45" s="284" t="str">
        <f t="shared" si="53"/>
        <v xml:space="preserve"> En cumplimiento de las metas programadas por la DOLTS_GF SNS en el cronograma de actividades del Plan Anual de Gestión - PAG del mes junio de 2025, donde se incluyeron sesenta y cinco (65) caracterizaciones individuales de los “nuevos” Gestores Farmacéuticos identificados por la Dirección de Innovación y Desarrollo de los años 2023 y 2024, se anaxan las evidencias documentales de las actuaciones adelantadas por el Grupo Interno Financiero de esta Delegatura. De esta manera se da cumpliemiento al 100% de lo propuesto para el mes de junio 2025.
</v>
      </c>
      <c r="CH45" s="272" t="str">
        <f t="shared" si="54"/>
        <v>N/A</v>
      </c>
      <c r="CI45" s="211" t="str">
        <f t="shared" si="55"/>
        <v>N/A</v>
      </c>
      <c r="CJ45" s="211" t="str">
        <f t="shared" si="56"/>
        <v>N/A</v>
      </c>
      <c r="CK45" s="211" t="str">
        <f t="shared" si="57"/>
        <v>N/A</v>
      </c>
      <c r="CL45" s="211" t="str">
        <f t="shared" si="58"/>
        <v>N/A</v>
      </c>
      <c r="CM45" s="211" t="str">
        <f t="shared" si="59"/>
        <v>N/A</v>
      </c>
      <c r="CO45" s="211" t="s">
        <v>238</v>
      </c>
      <c r="CP45" s="211" t="s">
        <v>140</v>
      </c>
      <c r="CQ45" s="211" t="s">
        <v>259</v>
      </c>
      <c r="CR45" s="211" t="s">
        <v>260</v>
      </c>
      <c r="CS45" s="211" t="s">
        <v>3076</v>
      </c>
      <c r="CT45" s="211" t="s">
        <v>259</v>
      </c>
      <c r="CU45" s="211" t="str">
        <f t="shared" si="12"/>
        <v>N/A</v>
      </c>
      <c r="CV45" s="211" t="str">
        <f t="shared" si="13"/>
        <v>N/A</v>
      </c>
      <c r="CW45" s="211" t="str">
        <f t="shared" si="14"/>
        <v xml:space="preserve">Durante el primer trimestre del año se adelantaron mesas de trabajo orientadas a la construcción y ajuste de metodologías, lineamientos y proyectos de circular. Estas acciones buscan fortalecer la gestión institucional y brindar herramientas claras a los vigilados para el cumplimiento de sus obligaciones. A continuación, se relacionan los documentos que se encuentran en desarrollo o en proceso de ajuste:Expedición Circular de Datos GeneralesExpedición Circular 001 Proyecto Circular FT015Proyecto Circular 011Proyecto Circular ADRESProyecto Circular de AutorizacionesProyecto Circular GAUDIProyecto Circular SIARCMetodologías de Reclamos en SaludPolítica de Vejez - acciones SNS
Cabe resaltar que estos documentos continúan en proceso de trabajo y ajustes.
</v>
      </c>
      <c r="CX45" s="211" t="str">
        <f t="shared" si="15"/>
        <v>N/A</v>
      </c>
      <c r="CY45" s="211" t="str">
        <f t="shared" si="29"/>
        <v>N/A</v>
      </c>
      <c r="CZ45" s="211" t="str">
        <f t="shared" si="16"/>
        <v>N/A</v>
      </c>
      <c r="DA45" s="211" t="str">
        <f t="shared" si="17"/>
        <v>N/A</v>
      </c>
      <c r="DB45" s="211" t="str">
        <f t="shared" si="18"/>
        <v>N/A</v>
      </c>
      <c r="DC45" s="211" t="str">
        <f t="shared" si="19"/>
        <v>N/A</v>
      </c>
      <c r="DD45" s="211" t="str">
        <f t="shared" si="20"/>
        <v>N/A</v>
      </c>
      <c r="DE45" s="211" t="str">
        <f t="shared" si="21"/>
        <v>N/A</v>
      </c>
      <c r="DF45" s="211" t="str">
        <f t="shared" si="22"/>
        <v>N/A</v>
      </c>
    </row>
    <row r="46" spans="1:110" s="211" customFormat="1" ht="331.5">
      <c r="A46" s="348" t="s">
        <v>238</v>
      </c>
      <c r="B46" s="211" t="s">
        <v>140</v>
      </c>
      <c r="C46" s="211" t="s">
        <v>358</v>
      </c>
      <c r="D46" s="211" t="s">
        <v>516</v>
      </c>
      <c r="E46" s="211" t="s">
        <v>517</v>
      </c>
      <c r="F46" s="348" t="s">
        <v>518</v>
      </c>
      <c r="G46" s="211" t="s">
        <v>157</v>
      </c>
      <c r="H46" s="211">
        <v>0.5</v>
      </c>
      <c r="I46" s="323">
        <v>0.5</v>
      </c>
      <c r="J46" s="323" t="s">
        <v>2953</v>
      </c>
      <c r="K46" s="288">
        <v>1</v>
      </c>
      <c r="L46" s="211" t="s">
        <v>519</v>
      </c>
      <c r="M46" s="211" t="b">
        <v>0</v>
      </c>
      <c r="O46" s="209" t="s">
        <v>2832</v>
      </c>
      <c r="P46" s="211" t="s">
        <v>159</v>
      </c>
      <c r="Q46" s="211" t="s">
        <v>160</v>
      </c>
      <c r="T46" s="236" t="s">
        <v>191</v>
      </c>
      <c r="U46" s="269"/>
      <c r="V46" s="269"/>
      <c r="W46" s="269">
        <v>1875</v>
      </c>
      <c r="X46" s="269"/>
      <c r="Y46" s="269"/>
      <c r="Z46" s="269">
        <v>5182</v>
      </c>
      <c r="AA46" s="269"/>
      <c r="AB46" s="269"/>
      <c r="AC46" s="269">
        <v>8246</v>
      </c>
      <c r="AD46" s="269"/>
      <c r="AE46" s="269"/>
      <c r="AF46" s="269">
        <v>11870</v>
      </c>
      <c r="AG46" s="269">
        <v>27173</v>
      </c>
      <c r="AH46"/>
      <c r="AI46"/>
      <c r="AJ46" s="236" t="s">
        <v>191</v>
      </c>
      <c r="AK46" s="269"/>
      <c r="AL46" s="269"/>
      <c r="AM46" s="269">
        <v>1927</v>
      </c>
      <c r="AN46" s="269"/>
      <c r="AO46" s="269"/>
      <c r="AP46" s="269">
        <v>5233</v>
      </c>
      <c r="AQ46" s="269"/>
      <c r="AR46" s="269"/>
      <c r="AS46" s="269">
        <v>9640</v>
      </c>
      <c r="AT46" s="269"/>
      <c r="AU46" s="269"/>
      <c r="AV46" s="269">
        <v>11948</v>
      </c>
      <c r="AW46" s="269">
        <v>28748</v>
      </c>
      <c r="AX46" s="236"/>
      <c r="AY46" s="236"/>
      <c r="AZ46" s="236"/>
      <c r="BA46" s="239" t="s">
        <v>380</v>
      </c>
      <c r="BB46" s="240">
        <f t="shared" si="30"/>
        <v>0</v>
      </c>
      <c r="BC46" s="240">
        <f t="shared" si="31"/>
        <v>0</v>
      </c>
      <c r="BD46" s="240">
        <f t="shared" si="32"/>
        <v>1</v>
      </c>
      <c r="BE46" s="240">
        <f t="shared" si="33"/>
        <v>0</v>
      </c>
      <c r="BF46" s="240">
        <f t="shared" si="34"/>
        <v>0</v>
      </c>
      <c r="BG46" s="240">
        <f t="shared" si="35"/>
        <v>3</v>
      </c>
      <c r="BH46" s="240">
        <f t="shared" si="36"/>
        <v>0</v>
      </c>
      <c r="BI46" s="240">
        <f t="shared" si="37"/>
        <v>0</v>
      </c>
      <c r="BJ46" s="240">
        <f t="shared" si="38"/>
        <v>4</v>
      </c>
      <c r="BK46" s="240">
        <f t="shared" si="23"/>
        <v>0</v>
      </c>
      <c r="BL46" s="240">
        <f t="shared" si="24"/>
        <v>0</v>
      </c>
      <c r="BM46" s="240">
        <f t="shared" si="25"/>
        <v>8</v>
      </c>
      <c r="BN46" s="211">
        <f t="shared" si="39"/>
        <v>0</v>
      </c>
      <c r="BO46" s="236">
        <f t="shared" si="40"/>
        <v>0</v>
      </c>
      <c r="BP46" s="236">
        <f t="shared" si="41"/>
        <v>8</v>
      </c>
      <c r="BQ46" s="236">
        <f t="shared" si="42"/>
        <v>0</v>
      </c>
      <c r="BR46" s="236">
        <f t="shared" si="43"/>
        <v>0</v>
      </c>
      <c r="BS46" s="236">
        <f t="shared" si="44"/>
        <v>8</v>
      </c>
      <c r="BT46" s="236">
        <f t="shared" si="45"/>
        <v>0</v>
      </c>
      <c r="BU46" s="236">
        <f t="shared" si="46"/>
        <v>0</v>
      </c>
      <c r="BV46" s="236">
        <f t="shared" si="47"/>
        <v>8</v>
      </c>
      <c r="BW46" s="236">
        <f t="shared" si="26"/>
        <v>0</v>
      </c>
      <c r="BX46" s="236">
        <f t="shared" si="27"/>
        <v>0</v>
      </c>
      <c r="BY46" s="236">
        <f t="shared" si="28"/>
        <v>8</v>
      </c>
      <c r="BZ46" s="236"/>
      <c r="CA46" s="275" t="s">
        <v>602</v>
      </c>
      <c r="CB46" s="272" t="str">
        <f t="shared" si="48"/>
        <v>N/A</v>
      </c>
      <c r="CC46" s="272" t="str">
        <f t="shared" si="49"/>
        <v>N/A</v>
      </c>
      <c r="CD46" s="272" t="str">
        <f t="shared" si="50"/>
        <v>N/A</v>
      </c>
      <c r="CE46" s="284" t="str">
        <f t="shared" si="51"/>
        <v>N/A</v>
      </c>
      <c r="CF46" s="284" t="str">
        <f t="shared" si="52"/>
        <v xml:space="preserve">​ Para dar cumplimiento a la Actividades de IVC a Gestores Farmacéuticos objeto de supervisión en el marco del proceso de operación inicial de la Supervisión Basada en Riesgos se programó para los días 28 y 29 de mayo en la ciudad de Bucaramanga, en el contexto de la Mesa Técnica para los departamentos de Santander y Norte de Santander. Teniendo en cuenta la convocatoria de Paro Nacional anunciada por las Centrales Obreras para los días 28 y 29 de mayo, esta actividad será reprogramada.
</v>
      </c>
      <c r="CG46" s="284" t="str">
        <f t="shared" si="53"/>
        <v>N/A</v>
      </c>
      <c r="CH46" s="272" t="str">
        <f t="shared" si="54"/>
        <v>N/A</v>
      </c>
      <c r="CI46" s="211" t="str">
        <f t="shared" si="55"/>
        <v>N/A</v>
      </c>
      <c r="CJ46" s="211" t="str">
        <f t="shared" si="56"/>
        <v>N/A</v>
      </c>
      <c r="CK46" s="211" t="str">
        <f t="shared" si="57"/>
        <v>N/A</v>
      </c>
      <c r="CL46" s="211" t="str">
        <f t="shared" si="58"/>
        <v>N/A</v>
      </c>
      <c r="CM46" s="211" t="str">
        <f t="shared" si="59"/>
        <v>N/A</v>
      </c>
      <c r="CO46" s="211" t="s">
        <v>238</v>
      </c>
      <c r="CP46" s="211" t="s">
        <v>140</v>
      </c>
      <c r="CQ46" s="211" t="s">
        <v>358</v>
      </c>
      <c r="CR46" s="211" t="s">
        <v>516</v>
      </c>
      <c r="CS46" s="211" t="s">
        <v>519</v>
      </c>
      <c r="CT46" s="211" t="s">
        <v>358</v>
      </c>
      <c r="CU46" s="211" t="str">
        <f t="shared" si="12"/>
        <v>N/A</v>
      </c>
      <c r="CV46" s="211" t="str">
        <f t="shared" si="13"/>
        <v>N/A</v>
      </c>
      <c r="CW46" s="211" t="str">
        <f t="shared" si="14"/>
        <v xml:space="preserve">Durante el periodo reportado, se avanzó significativamente en el diseño del Programa de Gestión del Conocimiento y de la Innovación para la vigencia 2025, el cual constituye uno de los componentes estratégicos de la Superintendencia Nacional de Salud. Este instrumento articula de manera estructurada las acciones orientadas a la implementación y sostenibilidad de la política de gestión y desempeño institucional en materia de conocimiento e innovación.
Este programa incluye líneas de acción concretas relacionadas con procesos de capacitación técnica y misional, estrategias orientadas al fortalecimiento del desempeño institucional en el marco de la medición FURAG, la formulación y seguimiento de indicadores de innovación, así como el desarrollo de actividades para la articulación interdependencias. Además, se han identificado temáticas prioritarias para la formulación de proyectos que permitan movilizar capacidades internas y aprovechar el conocimiento existente, contribuyendo de forma directa a la mejora continua de la gestión pública en salud.
</v>
      </c>
      <c r="CX46" s="211" t="str">
        <f t="shared" si="15"/>
        <v>N/A</v>
      </c>
      <c r="CY46" s="211" t="str">
        <f t="shared" si="29"/>
        <v>N/A</v>
      </c>
      <c r="CZ46" s="211" t="str">
        <f t="shared" si="16"/>
        <v>N/A</v>
      </c>
      <c r="DA46" s="211" t="str">
        <f t="shared" si="17"/>
        <v>N/A</v>
      </c>
      <c r="DB46" s="211" t="str">
        <f t="shared" si="18"/>
        <v>N/A</v>
      </c>
      <c r="DC46" s="211" t="str">
        <f t="shared" si="19"/>
        <v>N/A</v>
      </c>
      <c r="DD46" s="211" t="str">
        <f t="shared" si="20"/>
        <v>N/A</v>
      </c>
      <c r="DE46" s="211" t="str">
        <f t="shared" si="21"/>
        <v>N/A</v>
      </c>
      <c r="DF46" s="211" t="str">
        <f t="shared" si="22"/>
        <v>N/A</v>
      </c>
    </row>
    <row r="47" spans="1:110" s="211" customFormat="1" ht="382.5">
      <c r="A47" s="348" t="s">
        <v>238</v>
      </c>
      <c r="B47" s="211" t="s">
        <v>140</v>
      </c>
      <c r="C47" s="211" t="s">
        <v>371</v>
      </c>
      <c r="D47" s="211" t="s">
        <v>521</v>
      </c>
      <c r="E47" s="211" t="s">
        <v>522</v>
      </c>
      <c r="F47" s="348" t="s">
        <v>523</v>
      </c>
      <c r="G47" s="211" t="s">
        <v>178</v>
      </c>
      <c r="H47" s="211">
        <v>8</v>
      </c>
      <c r="I47" s="433">
        <v>7</v>
      </c>
      <c r="J47" s="323">
        <v>8</v>
      </c>
      <c r="K47" s="288">
        <v>1</v>
      </c>
      <c r="L47" s="211" t="s">
        <v>3114</v>
      </c>
      <c r="M47" s="211" t="b">
        <v>1</v>
      </c>
      <c r="N47" s="211" t="s">
        <v>524</v>
      </c>
      <c r="O47" s="209" t="s">
        <v>2832</v>
      </c>
      <c r="P47" s="211" t="s">
        <v>159</v>
      </c>
      <c r="Q47" s="211" t="s">
        <v>160</v>
      </c>
      <c r="T47" s="236" t="s">
        <v>397</v>
      </c>
      <c r="U47" s="269"/>
      <c r="V47" s="269"/>
      <c r="W47" s="269"/>
      <c r="X47" s="269"/>
      <c r="Y47" s="269"/>
      <c r="Z47" s="269">
        <v>1</v>
      </c>
      <c r="AA47" s="269"/>
      <c r="AB47" s="269"/>
      <c r="AC47" s="269"/>
      <c r="AD47" s="269"/>
      <c r="AE47" s="269"/>
      <c r="AF47" s="269">
        <v>1</v>
      </c>
      <c r="AG47" s="269">
        <v>2</v>
      </c>
      <c r="AH47"/>
      <c r="AI47"/>
      <c r="AJ47" s="236" t="s">
        <v>397</v>
      </c>
      <c r="AK47" s="269"/>
      <c r="AL47" s="269"/>
      <c r="AM47" s="269"/>
      <c r="AN47" s="269"/>
      <c r="AO47" s="269"/>
      <c r="AP47" s="269">
        <v>1</v>
      </c>
      <c r="AQ47" s="269"/>
      <c r="AR47" s="269"/>
      <c r="AS47" s="269"/>
      <c r="AT47" s="269"/>
      <c r="AU47" s="269"/>
      <c r="AV47" s="269">
        <v>1</v>
      </c>
      <c r="AW47" s="269">
        <v>2</v>
      </c>
      <c r="AX47" s="236"/>
      <c r="AY47" s="236"/>
      <c r="AZ47" s="236"/>
      <c r="BA47" s="239" t="s">
        <v>266</v>
      </c>
      <c r="BB47" s="240">
        <f t="shared" si="30"/>
        <v>0</v>
      </c>
      <c r="BC47" s="240">
        <f t="shared" si="31"/>
        <v>0</v>
      </c>
      <c r="BD47" s="240">
        <f t="shared" si="32"/>
        <v>0</v>
      </c>
      <c r="BE47" s="240">
        <f t="shared" si="33"/>
        <v>1</v>
      </c>
      <c r="BF47" s="240">
        <f t="shared" si="34"/>
        <v>0</v>
      </c>
      <c r="BG47" s="240">
        <f t="shared" si="35"/>
        <v>0</v>
      </c>
      <c r="BH47" s="240">
        <f t="shared" si="36"/>
        <v>2</v>
      </c>
      <c r="BI47" s="240">
        <f t="shared" si="37"/>
        <v>0</v>
      </c>
      <c r="BJ47" s="240">
        <f t="shared" si="38"/>
        <v>1</v>
      </c>
      <c r="BK47" s="240">
        <f t="shared" si="23"/>
        <v>0</v>
      </c>
      <c r="BL47" s="240">
        <f t="shared" si="24"/>
        <v>0</v>
      </c>
      <c r="BM47" s="240">
        <f t="shared" si="25"/>
        <v>1</v>
      </c>
      <c r="BN47" s="211">
        <f t="shared" si="39"/>
        <v>0</v>
      </c>
      <c r="BO47" s="236">
        <f t="shared" si="40"/>
        <v>0</v>
      </c>
      <c r="BP47" s="236">
        <f t="shared" si="41"/>
        <v>0</v>
      </c>
      <c r="BQ47" s="236">
        <f t="shared" si="42"/>
        <v>1</v>
      </c>
      <c r="BR47" s="236">
        <f t="shared" si="43"/>
        <v>0</v>
      </c>
      <c r="BS47" s="236">
        <f t="shared" si="44"/>
        <v>0</v>
      </c>
      <c r="BT47" s="236">
        <f t="shared" si="45"/>
        <v>2</v>
      </c>
      <c r="BU47" s="236">
        <f t="shared" si="46"/>
        <v>0</v>
      </c>
      <c r="BV47" s="236">
        <f t="shared" si="47"/>
        <v>1</v>
      </c>
      <c r="BW47" s="236">
        <f t="shared" si="26"/>
        <v>0</v>
      </c>
      <c r="BX47" s="236">
        <f t="shared" si="27"/>
        <v>0</v>
      </c>
      <c r="BY47" s="236">
        <f t="shared" si="28"/>
        <v>1</v>
      </c>
      <c r="BZ47" s="236"/>
      <c r="CA47" s="275" t="s">
        <v>575</v>
      </c>
      <c r="CB47" s="272" t="str">
        <f t="shared" si="48"/>
        <v>N/A</v>
      </c>
      <c r="CC47" s="272" t="str">
        <f t="shared" si="49"/>
        <v>N/A</v>
      </c>
      <c r="CD47" s="272" t="str">
        <f t="shared" si="50"/>
        <v>N/A</v>
      </c>
      <c r="CE47" s="284" t="str">
        <f t="shared" si="51"/>
        <v xml:space="preserve">​En  el periodo de enero a   abril del 2025, el  90,10% (828)  de los tramites presentados por los grupos   de valor o de interés a la Delegada para Operadores Logísticos de Tecnologías   en Salud y Gestores Farmacéuticos    fueron tramitados  y  finalizados y  el    9,9 % (91)  se encuentran en   desarrollo.
     Es importante indicar que aunque no se cumplio con el objetivo, la   DOLTS_GF, para el primer cuatrimestres del 2025 presento un incremento de 439   reclamos en comparación con el año anterior    y  asi mismo el número de   funcioarios se encuentra disminuido con respecto al año anterior
</v>
      </c>
      <c r="CF47" s="284" t="str">
        <f t="shared" si="52"/>
        <v>N/A</v>
      </c>
      <c r="CG47" s="284" t="str">
        <f t="shared" si="53"/>
        <v>N/A</v>
      </c>
      <c r="CH47" s="272" t="str">
        <f t="shared" si="54"/>
        <v>N/A</v>
      </c>
      <c r="CI47" s="211" t="str">
        <f t="shared" si="55"/>
        <v>N/A</v>
      </c>
      <c r="CJ47" s="211" t="str">
        <f t="shared" si="56"/>
        <v>N/A</v>
      </c>
      <c r="CK47" s="211" t="str">
        <f t="shared" si="57"/>
        <v>N/A</v>
      </c>
      <c r="CL47" s="211" t="str">
        <f t="shared" si="58"/>
        <v>N/A</v>
      </c>
      <c r="CM47" s="211" t="str">
        <f t="shared" si="59"/>
        <v>N/A</v>
      </c>
      <c r="CO47" s="211" t="s">
        <v>238</v>
      </c>
      <c r="CP47" s="211" t="s">
        <v>140</v>
      </c>
      <c r="CQ47" s="211" t="s">
        <v>371</v>
      </c>
      <c r="CR47" s="211" t="s">
        <v>521</v>
      </c>
      <c r="CS47" s="211" t="s">
        <v>3114</v>
      </c>
      <c r="CT47" s="211" t="s">
        <v>371</v>
      </c>
      <c r="CU47" s="211" t="str">
        <f t="shared" si="12"/>
        <v>N/A</v>
      </c>
      <c r="CV47" s="211" t="str">
        <f t="shared" si="13"/>
        <v>N/A</v>
      </c>
      <c r="CW47" s="211" t="str">
        <f t="shared" si="14"/>
        <v>Porcentaje de avance en el cumplimiento del Plan Estratégico de Tecnologías de la Información y las Comunicaciones PETI.
Para el primer trimestre se tenían programadas 8 actividades de las cuales se cumplieron las 8 actividades. 
Fortalecimiento de los sistemas de información misionales, con un enfoque en la integración e interoperabilidad de datos e informaciónImpulsar la Seguridad digital a través de la adopción del modelo de seguridad y privacidad de la información y de la implementación de un SGSI para la entidad.Fortalecer la seguridad de la información a través de la implementación de controles de seguridad informática y ciberseguridad.Fortalecer la implementación de los controles de protección de datos personales a través de un programa de protección y la adopción de las políticas PDP y privacidad.Fortalecer las funciones de IVC de la SNS a través de la implementación de procedimientos y controles de auditoría a sistemas de información, cadena de custodia y Laboratorio ForenseOptimización de la gestión de la infraestructura tecnológicaFortalecer las capacidades para consolidar iniciativas y alianzas en la Política de Gobierno DigitalImplementación del Plan de formación y capacitación de Tecnologías de la Información y Comunicación (TIC).</v>
      </c>
      <c r="CX47" s="211" t="str">
        <f t="shared" si="15"/>
        <v>N/A</v>
      </c>
      <c r="CY47" s="211" t="str">
        <f t="shared" si="29"/>
        <v>N/A</v>
      </c>
      <c r="CZ47" s="211" t="str">
        <f t="shared" si="16"/>
        <v>N/A</v>
      </c>
      <c r="DA47" s="211" t="str">
        <f t="shared" si="17"/>
        <v>N/A</v>
      </c>
      <c r="DB47" s="211" t="str">
        <f t="shared" si="18"/>
        <v>N/A</v>
      </c>
      <c r="DC47" s="211" t="str">
        <f t="shared" si="19"/>
        <v>N/A</v>
      </c>
      <c r="DD47" s="211" t="str">
        <f t="shared" si="20"/>
        <v>N/A</v>
      </c>
      <c r="DE47" s="211" t="str">
        <f t="shared" si="21"/>
        <v>N/A</v>
      </c>
      <c r="DF47" s="211" t="str">
        <f t="shared" si="22"/>
        <v>N/A</v>
      </c>
    </row>
    <row r="48" spans="1:110" s="211" customFormat="1" ht="242.25">
      <c r="A48" s="348" t="s">
        <v>238</v>
      </c>
      <c r="B48" s="211" t="s">
        <v>140</v>
      </c>
      <c r="C48" s="211" t="s">
        <v>375</v>
      </c>
      <c r="D48" s="211" t="s">
        <v>521</v>
      </c>
      <c r="E48" s="211" t="s">
        <v>526</v>
      </c>
      <c r="F48" s="348" t="s">
        <v>527</v>
      </c>
      <c r="G48" s="211" t="s">
        <v>178</v>
      </c>
      <c r="H48" s="211">
        <v>1</v>
      </c>
      <c r="I48" s="433">
        <v>1</v>
      </c>
      <c r="J48" s="433">
        <v>1</v>
      </c>
      <c r="K48" s="288">
        <v>1</v>
      </c>
      <c r="L48" s="211" t="s">
        <v>3115</v>
      </c>
      <c r="M48" s="211" t="b">
        <v>1</v>
      </c>
      <c r="N48" s="211" t="s">
        <v>528</v>
      </c>
      <c r="O48" s="209" t="s">
        <v>2832</v>
      </c>
      <c r="P48" s="211" t="s">
        <v>159</v>
      </c>
      <c r="Q48" s="211" t="s">
        <v>160</v>
      </c>
      <c r="T48" s="236" t="s">
        <v>398</v>
      </c>
      <c r="U48" s="269"/>
      <c r="V48" s="269"/>
      <c r="W48" s="269">
        <v>148567</v>
      </c>
      <c r="X48" s="269"/>
      <c r="Y48" s="269"/>
      <c r="Z48" s="269">
        <v>139528</v>
      </c>
      <c r="AA48" s="269"/>
      <c r="AB48" s="269"/>
      <c r="AC48" s="269">
        <v>151444</v>
      </c>
      <c r="AD48" s="269"/>
      <c r="AE48" s="269"/>
      <c r="AF48" s="269">
        <v>43472</v>
      </c>
      <c r="AG48" s="269">
        <v>483011</v>
      </c>
      <c r="AH48"/>
      <c r="AI48"/>
      <c r="AJ48" s="236" t="s">
        <v>398</v>
      </c>
      <c r="AK48" s="269"/>
      <c r="AL48" s="269"/>
      <c r="AM48" s="269">
        <v>149479</v>
      </c>
      <c r="AN48" s="269"/>
      <c r="AO48" s="269"/>
      <c r="AP48" s="269">
        <v>140427</v>
      </c>
      <c r="AQ48" s="269"/>
      <c r="AR48" s="269"/>
      <c r="AS48" s="269">
        <v>153689</v>
      </c>
      <c r="AT48" s="269"/>
      <c r="AU48" s="269"/>
      <c r="AV48" s="269">
        <v>43767</v>
      </c>
      <c r="AW48" s="269">
        <v>487362</v>
      </c>
      <c r="AX48" s="236"/>
      <c r="AY48" s="236"/>
      <c r="AZ48" s="236"/>
      <c r="BA48" s="239" t="s">
        <v>1245</v>
      </c>
      <c r="BB48" s="240">
        <f t="shared" si="30"/>
        <v>0</v>
      </c>
      <c r="BC48" s="240">
        <f t="shared" si="31"/>
        <v>0</v>
      </c>
      <c r="BD48" s="240">
        <f t="shared" si="32"/>
        <v>0</v>
      </c>
      <c r="BE48" s="240">
        <f t="shared" si="33"/>
        <v>0</v>
      </c>
      <c r="BF48" s="240">
        <f t="shared" si="34"/>
        <v>0</v>
      </c>
      <c r="BG48" s="240">
        <f t="shared" si="35"/>
        <v>0</v>
      </c>
      <c r="BH48" s="240">
        <f t="shared" si="36"/>
        <v>0</v>
      </c>
      <c r="BI48" s="240">
        <f t="shared" si="37"/>
        <v>0</v>
      </c>
      <c r="BJ48" s="240">
        <f t="shared" si="38"/>
        <v>1</v>
      </c>
      <c r="BK48" s="240">
        <f t="shared" si="23"/>
        <v>0</v>
      </c>
      <c r="BL48" s="240">
        <f t="shared" si="24"/>
        <v>0</v>
      </c>
      <c r="BM48" s="240">
        <f t="shared" si="25"/>
        <v>0</v>
      </c>
      <c r="BN48" s="211">
        <f t="shared" si="39"/>
        <v>0</v>
      </c>
      <c r="BO48" s="236">
        <f t="shared" si="40"/>
        <v>0</v>
      </c>
      <c r="BP48" s="236">
        <f t="shared" si="41"/>
        <v>0</v>
      </c>
      <c r="BQ48" s="236">
        <f t="shared" si="42"/>
        <v>0</v>
      </c>
      <c r="BR48" s="236">
        <f t="shared" si="43"/>
        <v>0</v>
      </c>
      <c r="BS48" s="236">
        <f t="shared" si="44"/>
        <v>0</v>
      </c>
      <c r="BT48" s="236">
        <f t="shared" si="45"/>
        <v>0</v>
      </c>
      <c r="BU48" s="236">
        <f t="shared" si="46"/>
        <v>0</v>
      </c>
      <c r="BV48" s="236">
        <f t="shared" si="47"/>
        <v>1</v>
      </c>
      <c r="BW48" s="236">
        <f t="shared" si="26"/>
        <v>0</v>
      </c>
      <c r="BX48" s="236">
        <f t="shared" si="27"/>
        <v>0</v>
      </c>
      <c r="BY48" s="236">
        <f t="shared" si="28"/>
        <v>0</v>
      </c>
      <c r="BZ48" s="236"/>
      <c r="CA48" s="275" t="s">
        <v>579</v>
      </c>
      <c r="CB48" s="272" t="str">
        <f t="shared" si="48"/>
        <v>N/A</v>
      </c>
      <c r="CC48" s="272" t="str">
        <f t="shared" si="49"/>
        <v>N/A</v>
      </c>
      <c r="CD48" s="272" t="str">
        <f t="shared" si="50"/>
        <v>N/A</v>
      </c>
      <c r="CE48" s="284" t="str">
        <f t="shared" si="51"/>
        <v xml:space="preserve">​En  el periodo de enero a   abril del 2025,  el 96,23% (102) de   los   reclamos en salud relacionados   con  falta de oportunidad en la entrega   o entrega incompleta de Tecnologías en salud    fueron  tramitados y  finalizados y el 3,77% (4)  se encuentran en desarrollo.   
</v>
      </c>
      <c r="CF48" s="284" t="str">
        <f t="shared" si="52"/>
        <v>N/A</v>
      </c>
      <c r="CG48" s="284" t="str">
        <f t="shared" si="53"/>
        <v>N/A</v>
      </c>
      <c r="CH48" s="272" t="str">
        <f t="shared" si="54"/>
        <v>N/A</v>
      </c>
      <c r="CI48" s="211" t="str">
        <f t="shared" si="55"/>
        <v>N/A</v>
      </c>
      <c r="CJ48" s="211" t="str">
        <f t="shared" si="56"/>
        <v>N/A</v>
      </c>
      <c r="CK48" s="211" t="str">
        <f t="shared" si="57"/>
        <v>N/A</v>
      </c>
      <c r="CL48" s="211" t="str">
        <f t="shared" si="58"/>
        <v>N/A</v>
      </c>
      <c r="CM48" s="211" t="str">
        <f t="shared" si="59"/>
        <v>N/A</v>
      </c>
      <c r="CO48" s="211" t="s">
        <v>238</v>
      </c>
      <c r="CP48" s="211" t="s">
        <v>140</v>
      </c>
      <c r="CQ48" s="211" t="s">
        <v>375</v>
      </c>
      <c r="CR48" s="211" t="s">
        <v>521</v>
      </c>
      <c r="CS48" s="211" t="s">
        <v>3115</v>
      </c>
      <c r="CT48" s="211" t="s">
        <v>375</v>
      </c>
      <c r="CU48" s="211" t="str">
        <f t="shared" si="12"/>
        <v>N/A</v>
      </c>
      <c r="CV48" s="211" t="str">
        <f t="shared" si="13"/>
        <v>N/A</v>
      </c>
      <c r="CW48" s="211" t="str">
        <f t="shared" si="14"/>
        <v>Porcentaje de actividades ejecutadas en cumplimiento del Plan de Seguridad y Privacidad de la Información y Seguridad Digital
Para el primer trimestre se tenía programada 1 actividad la cual se cumplió. 
Socialización de lineamientos y Herramienta - Gestión de Riesgos de Seguridad y privacidad de la Información y Seguridad Digital
Evidencia: Se adjunta formato DEFT04 con la gestión realizada y los link con los informes realizados para cada actividad</v>
      </c>
      <c r="CX48" s="211" t="str">
        <f t="shared" si="15"/>
        <v>N/A</v>
      </c>
      <c r="CY48" s="211" t="str">
        <f t="shared" si="29"/>
        <v>N/A</v>
      </c>
      <c r="CZ48" s="211" t="str">
        <f t="shared" si="16"/>
        <v>N/A</v>
      </c>
      <c r="DA48" s="211" t="str">
        <f t="shared" si="17"/>
        <v>N/A</v>
      </c>
      <c r="DB48" s="211" t="str">
        <f t="shared" si="18"/>
        <v>N/A</v>
      </c>
      <c r="DC48" s="211" t="str">
        <f t="shared" si="19"/>
        <v>N/A</v>
      </c>
      <c r="DD48" s="211" t="str">
        <f t="shared" si="20"/>
        <v>N/A</v>
      </c>
      <c r="DE48" s="211" t="str">
        <f t="shared" si="21"/>
        <v>N/A</v>
      </c>
      <c r="DF48" s="211" t="str">
        <f t="shared" si="22"/>
        <v>N/A</v>
      </c>
    </row>
    <row r="49" spans="1:110" s="211" customFormat="1" ht="242.25">
      <c r="A49" s="348" t="s">
        <v>238</v>
      </c>
      <c r="B49" s="211" t="s">
        <v>140</v>
      </c>
      <c r="C49" s="211" t="s">
        <v>380</v>
      </c>
      <c r="D49" s="211" t="s">
        <v>521</v>
      </c>
      <c r="E49" s="211" t="s">
        <v>530</v>
      </c>
      <c r="F49" s="348" t="s">
        <v>531</v>
      </c>
      <c r="G49" s="211" t="s">
        <v>2807</v>
      </c>
      <c r="H49" s="211">
        <v>1</v>
      </c>
      <c r="I49" s="323">
        <v>1</v>
      </c>
      <c r="J49" s="323">
        <v>8</v>
      </c>
      <c r="K49" s="288">
        <v>0.125</v>
      </c>
      <c r="L49" s="211" t="s">
        <v>3116</v>
      </c>
      <c r="M49" s="211" t="b">
        <v>1</v>
      </c>
      <c r="N49" s="211" t="s">
        <v>532</v>
      </c>
      <c r="O49" s="209" t="s">
        <v>2832</v>
      </c>
      <c r="P49" s="211" t="s">
        <v>159</v>
      </c>
      <c r="Q49" s="211" t="s">
        <v>160</v>
      </c>
      <c r="T49" s="236" t="s">
        <v>403</v>
      </c>
      <c r="U49" s="269"/>
      <c r="V49" s="269"/>
      <c r="W49" s="269">
        <v>149344</v>
      </c>
      <c r="X49" s="269"/>
      <c r="Y49" s="269"/>
      <c r="Z49" s="269">
        <v>140273</v>
      </c>
      <c r="AA49" s="269"/>
      <c r="AB49" s="269"/>
      <c r="AC49" s="269">
        <v>153650</v>
      </c>
      <c r="AD49" s="269"/>
      <c r="AE49" s="269"/>
      <c r="AF49" s="269">
        <v>130738</v>
      </c>
      <c r="AG49" s="269">
        <v>574005</v>
      </c>
      <c r="AH49"/>
      <c r="AI49"/>
      <c r="AJ49" s="236" t="s">
        <v>403</v>
      </c>
      <c r="AK49" s="269"/>
      <c r="AL49" s="269"/>
      <c r="AM49" s="269">
        <v>149479</v>
      </c>
      <c r="AN49" s="269"/>
      <c r="AO49" s="269"/>
      <c r="AP49" s="269">
        <v>140427</v>
      </c>
      <c r="AQ49" s="269"/>
      <c r="AR49" s="269"/>
      <c r="AS49" s="269">
        <v>153689</v>
      </c>
      <c r="AT49" s="269"/>
      <c r="AU49" s="269"/>
      <c r="AV49" s="269">
        <v>131672</v>
      </c>
      <c r="AW49" s="269">
        <v>575267</v>
      </c>
      <c r="AX49" s="236"/>
      <c r="AY49" s="236"/>
      <c r="AZ49" s="236"/>
      <c r="BA49" s="236" t="s">
        <v>191</v>
      </c>
      <c r="BB49" s="240">
        <f t="shared" si="30"/>
        <v>0</v>
      </c>
      <c r="BC49" s="240">
        <f t="shared" si="31"/>
        <v>0</v>
      </c>
      <c r="BD49" s="240">
        <f t="shared" si="32"/>
        <v>1875</v>
      </c>
      <c r="BE49" s="240">
        <f t="shared" si="33"/>
        <v>0</v>
      </c>
      <c r="BF49" s="240">
        <f t="shared" si="34"/>
        <v>0</v>
      </c>
      <c r="BG49" s="240">
        <f t="shared" si="35"/>
        <v>5182</v>
      </c>
      <c r="BH49" s="240">
        <f t="shared" si="36"/>
        <v>0</v>
      </c>
      <c r="BI49" s="240">
        <f t="shared" si="37"/>
        <v>0</v>
      </c>
      <c r="BJ49" s="240">
        <f t="shared" si="38"/>
        <v>8246</v>
      </c>
      <c r="BK49" s="240">
        <f t="shared" si="23"/>
        <v>0</v>
      </c>
      <c r="BL49" s="240">
        <f t="shared" si="24"/>
        <v>0</v>
      </c>
      <c r="BM49" s="240">
        <f t="shared" si="25"/>
        <v>11870</v>
      </c>
      <c r="BN49" s="211">
        <f t="shared" si="39"/>
        <v>0</v>
      </c>
      <c r="BO49" s="236">
        <f t="shared" si="40"/>
        <v>0</v>
      </c>
      <c r="BP49" s="236">
        <f t="shared" si="41"/>
        <v>1927</v>
      </c>
      <c r="BQ49" s="236">
        <f t="shared" si="42"/>
        <v>0</v>
      </c>
      <c r="BR49" s="236">
        <f t="shared" si="43"/>
        <v>0</v>
      </c>
      <c r="BS49" s="236">
        <f t="shared" si="44"/>
        <v>5233</v>
      </c>
      <c r="BT49" s="236">
        <f t="shared" si="45"/>
        <v>0</v>
      </c>
      <c r="BU49" s="236">
        <f t="shared" si="46"/>
        <v>0</v>
      </c>
      <c r="BV49" s="236">
        <f t="shared" si="47"/>
        <v>9640</v>
      </c>
      <c r="BW49" s="236">
        <f t="shared" si="26"/>
        <v>0</v>
      </c>
      <c r="BX49" s="236">
        <f t="shared" si="27"/>
        <v>0</v>
      </c>
      <c r="BY49" s="236">
        <f t="shared" si="28"/>
        <v>11948</v>
      </c>
      <c r="BZ49" s="236"/>
      <c r="CA49" s="275" t="s">
        <v>584</v>
      </c>
      <c r="CB49" s="272" t="str">
        <f t="shared" si="48"/>
        <v>N/A</v>
      </c>
      <c r="CC49" s="272" t="str">
        <f t="shared" si="49"/>
        <v>N/A</v>
      </c>
      <c r="CD49" s="272" t="str">
        <f t="shared" si="50"/>
        <v>N/A</v>
      </c>
      <c r="CE49" s="284" t="str">
        <f t="shared" si="51"/>
        <v xml:space="preserve">​En  el periodo de enero a   abril del 2025, el 96,88% (155) de los     reclamos en salud que fueron trasladados por la Delegada de Protección   al Usuario a la Delegada para Operadores Logísticos de Tecnologías en Salud y   Gestores Farmacéuticos  fueron   tramitados y finalizados y el 3,12% (5)    se encuentran en desarrollo.   
</v>
      </c>
      <c r="CF49" s="284" t="str">
        <f t="shared" si="52"/>
        <v>N/A</v>
      </c>
      <c r="CG49" s="284" t="str">
        <f t="shared" si="53"/>
        <v>N/A</v>
      </c>
      <c r="CH49" s="272" t="str">
        <f t="shared" si="54"/>
        <v>N/A</v>
      </c>
      <c r="CI49" s="211" t="str">
        <f t="shared" si="55"/>
        <v>N/A</v>
      </c>
      <c r="CJ49" s="211" t="str">
        <f t="shared" si="56"/>
        <v>N/A</v>
      </c>
      <c r="CK49" s="211" t="str">
        <f t="shared" si="57"/>
        <v>N/A</v>
      </c>
      <c r="CL49" s="211" t="str">
        <f t="shared" si="58"/>
        <v>N/A</v>
      </c>
      <c r="CM49" s="211" t="str">
        <f t="shared" si="59"/>
        <v>N/A</v>
      </c>
      <c r="CO49" s="211" t="s">
        <v>238</v>
      </c>
      <c r="CP49" s="211" t="s">
        <v>140</v>
      </c>
      <c r="CQ49" s="211" t="s">
        <v>380</v>
      </c>
      <c r="CR49" s="211" t="s">
        <v>521</v>
      </c>
      <c r="CS49" s="211" t="s">
        <v>3116</v>
      </c>
      <c r="CT49" s="211" t="s">
        <v>380</v>
      </c>
      <c r="CU49" s="211" t="str">
        <f t="shared" si="12"/>
        <v>N/A</v>
      </c>
      <c r="CV49" s="211" t="str">
        <f t="shared" si="13"/>
        <v>N/A</v>
      </c>
      <c r="CW49" s="211" t="str">
        <f t="shared" si="14"/>
        <v>Porcentaje de actividades ejecutadas en cumplimiento del Plan de Tratamiento de Riesgos de Seguridad y Privacidad de la Información
Para el primer trimestre se tenía programada 1 actividad la cual se cumplió. 
Avanzar en la identificación de activos de información
Evidencia: Se adjunta formato DEFT04 con la gestión realizada y los link con los informes realizados para cada actividad. </v>
      </c>
      <c r="CX49" s="211" t="str">
        <f t="shared" si="15"/>
        <v>N/A</v>
      </c>
      <c r="CY49" s="211" t="str">
        <f t="shared" si="29"/>
        <v>N/A</v>
      </c>
      <c r="CZ49" s="211" t="str">
        <f t="shared" si="16"/>
        <v>N/A</v>
      </c>
      <c r="DA49" s="211" t="str">
        <f t="shared" si="17"/>
        <v>N/A</v>
      </c>
      <c r="DB49" s="211" t="str">
        <f t="shared" si="18"/>
        <v>N/A</v>
      </c>
      <c r="DC49" s="211" t="str">
        <f t="shared" si="19"/>
        <v>N/A</v>
      </c>
      <c r="DD49" s="211" t="str">
        <f t="shared" si="20"/>
        <v>N/A</v>
      </c>
      <c r="DE49" s="211" t="str">
        <f t="shared" si="21"/>
        <v>N/A</v>
      </c>
      <c r="DF49" s="211" t="str">
        <f t="shared" si="22"/>
        <v>N/A</v>
      </c>
    </row>
    <row r="50" spans="1:110" s="211" customFormat="1" ht="153">
      <c r="A50" s="348" t="s">
        <v>238</v>
      </c>
      <c r="B50" s="211" t="s">
        <v>140</v>
      </c>
      <c r="C50" s="211" t="s">
        <v>252</v>
      </c>
      <c r="D50" s="211" t="s">
        <v>253</v>
      </c>
      <c r="E50" s="211" t="s">
        <v>254</v>
      </c>
      <c r="F50" s="348" t="s">
        <v>255</v>
      </c>
      <c r="G50" s="211" t="s">
        <v>157</v>
      </c>
      <c r="H50" s="211">
        <v>13</v>
      </c>
      <c r="I50" s="323">
        <v>13</v>
      </c>
      <c r="J50" s="323">
        <v>13</v>
      </c>
      <c r="K50" s="288">
        <v>1</v>
      </c>
      <c r="L50" s="211" t="s">
        <v>3117</v>
      </c>
      <c r="M50" s="211" t="b">
        <v>1</v>
      </c>
      <c r="N50" s="211" t="s">
        <v>257</v>
      </c>
      <c r="O50" s="209" t="s">
        <v>2832</v>
      </c>
      <c r="P50" s="211" t="s">
        <v>159</v>
      </c>
      <c r="Q50" s="211" t="s">
        <v>160</v>
      </c>
      <c r="R50" s="241"/>
      <c r="S50" s="241"/>
      <c r="T50" s="236" t="s">
        <v>381</v>
      </c>
      <c r="U50" s="269"/>
      <c r="V50" s="269"/>
      <c r="W50" s="269">
        <v>8</v>
      </c>
      <c r="X50" s="269"/>
      <c r="Y50" s="269"/>
      <c r="Z50" s="269">
        <v>26</v>
      </c>
      <c r="AA50" s="269"/>
      <c r="AB50" s="269"/>
      <c r="AC50" s="269">
        <v>13</v>
      </c>
      <c r="AD50" s="269"/>
      <c r="AE50" s="269"/>
      <c r="AF50" s="269">
        <v>12</v>
      </c>
      <c r="AG50" s="269">
        <v>59</v>
      </c>
      <c r="AH50"/>
      <c r="AI50"/>
      <c r="AJ50" s="236" t="s">
        <v>381</v>
      </c>
      <c r="AK50" s="269"/>
      <c r="AL50" s="269"/>
      <c r="AM50" s="269">
        <v>8</v>
      </c>
      <c r="AN50" s="269"/>
      <c r="AO50" s="269"/>
      <c r="AP50" s="269">
        <v>58</v>
      </c>
      <c r="AQ50" s="269"/>
      <c r="AR50" s="269"/>
      <c r="AS50" s="269">
        <v>13</v>
      </c>
      <c r="AT50" s="269"/>
      <c r="AU50" s="269"/>
      <c r="AV50" s="269">
        <v>12</v>
      </c>
      <c r="AW50" s="269">
        <v>91</v>
      </c>
      <c r="AX50" s="236"/>
      <c r="AY50" s="236"/>
      <c r="AZ50" s="236"/>
      <c r="BA50" s="236" t="s">
        <v>397</v>
      </c>
      <c r="BB50" s="240">
        <f t="shared" si="30"/>
        <v>0</v>
      </c>
      <c r="BC50" s="240">
        <f t="shared" si="31"/>
        <v>0</v>
      </c>
      <c r="BD50" s="240">
        <f t="shared" si="32"/>
        <v>0</v>
      </c>
      <c r="BE50" s="240">
        <f t="shared" si="33"/>
        <v>0</v>
      </c>
      <c r="BF50" s="240">
        <f t="shared" si="34"/>
        <v>0</v>
      </c>
      <c r="BG50" s="240">
        <f t="shared" si="35"/>
        <v>1</v>
      </c>
      <c r="BH50" s="240">
        <f t="shared" si="36"/>
        <v>0</v>
      </c>
      <c r="BI50" s="240">
        <f t="shared" si="37"/>
        <v>0</v>
      </c>
      <c r="BJ50" s="240">
        <f t="shared" si="38"/>
        <v>0</v>
      </c>
      <c r="BK50" s="240">
        <f t="shared" si="23"/>
        <v>0</v>
      </c>
      <c r="BL50" s="240">
        <f t="shared" si="24"/>
        <v>0</v>
      </c>
      <c r="BM50" s="240">
        <f t="shared" si="25"/>
        <v>1</v>
      </c>
      <c r="BN50" s="211">
        <f t="shared" si="39"/>
        <v>0</v>
      </c>
      <c r="BO50" s="236">
        <f t="shared" si="40"/>
        <v>0</v>
      </c>
      <c r="BP50" s="236">
        <f t="shared" si="41"/>
        <v>0</v>
      </c>
      <c r="BQ50" s="236">
        <f t="shared" si="42"/>
        <v>0</v>
      </c>
      <c r="BR50" s="236">
        <f t="shared" si="43"/>
        <v>0</v>
      </c>
      <c r="BS50" s="236">
        <f t="shared" si="44"/>
        <v>1</v>
      </c>
      <c r="BT50" s="236">
        <f t="shared" si="45"/>
        <v>0</v>
      </c>
      <c r="BU50" s="236">
        <f t="shared" si="46"/>
        <v>0</v>
      </c>
      <c r="BV50" s="236">
        <f t="shared" si="47"/>
        <v>0</v>
      </c>
      <c r="BW50" s="236">
        <f t="shared" si="26"/>
        <v>0</v>
      </c>
      <c r="BX50" s="236">
        <f t="shared" si="27"/>
        <v>0</v>
      </c>
      <c r="BY50" s="236">
        <f t="shared" si="28"/>
        <v>1</v>
      </c>
      <c r="BZ50" s="236"/>
      <c r="CA50" s="275" t="s">
        <v>460</v>
      </c>
      <c r="CB50" s="272" t="str">
        <f t="shared" si="48"/>
        <v>N/A</v>
      </c>
      <c r="CC50" s="272" t="str">
        <f t="shared" si="49"/>
        <v>N/A</v>
      </c>
      <c r="CD50" s="272" t="str">
        <f t="shared" si="50"/>
        <v>​Se ralizó asistencia tecnica con el Gestor Farmaceutico Pharmaasan, la cual  fue fundamenta para el cumplimiento del reporte financiero por parte de los vigilados. De esta manera se da cumplimiento al 100% de lo propuesto en el PAG para Marzo 2025.</v>
      </c>
      <c r="CE50" s="284" t="str">
        <f t="shared" si="51"/>
        <v>N/A</v>
      </c>
      <c r="CF50" s="284" t="str">
        <f t="shared" si="52"/>
        <v>N/A</v>
      </c>
      <c r="CG50" s="284" t="str">
        <f t="shared" si="53"/>
        <v>N/A</v>
      </c>
      <c r="CH50" s="272" t="str">
        <f t="shared" si="54"/>
        <v>N/A</v>
      </c>
      <c r="CI50" s="211" t="str">
        <f t="shared" si="55"/>
        <v>N/A</v>
      </c>
      <c r="CJ50" s="211" t="str">
        <f t="shared" si="56"/>
        <v>N/A</v>
      </c>
      <c r="CK50" s="211" t="str">
        <f t="shared" si="57"/>
        <v>N/A</v>
      </c>
      <c r="CL50" s="211" t="str">
        <f t="shared" si="58"/>
        <v>N/A</v>
      </c>
      <c r="CM50" s="211" t="str">
        <f t="shared" si="59"/>
        <v>N/A</v>
      </c>
      <c r="CO50" s="211" t="s">
        <v>238</v>
      </c>
      <c r="CP50" s="211" t="s">
        <v>140</v>
      </c>
      <c r="CQ50" s="211" t="s">
        <v>252</v>
      </c>
      <c r="CR50" s="211" t="s">
        <v>253</v>
      </c>
      <c r="CS50" s="211" t="s">
        <v>3117</v>
      </c>
      <c r="CT50" s="211" t="s">
        <v>252</v>
      </c>
      <c r="CU50" s="211" t="str">
        <f t="shared" si="12"/>
        <v>N/A</v>
      </c>
      <c r="CV50" s="211" t="str">
        <f t="shared" si="13"/>
        <v>N/A</v>
      </c>
      <c r="CW50" s="211" t="str">
        <f t="shared" si="14"/>
        <v xml:space="preserve">Se hace el respectivo cargue que soporta los avances frente al Flujos de Información de la actividad clave de éxito, Gestionar Analítica de Datos e Información.
Igualmente se cargan evidencias frente a la Base única de vigilados, Catálogo de datos abiertos, Medición Indicadores de Calidad,
Mallas de validación,  Informe UIAF,
Scripts vigilados, Tablero de salud pública,
Tablero Fenix, Tableros de cartera actualizados.
</v>
      </c>
      <c r="CX50" s="211" t="str">
        <f t="shared" si="15"/>
        <v>N/A</v>
      </c>
      <c r="CY50" s="211" t="str">
        <f t="shared" si="29"/>
        <v>N/A</v>
      </c>
      <c r="CZ50" s="211" t="str">
        <f t="shared" si="16"/>
        <v>N/A</v>
      </c>
      <c r="DA50" s="211" t="str">
        <f t="shared" si="17"/>
        <v>N/A</v>
      </c>
      <c r="DB50" s="211" t="str">
        <f t="shared" si="18"/>
        <v>N/A</v>
      </c>
      <c r="DC50" s="211" t="str">
        <f t="shared" si="19"/>
        <v>N/A</v>
      </c>
      <c r="DD50" s="211" t="str">
        <f t="shared" si="20"/>
        <v>N/A</v>
      </c>
      <c r="DE50" s="211" t="str">
        <f t="shared" si="21"/>
        <v>N/A</v>
      </c>
      <c r="DF50" s="211" t="str">
        <f t="shared" si="22"/>
        <v>N/A</v>
      </c>
    </row>
    <row r="51" spans="1:110" s="211" customFormat="1" ht="140.25">
      <c r="A51" s="348" t="s">
        <v>238</v>
      </c>
      <c r="B51" s="211" t="s">
        <v>140</v>
      </c>
      <c r="C51" s="211" t="s">
        <v>245</v>
      </c>
      <c r="D51" s="211" t="s">
        <v>246</v>
      </c>
      <c r="E51" s="211" t="s">
        <v>247</v>
      </c>
      <c r="F51" s="348" t="s">
        <v>248</v>
      </c>
      <c r="G51" s="211" t="s">
        <v>178</v>
      </c>
      <c r="H51" s="211">
        <v>2</v>
      </c>
      <c r="I51" s="323">
        <v>2</v>
      </c>
      <c r="J51" s="323">
        <v>10</v>
      </c>
      <c r="K51" s="288">
        <v>0.2</v>
      </c>
      <c r="L51" s="211" t="s">
        <v>249</v>
      </c>
      <c r="M51" s="211" t="b">
        <v>1</v>
      </c>
      <c r="N51" s="211" t="s">
        <v>250</v>
      </c>
      <c r="O51" s="209" t="s">
        <v>2832</v>
      </c>
      <c r="P51" s="211" t="s">
        <v>159</v>
      </c>
      <c r="Q51" s="211" t="s">
        <v>160</v>
      </c>
      <c r="T51" s="236" t="s">
        <v>252</v>
      </c>
      <c r="U51" s="269"/>
      <c r="V51" s="269"/>
      <c r="W51" s="269">
        <v>13</v>
      </c>
      <c r="X51" s="269"/>
      <c r="Y51" s="269"/>
      <c r="Z51" s="269">
        <v>15</v>
      </c>
      <c r="AA51" s="269"/>
      <c r="AB51" s="269"/>
      <c r="AC51" s="269">
        <v>5</v>
      </c>
      <c r="AD51" s="269"/>
      <c r="AE51" s="269"/>
      <c r="AF51" s="269">
        <v>40</v>
      </c>
      <c r="AG51" s="269">
        <v>73</v>
      </c>
      <c r="AH51"/>
      <c r="AI51"/>
      <c r="AJ51" s="236" t="s">
        <v>252</v>
      </c>
      <c r="AK51" s="269"/>
      <c r="AL51" s="269"/>
      <c r="AM51" s="269">
        <v>13</v>
      </c>
      <c r="AN51" s="269"/>
      <c r="AO51" s="269"/>
      <c r="AP51" s="269">
        <v>15</v>
      </c>
      <c r="AQ51" s="269"/>
      <c r="AR51" s="269"/>
      <c r="AS51" s="269">
        <v>5</v>
      </c>
      <c r="AT51" s="269"/>
      <c r="AU51" s="269"/>
      <c r="AV51" s="269">
        <v>40</v>
      </c>
      <c r="AW51" s="269">
        <v>73</v>
      </c>
      <c r="AX51" s="236"/>
      <c r="AY51" s="236"/>
      <c r="AZ51" s="236"/>
      <c r="BA51" s="236" t="s">
        <v>398</v>
      </c>
      <c r="BB51" s="240">
        <f t="shared" si="30"/>
        <v>0</v>
      </c>
      <c r="BC51" s="240">
        <f t="shared" si="31"/>
        <v>0</v>
      </c>
      <c r="BD51" s="240">
        <f t="shared" si="32"/>
        <v>148567</v>
      </c>
      <c r="BE51" s="240">
        <f t="shared" si="33"/>
        <v>0</v>
      </c>
      <c r="BF51" s="240">
        <f t="shared" si="34"/>
        <v>0</v>
      </c>
      <c r="BG51" s="240">
        <f t="shared" si="35"/>
        <v>139528</v>
      </c>
      <c r="BH51" s="240">
        <f t="shared" si="36"/>
        <v>0</v>
      </c>
      <c r="BI51" s="240">
        <f t="shared" si="37"/>
        <v>0</v>
      </c>
      <c r="BJ51" s="240">
        <f t="shared" si="38"/>
        <v>151444</v>
      </c>
      <c r="BK51" s="240">
        <f t="shared" si="23"/>
        <v>0</v>
      </c>
      <c r="BL51" s="240">
        <f t="shared" si="24"/>
        <v>0</v>
      </c>
      <c r="BM51" s="240">
        <f t="shared" si="25"/>
        <v>43472</v>
      </c>
      <c r="BN51" s="211">
        <f t="shared" si="39"/>
        <v>0</v>
      </c>
      <c r="BO51" s="236">
        <f t="shared" si="40"/>
        <v>0</v>
      </c>
      <c r="BP51" s="236">
        <f t="shared" si="41"/>
        <v>149479</v>
      </c>
      <c r="BQ51" s="236">
        <f t="shared" si="42"/>
        <v>0</v>
      </c>
      <c r="BR51" s="236">
        <f t="shared" si="43"/>
        <v>0</v>
      </c>
      <c r="BS51" s="236">
        <f t="shared" si="44"/>
        <v>140427</v>
      </c>
      <c r="BT51" s="236">
        <f t="shared" si="45"/>
        <v>0</v>
      </c>
      <c r="BU51" s="236">
        <f t="shared" si="46"/>
        <v>0</v>
      </c>
      <c r="BV51" s="236">
        <f t="shared" si="47"/>
        <v>153689</v>
      </c>
      <c r="BW51" s="236">
        <f t="shared" si="26"/>
        <v>0</v>
      </c>
      <c r="BX51" s="236">
        <f t="shared" si="27"/>
        <v>0</v>
      </c>
      <c r="BY51" s="236">
        <f t="shared" si="28"/>
        <v>43767</v>
      </c>
      <c r="BZ51" s="236"/>
      <c r="CA51" s="275" t="s">
        <v>466</v>
      </c>
      <c r="CB51" s="272" t="str">
        <f t="shared" si="48"/>
        <v>N/A</v>
      </c>
      <c r="CC51" s="272" t="str">
        <f t="shared" si="49"/>
        <v>N/A</v>
      </c>
      <c r="CD51" s="272" t="str">
        <f t="shared" si="50"/>
        <v>​Se realizaron 2 actividades de acompañamiento a las Direcciones Regionales en actividades de IVC a los Gestores Farmaceutocos ,  Santa Sofia de Asis en la ciudad y Ramedicas en Quido Choco estas acciones son fundamentales en el cumplimiento de las funiones de IVC de nuestra Delegada, se da cumplimiento al 100% de lo planteado en el PAG para marzo 2025.</v>
      </c>
      <c r="CE51" s="284" t="str">
        <f t="shared" si="51"/>
        <v>N/A</v>
      </c>
      <c r="CF51" s="284" t="str">
        <f t="shared" si="52"/>
        <v>N/A</v>
      </c>
      <c r="CG51" s="284" t="str">
        <f t="shared" si="53"/>
        <v>N/A</v>
      </c>
      <c r="CH51" s="272" t="str">
        <f t="shared" si="54"/>
        <v>N/A</v>
      </c>
      <c r="CI51" s="211" t="str">
        <f t="shared" si="55"/>
        <v>N/A</v>
      </c>
      <c r="CJ51" s="211" t="str">
        <f t="shared" si="56"/>
        <v>N/A</v>
      </c>
      <c r="CK51" s="211" t="str">
        <f t="shared" si="57"/>
        <v>N/A</v>
      </c>
      <c r="CL51" s="211" t="str">
        <f t="shared" si="58"/>
        <v>N/A</v>
      </c>
      <c r="CM51" s="211" t="str">
        <f t="shared" si="59"/>
        <v>N/A</v>
      </c>
      <c r="CO51" s="211" t="s">
        <v>238</v>
      </c>
      <c r="CP51" s="211" t="s">
        <v>140</v>
      </c>
      <c r="CQ51" s="211" t="s">
        <v>245</v>
      </c>
      <c r="CR51" s="211" t="s">
        <v>246</v>
      </c>
      <c r="CS51" s="211" t="s">
        <v>249</v>
      </c>
      <c r="CT51" s="211" t="s">
        <v>245</v>
      </c>
      <c r="CU51" s="211" t="str">
        <f t="shared" si="12"/>
        <v>N/A</v>
      </c>
      <c r="CV51" s="211" t="str">
        <f t="shared" si="13"/>
        <v>N/A</v>
      </c>
      <c r="CW51" s="211" t="str">
        <f t="shared" si="14"/>
        <v xml:space="preserve">​Se procede con el cargue de evidencias frente a la política de Gestión de Información Estadística, es decir, flujo de actividades versión 1, modelo institucional para el desarrollo de producción estadística, manual para el desarrollo del plan estadístico versión en construcción, que dan cuenta de los avances.
</v>
      </c>
      <c r="CX51" s="211" t="str">
        <f t="shared" si="15"/>
        <v>N/A</v>
      </c>
      <c r="CY51" s="211" t="str">
        <f t="shared" si="29"/>
        <v>N/A</v>
      </c>
      <c r="CZ51" s="211" t="str">
        <f t="shared" si="16"/>
        <v>N/A</v>
      </c>
      <c r="DA51" s="211" t="str">
        <f t="shared" si="17"/>
        <v>N/A</v>
      </c>
      <c r="DB51" s="211" t="str">
        <f t="shared" si="18"/>
        <v>N/A</v>
      </c>
      <c r="DC51" s="211" t="str">
        <f t="shared" si="19"/>
        <v>N/A</v>
      </c>
      <c r="DD51" s="211" t="str">
        <f t="shared" si="20"/>
        <v>N/A</v>
      </c>
      <c r="DE51" s="211" t="str">
        <f t="shared" si="21"/>
        <v>N/A</v>
      </c>
      <c r="DF51" s="211" t="str">
        <f t="shared" si="22"/>
        <v>N/A</v>
      </c>
    </row>
    <row r="52" spans="1:110" s="211" customFormat="1" ht="267.75">
      <c r="A52" s="348" t="s">
        <v>317</v>
      </c>
      <c r="B52" s="211" t="s">
        <v>140</v>
      </c>
      <c r="C52" s="211" t="s">
        <v>336</v>
      </c>
      <c r="D52" s="211" t="s">
        <v>337</v>
      </c>
      <c r="E52" s="211" t="s">
        <v>338</v>
      </c>
      <c r="F52" s="348" t="s">
        <v>339</v>
      </c>
      <c r="G52" s="211" t="s">
        <v>178</v>
      </c>
      <c r="H52" s="211">
        <v>1</v>
      </c>
      <c r="I52" s="323">
        <v>155</v>
      </c>
      <c r="J52" s="323">
        <v>155</v>
      </c>
      <c r="K52" s="288">
        <v>1</v>
      </c>
      <c r="L52" s="211" t="s">
        <v>340</v>
      </c>
      <c r="M52" s="211" t="b">
        <v>0</v>
      </c>
      <c r="O52" s="209" t="s">
        <v>2832</v>
      </c>
      <c r="P52" s="211" t="s">
        <v>159</v>
      </c>
      <c r="Q52" s="211" t="s">
        <v>160</v>
      </c>
      <c r="T52" s="236" t="s">
        <v>408</v>
      </c>
      <c r="U52" s="269"/>
      <c r="V52" s="269"/>
      <c r="W52" s="269">
        <v>3</v>
      </c>
      <c r="X52" s="269"/>
      <c r="Y52" s="269"/>
      <c r="Z52" s="269">
        <v>2</v>
      </c>
      <c r="AA52" s="269"/>
      <c r="AB52" s="269"/>
      <c r="AC52" s="269">
        <v>3</v>
      </c>
      <c r="AD52" s="269"/>
      <c r="AE52" s="269"/>
      <c r="AF52" s="269">
        <v>3</v>
      </c>
      <c r="AG52" s="269">
        <v>11</v>
      </c>
      <c r="AH52"/>
      <c r="AI52"/>
      <c r="AJ52" s="236" t="s">
        <v>408</v>
      </c>
      <c r="AK52" s="269"/>
      <c r="AL52" s="269"/>
      <c r="AM52" s="269">
        <v>3</v>
      </c>
      <c r="AN52" s="269"/>
      <c r="AO52" s="269"/>
      <c r="AP52" s="269">
        <v>3</v>
      </c>
      <c r="AQ52" s="269"/>
      <c r="AR52" s="269"/>
      <c r="AS52" s="269">
        <v>3</v>
      </c>
      <c r="AT52" s="269"/>
      <c r="AU52" s="269"/>
      <c r="AV52" s="269">
        <v>3</v>
      </c>
      <c r="AW52" s="269">
        <v>12</v>
      </c>
      <c r="AX52" s="236"/>
      <c r="AY52" s="236"/>
      <c r="AZ52" s="236"/>
      <c r="BA52" s="236" t="s">
        <v>403</v>
      </c>
      <c r="BB52" s="240">
        <f t="shared" si="30"/>
        <v>0</v>
      </c>
      <c r="BC52" s="240">
        <f t="shared" si="31"/>
        <v>0</v>
      </c>
      <c r="BD52" s="240">
        <f t="shared" si="32"/>
        <v>149344</v>
      </c>
      <c r="BE52" s="240">
        <f t="shared" si="33"/>
        <v>0</v>
      </c>
      <c r="BF52" s="240">
        <f t="shared" si="34"/>
        <v>0</v>
      </c>
      <c r="BG52" s="240">
        <f t="shared" si="35"/>
        <v>140273</v>
      </c>
      <c r="BH52" s="240">
        <f t="shared" si="36"/>
        <v>0</v>
      </c>
      <c r="BI52" s="240">
        <f t="shared" si="37"/>
        <v>0</v>
      </c>
      <c r="BJ52" s="240">
        <f t="shared" si="38"/>
        <v>153650</v>
      </c>
      <c r="BK52" s="240">
        <f t="shared" si="23"/>
        <v>0</v>
      </c>
      <c r="BL52" s="240">
        <f t="shared" si="24"/>
        <v>0</v>
      </c>
      <c r="BM52" s="240">
        <f t="shared" si="25"/>
        <v>130738</v>
      </c>
      <c r="BN52" s="211">
        <f t="shared" si="39"/>
        <v>0</v>
      </c>
      <c r="BO52" s="236">
        <f t="shared" si="40"/>
        <v>0</v>
      </c>
      <c r="BP52" s="236">
        <f t="shared" si="41"/>
        <v>149479</v>
      </c>
      <c r="BQ52" s="236">
        <f t="shared" si="42"/>
        <v>0</v>
      </c>
      <c r="BR52" s="236">
        <f t="shared" si="43"/>
        <v>0</v>
      </c>
      <c r="BS52" s="236">
        <f t="shared" si="44"/>
        <v>140427</v>
      </c>
      <c r="BT52" s="236">
        <f t="shared" si="45"/>
        <v>0</v>
      </c>
      <c r="BU52" s="236">
        <f t="shared" si="46"/>
        <v>0</v>
      </c>
      <c r="BV52" s="236">
        <f t="shared" si="47"/>
        <v>153689</v>
      </c>
      <c r="BW52" s="236">
        <f t="shared" si="26"/>
        <v>0</v>
      </c>
      <c r="BX52" s="236">
        <f t="shared" si="27"/>
        <v>0</v>
      </c>
      <c r="BY52" s="236">
        <f t="shared" si="28"/>
        <v>131672</v>
      </c>
      <c r="BZ52" s="236"/>
      <c r="CA52" s="275" t="s">
        <v>223</v>
      </c>
      <c r="CB52" s="272" t="str">
        <f t="shared" si="48"/>
        <v>N/A</v>
      </c>
      <c r="CC52" s="272" t="str">
        <f t="shared" si="49"/>
        <v>​Se realizó auditoria integral  en al Gestor Farmaceutico Pharmasan en el departamento de Santander, del 10 al 14 de febrero ordenada a través de Auto 202500000000134-7, las auditorias son fundamentales en el desarrollo de las acciones de IVC a nuestros vigilados y el cumplimiento al Programa de Auditorias. Se da cumplimiento al 100% de lo propuesto para el mes de febrero.</v>
      </c>
      <c r="CD52" s="272" t="str">
        <f t="shared" si="50"/>
        <v>N/A</v>
      </c>
      <c r="CE52" s="284" t="str">
        <f t="shared" si="51"/>
        <v>N/A</v>
      </c>
      <c r="CF52" s="284" t="str">
        <f t="shared" si="52"/>
        <v>N/A</v>
      </c>
      <c r="CG52" s="284" t="str">
        <f t="shared" si="53"/>
        <v>N/A</v>
      </c>
      <c r="CH52" s="272" t="str">
        <f t="shared" si="54"/>
        <v>N/A</v>
      </c>
      <c r="CI52" s="211" t="str">
        <f t="shared" si="55"/>
        <v>N/A</v>
      </c>
      <c r="CJ52" s="211" t="str">
        <f t="shared" si="56"/>
        <v>N/A</v>
      </c>
      <c r="CK52" s="211" t="str">
        <f t="shared" si="57"/>
        <v>N/A</v>
      </c>
      <c r="CL52" s="211" t="str">
        <f t="shared" si="58"/>
        <v>N/A</v>
      </c>
      <c r="CM52" s="211" t="str">
        <f t="shared" si="59"/>
        <v>N/A</v>
      </c>
      <c r="CO52" s="211" t="s">
        <v>317</v>
      </c>
      <c r="CP52" s="211" t="s">
        <v>140</v>
      </c>
      <c r="CQ52" s="211" t="s">
        <v>336</v>
      </c>
      <c r="CR52" s="211" t="s">
        <v>337</v>
      </c>
      <c r="CS52" s="211" t="s">
        <v>340</v>
      </c>
      <c r="CT52" s="211" t="s">
        <v>336</v>
      </c>
      <c r="CU52" s="211" t="str">
        <f t="shared" si="12"/>
        <v>N/A</v>
      </c>
      <c r="CV52" s="211" t="str">
        <f t="shared" si="13"/>
        <v>N/A</v>
      </c>
      <c r="CW52" s="211" t="str">
        <f t="shared" si="14"/>
        <v xml:space="preserve">​En el primer trimestre del año 2025, se recibieron en total 155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Ahora bien, de las 155 demandas radicadas, se notificaron 17 autos admisorios de la demanda por lo que, los abogados del Grupo de Defensa Judicial realizaron la contestación de estas 17 demandas en el término otorgado por la ley, y 138 asuntos judiciales están en trámite de proyección por no haberse notificado a la fecha el auto admisorio de estas demandas; en conclusión se tiene un total de 155 procesos judiciales y un cumplimiento del 100% respecto de las demandas notificadas y contestadas dentro del término legal.
</v>
      </c>
      <c r="CX52" s="211" t="str">
        <f t="shared" si="15"/>
        <v>N/A</v>
      </c>
      <c r="CY52" s="211" t="str">
        <f t="shared" si="29"/>
        <v>N/A</v>
      </c>
      <c r="CZ52" s="211" t="str">
        <f t="shared" si="16"/>
        <v>N/A</v>
      </c>
      <c r="DA52" s="211" t="str">
        <f t="shared" si="17"/>
        <v>N/A</v>
      </c>
      <c r="DB52" s="211" t="str">
        <f t="shared" si="18"/>
        <v>N/A</v>
      </c>
      <c r="DC52" s="211" t="str">
        <f t="shared" si="19"/>
        <v>N/A</v>
      </c>
      <c r="DD52" s="211" t="str">
        <f t="shared" si="20"/>
        <v>N/A</v>
      </c>
      <c r="DE52" s="211" t="str">
        <f t="shared" si="21"/>
        <v>N/A</v>
      </c>
      <c r="DF52" s="211" t="str">
        <f t="shared" si="22"/>
        <v>N/A</v>
      </c>
    </row>
    <row r="53" spans="1:110" s="211" customFormat="1" ht="114.75">
      <c r="A53" s="348" t="s">
        <v>317</v>
      </c>
      <c r="B53" s="211" t="s">
        <v>140</v>
      </c>
      <c r="C53" s="211" t="s">
        <v>342</v>
      </c>
      <c r="D53" s="211" t="s">
        <v>343</v>
      </c>
      <c r="E53" s="211" t="s">
        <v>344</v>
      </c>
      <c r="F53" s="348" t="s">
        <v>345</v>
      </c>
      <c r="G53" s="211" t="s">
        <v>178</v>
      </c>
      <c r="H53" s="211">
        <v>1</v>
      </c>
      <c r="I53" s="323">
        <v>197</v>
      </c>
      <c r="J53" s="323">
        <v>211</v>
      </c>
      <c r="K53" s="288">
        <v>0.93364928909952605</v>
      </c>
      <c r="L53" s="211" t="s">
        <v>346</v>
      </c>
      <c r="M53" s="211" t="b">
        <v>0</v>
      </c>
      <c r="O53" s="209" t="s">
        <v>2832</v>
      </c>
      <c r="P53" s="211" t="s">
        <v>159</v>
      </c>
      <c r="Q53" s="211" t="s">
        <v>160</v>
      </c>
      <c r="T53" s="236" t="s">
        <v>312</v>
      </c>
      <c r="U53" s="269"/>
      <c r="V53" s="269"/>
      <c r="W53" s="269"/>
      <c r="X53" s="269">
        <v>2</v>
      </c>
      <c r="Y53" s="269"/>
      <c r="Z53" s="269"/>
      <c r="AA53" s="269"/>
      <c r="AB53" s="269">
        <v>1</v>
      </c>
      <c r="AC53" s="269"/>
      <c r="AD53" s="269"/>
      <c r="AE53" s="269"/>
      <c r="AF53" s="269">
        <v>2</v>
      </c>
      <c r="AG53" s="269">
        <v>5</v>
      </c>
      <c r="AH53"/>
      <c r="AI53"/>
      <c r="AJ53" s="236" t="s">
        <v>312</v>
      </c>
      <c r="AK53" s="269"/>
      <c r="AL53" s="269"/>
      <c r="AM53" s="269"/>
      <c r="AN53" s="269">
        <v>2</v>
      </c>
      <c r="AO53" s="269"/>
      <c r="AP53" s="269"/>
      <c r="AQ53" s="269"/>
      <c r="AR53" s="269">
        <v>1</v>
      </c>
      <c r="AS53" s="269"/>
      <c r="AT53" s="269"/>
      <c r="AU53" s="269"/>
      <c r="AV53" s="269">
        <v>2</v>
      </c>
      <c r="AW53" s="269">
        <v>5</v>
      </c>
      <c r="AX53" s="236"/>
      <c r="AY53" s="236"/>
      <c r="AZ53" s="236"/>
      <c r="BA53" s="239" t="s">
        <v>381</v>
      </c>
      <c r="BB53" s="240">
        <f t="shared" si="30"/>
        <v>0</v>
      </c>
      <c r="BC53" s="240">
        <f t="shared" si="31"/>
        <v>0</v>
      </c>
      <c r="BD53" s="240">
        <f t="shared" si="32"/>
        <v>8</v>
      </c>
      <c r="BE53" s="240">
        <f t="shared" si="33"/>
        <v>0</v>
      </c>
      <c r="BF53" s="240">
        <f t="shared" si="34"/>
        <v>0</v>
      </c>
      <c r="BG53" s="240">
        <f t="shared" si="35"/>
        <v>26</v>
      </c>
      <c r="BH53" s="240">
        <f t="shared" si="36"/>
        <v>0</v>
      </c>
      <c r="BI53" s="240">
        <f t="shared" si="37"/>
        <v>0</v>
      </c>
      <c r="BJ53" s="240">
        <f t="shared" si="38"/>
        <v>13</v>
      </c>
      <c r="BK53" s="240">
        <f t="shared" si="23"/>
        <v>0</v>
      </c>
      <c r="BL53" s="240">
        <f t="shared" si="24"/>
        <v>0</v>
      </c>
      <c r="BM53" s="240">
        <f t="shared" si="25"/>
        <v>12</v>
      </c>
      <c r="BN53" s="211">
        <f t="shared" si="39"/>
        <v>0</v>
      </c>
      <c r="BO53" s="236">
        <f t="shared" si="40"/>
        <v>0</v>
      </c>
      <c r="BP53" s="236">
        <f t="shared" si="41"/>
        <v>8</v>
      </c>
      <c r="BQ53" s="236">
        <f t="shared" si="42"/>
        <v>0</v>
      </c>
      <c r="BR53" s="236">
        <f t="shared" si="43"/>
        <v>0</v>
      </c>
      <c r="BS53" s="236">
        <f t="shared" si="44"/>
        <v>58</v>
      </c>
      <c r="BT53" s="236">
        <f t="shared" si="45"/>
        <v>0</v>
      </c>
      <c r="BU53" s="236">
        <f t="shared" si="46"/>
        <v>0</v>
      </c>
      <c r="BV53" s="236">
        <f t="shared" si="47"/>
        <v>13</v>
      </c>
      <c r="BW53" s="236">
        <f t="shared" si="26"/>
        <v>0</v>
      </c>
      <c r="BX53" s="236">
        <f t="shared" si="27"/>
        <v>0</v>
      </c>
      <c r="BY53" s="236">
        <f t="shared" si="28"/>
        <v>12</v>
      </c>
      <c r="BZ53" s="236"/>
      <c r="CA53" s="275" t="s">
        <v>323</v>
      </c>
      <c r="CB53" s="272" t="str">
        <f t="shared" si="48"/>
        <v>N/A</v>
      </c>
      <c r="CC53" s="272" t="str">
        <f t="shared" si="49"/>
        <v>N/A</v>
      </c>
      <c r="CD53" s="272" t="str">
        <f t="shared" si="50"/>
        <v xml:space="preserve">Indicador a demanda, en donde se concluye que se expidieron 321 actos administrativos y el número de solicitudes de investigación aceptadas en el trimestre fueron 124 en total 
</v>
      </c>
      <c r="CE53" s="284" t="str">
        <f t="shared" si="51"/>
        <v>N/A</v>
      </c>
      <c r="CF53" s="284" t="str">
        <f t="shared" si="52"/>
        <v>N/A</v>
      </c>
      <c r="CG53" s="284" t="str">
        <f t="shared" si="53"/>
        <v>N/A</v>
      </c>
      <c r="CH53" s="272" t="str">
        <f t="shared" si="54"/>
        <v>N/A</v>
      </c>
      <c r="CI53" s="211" t="str">
        <f t="shared" si="55"/>
        <v>N/A</v>
      </c>
      <c r="CJ53" s="211" t="str">
        <f t="shared" si="56"/>
        <v>N/A</v>
      </c>
      <c r="CK53" s="211" t="str">
        <f t="shared" si="57"/>
        <v>N/A</v>
      </c>
      <c r="CL53" s="211" t="str">
        <f t="shared" si="58"/>
        <v>N/A</v>
      </c>
      <c r="CM53" s="211" t="str">
        <f t="shared" si="59"/>
        <v>N/A</v>
      </c>
      <c r="CO53" s="211" t="s">
        <v>317</v>
      </c>
      <c r="CP53" s="211" t="s">
        <v>140</v>
      </c>
      <c r="CQ53" s="211" t="s">
        <v>342</v>
      </c>
      <c r="CR53" s="211" t="s">
        <v>343</v>
      </c>
      <c r="CS53" s="211" t="s">
        <v>346</v>
      </c>
      <c r="CT53" s="211" t="s">
        <v>342</v>
      </c>
      <c r="CU53" s="211" t="str">
        <f t="shared" si="12"/>
        <v>N/A</v>
      </c>
      <c r="CV53" s="211" t="str">
        <f t="shared" si="13"/>
        <v>N/A</v>
      </c>
      <c r="CW53" s="211" t="str">
        <f t="shared" si="14"/>
        <v xml:space="preserve">​En el primer trimestre del año 2025, se recibieron 211 solicitudes de conciliación extrajudicial; de las cuales 197 fueron presentadas y decididas por el Comité de Conciliación, y 14 se encuentran en proyecto para ser presentadas en el próximo comité, para un total de 211 solicitudes, cumpliéndose este indicador en un 93,36%
</v>
      </c>
      <c r="CX53" s="211" t="str">
        <f t="shared" si="15"/>
        <v>N/A</v>
      </c>
      <c r="CY53" s="211" t="str">
        <f t="shared" si="29"/>
        <v>N/A</v>
      </c>
      <c r="CZ53" s="211" t="str">
        <f t="shared" si="16"/>
        <v>N/A</v>
      </c>
      <c r="DA53" s="211" t="str">
        <f t="shared" si="17"/>
        <v>N/A</v>
      </c>
      <c r="DB53" s="211" t="str">
        <f t="shared" si="18"/>
        <v>N/A</v>
      </c>
      <c r="DC53" s="211" t="str">
        <f t="shared" si="19"/>
        <v>N/A</v>
      </c>
      <c r="DD53" s="211" t="str">
        <f t="shared" si="20"/>
        <v>N/A</v>
      </c>
      <c r="DE53" s="211" t="str">
        <f t="shared" si="21"/>
        <v>N/A</v>
      </c>
      <c r="DF53" s="211" t="str">
        <f t="shared" si="22"/>
        <v>N/A</v>
      </c>
    </row>
    <row r="54" spans="1:110" s="211" customFormat="1" ht="102">
      <c r="A54" s="348" t="s">
        <v>317</v>
      </c>
      <c r="B54" s="211" t="s">
        <v>140</v>
      </c>
      <c r="C54" s="211" t="s">
        <v>330</v>
      </c>
      <c r="D54" s="211" t="s">
        <v>331</v>
      </c>
      <c r="E54" s="211" t="s">
        <v>332</v>
      </c>
      <c r="F54" s="348" t="s">
        <v>333</v>
      </c>
      <c r="G54" s="211" t="s">
        <v>157</v>
      </c>
      <c r="H54" s="211">
        <v>6</v>
      </c>
      <c r="I54" s="323">
        <v>4</v>
      </c>
      <c r="J54" s="323">
        <v>6</v>
      </c>
      <c r="K54" s="288">
        <f>+I54/J54</f>
        <v>0.66666666666666663</v>
      </c>
      <c r="L54" s="211" t="s">
        <v>347</v>
      </c>
      <c r="M54" s="211" t="b">
        <v>0</v>
      </c>
      <c r="O54" s="209" t="s">
        <v>2832</v>
      </c>
      <c r="P54" s="211" t="s">
        <v>159</v>
      </c>
      <c r="Q54" s="211" t="s">
        <v>160</v>
      </c>
      <c r="T54" s="236" t="s">
        <v>245</v>
      </c>
      <c r="U54" s="269"/>
      <c r="V54" s="269"/>
      <c r="W54" s="269">
        <v>2</v>
      </c>
      <c r="X54" s="269"/>
      <c r="Y54" s="269"/>
      <c r="Z54" s="269">
        <v>8</v>
      </c>
      <c r="AA54" s="269"/>
      <c r="AB54" s="269"/>
      <c r="AC54" s="269"/>
      <c r="AD54" s="269"/>
      <c r="AE54" s="269"/>
      <c r="AF54" s="269">
        <v>10</v>
      </c>
      <c r="AG54" s="269">
        <v>20</v>
      </c>
      <c r="AH54"/>
      <c r="AI54"/>
      <c r="AJ54" s="236" t="s">
        <v>245</v>
      </c>
      <c r="AK54" s="269"/>
      <c r="AL54" s="269"/>
      <c r="AM54" s="269">
        <v>10</v>
      </c>
      <c r="AN54" s="269"/>
      <c r="AO54" s="269"/>
      <c r="AP54" s="269">
        <v>10</v>
      </c>
      <c r="AQ54" s="269"/>
      <c r="AR54" s="269"/>
      <c r="AS54" s="269"/>
      <c r="AT54" s="269"/>
      <c r="AU54" s="269"/>
      <c r="AV54" s="269">
        <v>10</v>
      </c>
      <c r="AW54" s="269">
        <v>30</v>
      </c>
      <c r="AX54" s="236"/>
      <c r="AY54" s="236"/>
      <c r="AZ54" s="236"/>
      <c r="BA54" s="239" t="s">
        <v>252</v>
      </c>
      <c r="BB54" s="240">
        <f t="shared" si="30"/>
        <v>0</v>
      </c>
      <c r="BC54" s="240">
        <f t="shared" si="31"/>
        <v>0</v>
      </c>
      <c r="BD54" s="240">
        <f t="shared" si="32"/>
        <v>13</v>
      </c>
      <c r="BE54" s="240">
        <f t="shared" si="33"/>
        <v>0</v>
      </c>
      <c r="BF54" s="240">
        <f t="shared" si="34"/>
        <v>0</v>
      </c>
      <c r="BG54" s="240">
        <f t="shared" si="35"/>
        <v>15</v>
      </c>
      <c r="BH54" s="240">
        <f t="shared" si="36"/>
        <v>0</v>
      </c>
      <c r="BI54" s="240">
        <f t="shared" si="37"/>
        <v>0</v>
      </c>
      <c r="BJ54" s="240">
        <f t="shared" si="38"/>
        <v>5</v>
      </c>
      <c r="BK54" s="240">
        <f t="shared" si="23"/>
        <v>0</v>
      </c>
      <c r="BL54" s="240">
        <f t="shared" si="24"/>
        <v>0</v>
      </c>
      <c r="BM54" s="240">
        <f t="shared" si="25"/>
        <v>40</v>
      </c>
      <c r="BN54" s="211">
        <f t="shared" si="39"/>
        <v>0</v>
      </c>
      <c r="BO54" s="236">
        <f t="shared" si="40"/>
        <v>0</v>
      </c>
      <c r="BP54" s="236">
        <f t="shared" si="41"/>
        <v>13</v>
      </c>
      <c r="BQ54" s="236">
        <f t="shared" si="42"/>
        <v>0</v>
      </c>
      <c r="BR54" s="236">
        <f t="shared" si="43"/>
        <v>0</v>
      </c>
      <c r="BS54" s="236">
        <f t="shared" si="44"/>
        <v>15</v>
      </c>
      <c r="BT54" s="236">
        <f t="shared" si="45"/>
        <v>0</v>
      </c>
      <c r="BU54" s="236">
        <f t="shared" si="46"/>
        <v>0</v>
      </c>
      <c r="BV54" s="236">
        <f t="shared" si="47"/>
        <v>5</v>
      </c>
      <c r="BW54" s="236">
        <f t="shared" si="26"/>
        <v>0</v>
      </c>
      <c r="BX54" s="236">
        <f t="shared" si="27"/>
        <v>0</v>
      </c>
      <c r="BY54" s="236">
        <f t="shared" si="28"/>
        <v>40</v>
      </c>
      <c r="BZ54" s="236"/>
      <c r="CA54" s="275" t="s">
        <v>329</v>
      </c>
      <c r="CB54" s="272" t="str">
        <f t="shared" si="48"/>
        <v>N/A</v>
      </c>
      <c r="CC54" s="272" t="str">
        <f t="shared" si="49"/>
        <v>N/A</v>
      </c>
      <c r="CD54" s="272" t="str">
        <f t="shared" si="50"/>
        <v xml:space="preserve">​Se cumple con más de la meta establecida del 25%,  ya que se identificaron 441 investigaciones con riesgo de caducidad ( 2025 ) a enero de 2025 y en el trimestre se han expedido 166 decisiones lo cual equivale al 37.6%, lo anterior se logro tras las estrategias de gestión al día con la DIA 
</v>
      </c>
      <c r="CE54" s="284" t="str">
        <f t="shared" si="51"/>
        <v>N/A</v>
      </c>
      <c r="CF54" s="284" t="str">
        <f t="shared" si="52"/>
        <v>N/A</v>
      </c>
      <c r="CG54" s="284" t="str">
        <f t="shared" si="53"/>
        <v>N/A</v>
      </c>
      <c r="CH54" s="272" t="str">
        <f t="shared" si="54"/>
        <v>N/A</v>
      </c>
      <c r="CI54" s="211" t="str">
        <f t="shared" si="55"/>
        <v>N/A</v>
      </c>
      <c r="CJ54" s="211" t="str">
        <f t="shared" si="56"/>
        <v>N/A</v>
      </c>
      <c r="CK54" s="211" t="str">
        <f t="shared" si="57"/>
        <v>N/A</v>
      </c>
      <c r="CL54" s="211" t="str">
        <f t="shared" si="58"/>
        <v>N/A</v>
      </c>
      <c r="CM54" s="211" t="str">
        <f t="shared" si="59"/>
        <v>N/A</v>
      </c>
      <c r="CO54" s="211" t="s">
        <v>317</v>
      </c>
      <c r="CP54" s="211" t="s">
        <v>140</v>
      </c>
      <c r="CQ54" s="211" t="s">
        <v>330</v>
      </c>
      <c r="CR54" s="211" t="s">
        <v>331</v>
      </c>
      <c r="CS54" s="211" t="s">
        <v>347</v>
      </c>
      <c r="CT54" s="211" t="s">
        <v>330</v>
      </c>
      <c r="CU54" s="211" t="str">
        <f t="shared" si="12"/>
        <v>N/A</v>
      </c>
      <c r="CV54" s="211" t="str">
        <f t="shared" si="13"/>
        <v>N/A</v>
      </c>
      <c r="CW54" s="211" t="str">
        <f t="shared" si="14"/>
        <v xml:space="preserve">​Para el primer trimestre de 2025  fueron efectuadas 4 actualizaciones del normograma según lo pactado en el contrato No. 36 de 2025, sin embargo, al iniciar el contrato a finales de febrero de 2025 no se logró completar las 6 actualizaciones proyectadas para el primer trimestre.
</v>
      </c>
      <c r="CX54" s="211" t="str">
        <f t="shared" si="15"/>
        <v>N/A</v>
      </c>
      <c r="CY54" s="211" t="str">
        <f t="shared" si="29"/>
        <v>N/A</v>
      </c>
      <c r="CZ54" s="211" t="str">
        <f t="shared" si="16"/>
        <v>N/A</v>
      </c>
      <c r="DA54" s="211" t="str">
        <f t="shared" si="17"/>
        <v>N/A</v>
      </c>
      <c r="DB54" s="211" t="str">
        <f t="shared" si="18"/>
        <v>N/A</v>
      </c>
      <c r="DC54" s="211" t="str">
        <f t="shared" si="19"/>
        <v>N/A</v>
      </c>
      <c r="DD54" s="211" t="str">
        <f t="shared" si="20"/>
        <v>N/A</v>
      </c>
      <c r="DE54" s="211" t="str">
        <f t="shared" si="21"/>
        <v>N/A</v>
      </c>
      <c r="DF54" s="211" t="str">
        <f t="shared" si="22"/>
        <v>N/A</v>
      </c>
    </row>
    <row r="55" spans="1:110" s="211" customFormat="1" ht="306">
      <c r="A55" s="348" t="s">
        <v>359</v>
      </c>
      <c r="B55" s="211" t="s">
        <v>140</v>
      </c>
      <c r="C55" s="211" t="s">
        <v>360</v>
      </c>
      <c r="D55" s="211" t="s">
        <v>361</v>
      </c>
      <c r="E55" s="211" t="s">
        <v>362</v>
      </c>
      <c r="F55" s="348" t="s">
        <v>363</v>
      </c>
      <c r="G55" s="211" t="s">
        <v>157</v>
      </c>
      <c r="H55" s="211">
        <v>15</v>
      </c>
      <c r="I55" s="323">
        <v>15</v>
      </c>
      <c r="J55" s="323">
        <v>15</v>
      </c>
      <c r="K55" s="288">
        <v>1</v>
      </c>
      <c r="L55" s="211" t="s">
        <v>2821</v>
      </c>
      <c r="M55" s="211" t="b">
        <v>0</v>
      </c>
      <c r="O55" s="209" t="s">
        <v>2832</v>
      </c>
      <c r="P55" s="211" t="s">
        <v>159</v>
      </c>
      <c r="Q55" s="211" t="s">
        <v>160</v>
      </c>
      <c r="T55" s="236" t="s">
        <v>1320</v>
      </c>
      <c r="U55" s="269"/>
      <c r="V55" s="269"/>
      <c r="W55" s="269"/>
      <c r="X55" s="269">
        <v>0.33</v>
      </c>
      <c r="Y55" s="269"/>
      <c r="Z55" s="269"/>
      <c r="AA55" s="269"/>
      <c r="AB55" s="269">
        <v>0.33</v>
      </c>
      <c r="AC55" s="269"/>
      <c r="AD55" s="269"/>
      <c r="AE55" s="269"/>
      <c r="AF55" s="269">
        <v>0.34</v>
      </c>
      <c r="AG55" s="269">
        <v>1</v>
      </c>
      <c r="AH55"/>
      <c r="AI55"/>
      <c r="AJ55" s="236" t="s">
        <v>1320</v>
      </c>
      <c r="AK55" s="269"/>
      <c r="AL55" s="269"/>
      <c r="AM55" s="269"/>
      <c r="AN55" s="269">
        <v>1</v>
      </c>
      <c r="AO55" s="269"/>
      <c r="AP55" s="269"/>
      <c r="AQ55" s="269"/>
      <c r="AR55" s="269">
        <v>1</v>
      </c>
      <c r="AS55" s="269"/>
      <c r="AT55" s="269"/>
      <c r="AU55" s="269"/>
      <c r="AV55" s="269">
        <v>1</v>
      </c>
      <c r="AW55" s="269">
        <v>3</v>
      </c>
      <c r="AX55" s="236"/>
      <c r="AY55" s="236"/>
      <c r="AZ55" s="236"/>
      <c r="BA55" s="236" t="s">
        <v>408</v>
      </c>
      <c r="BB55" s="240">
        <f t="shared" si="30"/>
        <v>0</v>
      </c>
      <c r="BC55" s="240">
        <f t="shared" si="31"/>
        <v>0</v>
      </c>
      <c r="BD55" s="240">
        <f t="shared" si="32"/>
        <v>3</v>
      </c>
      <c r="BE55" s="240">
        <f t="shared" si="33"/>
        <v>0</v>
      </c>
      <c r="BF55" s="240">
        <f t="shared" si="34"/>
        <v>0</v>
      </c>
      <c r="BG55" s="240">
        <f t="shared" si="35"/>
        <v>2</v>
      </c>
      <c r="BH55" s="240">
        <f t="shared" si="36"/>
        <v>0</v>
      </c>
      <c r="BI55" s="240">
        <f t="shared" si="37"/>
        <v>0</v>
      </c>
      <c r="BJ55" s="240">
        <f t="shared" si="38"/>
        <v>3</v>
      </c>
      <c r="BK55" s="240">
        <f t="shared" si="23"/>
        <v>0</v>
      </c>
      <c r="BL55" s="240">
        <f t="shared" si="24"/>
        <v>0</v>
      </c>
      <c r="BM55" s="240">
        <f t="shared" si="25"/>
        <v>3</v>
      </c>
      <c r="BN55" s="211">
        <f t="shared" si="39"/>
        <v>0</v>
      </c>
      <c r="BO55" s="236">
        <f t="shared" si="40"/>
        <v>0</v>
      </c>
      <c r="BP55" s="236">
        <f t="shared" si="41"/>
        <v>3</v>
      </c>
      <c r="BQ55" s="236">
        <f t="shared" si="42"/>
        <v>0</v>
      </c>
      <c r="BR55" s="236">
        <f t="shared" si="43"/>
        <v>0</v>
      </c>
      <c r="BS55" s="236">
        <f t="shared" si="44"/>
        <v>3</v>
      </c>
      <c r="BT55" s="236">
        <f t="shared" si="45"/>
        <v>0</v>
      </c>
      <c r="BU55" s="236">
        <f t="shared" si="46"/>
        <v>0</v>
      </c>
      <c r="BV55" s="236">
        <f t="shared" si="47"/>
        <v>3</v>
      </c>
      <c r="BW55" s="236">
        <f t="shared" si="26"/>
        <v>0</v>
      </c>
      <c r="BX55" s="236">
        <f t="shared" si="27"/>
        <v>0</v>
      </c>
      <c r="BY55" s="236">
        <f t="shared" si="28"/>
        <v>3</v>
      </c>
      <c r="BZ55" s="236"/>
      <c r="CA55" s="275" t="s">
        <v>422</v>
      </c>
      <c r="CB55" s="272" t="str">
        <f t="shared" si="48"/>
        <v>N/A</v>
      </c>
      <c r="CC55" s="272" t="str">
        <f t="shared" si="49"/>
        <v>N/A</v>
      </c>
      <c r="CD55" s="272" t="str">
        <f t="shared" si="50"/>
        <v xml:space="preserve">​El indicador se cumple ya que que se han apropiado bajo los registros presupuestales asociados a los procesos de contración de prestación de servicios profesionales ( 8 contratos) y constituyen el 54% del total del presupuesto asignado a la Delegatura. 
</v>
      </c>
      <c r="CE55" s="284" t="str">
        <f t="shared" si="51"/>
        <v>N/A</v>
      </c>
      <c r="CF55" s="284" t="str">
        <f t="shared" si="52"/>
        <v>N/A</v>
      </c>
      <c r="CG55" s="284" t="str">
        <f t="shared" si="53"/>
        <v>N/A</v>
      </c>
      <c r="CH55" s="272" t="str">
        <f t="shared" si="54"/>
        <v>N/A</v>
      </c>
      <c r="CI55" s="211" t="str">
        <f t="shared" si="55"/>
        <v>N/A</v>
      </c>
      <c r="CJ55" s="211" t="str">
        <f t="shared" si="56"/>
        <v>N/A</v>
      </c>
      <c r="CK55" s="211" t="str">
        <f t="shared" si="57"/>
        <v>N/A</v>
      </c>
      <c r="CL55" s="211" t="str">
        <f t="shared" si="58"/>
        <v>N/A</v>
      </c>
      <c r="CM55" s="211" t="str">
        <f t="shared" si="59"/>
        <v>N/A</v>
      </c>
      <c r="CO55" s="211" t="s">
        <v>359</v>
      </c>
      <c r="CP55" s="211" t="s">
        <v>140</v>
      </c>
      <c r="CQ55" s="211" t="s">
        <v>360</v>
      </c>
      <c r="CR55" s="211" t="s">
        <v>361</v>
      </c>
      <c r="CS55" s="211" t="s">
        <v>2821</v>
      </c>
      <c r="CT55" s="211" t="s">
        <v>360</v>
      </c>
      <c r="CU55" s="211" t="str">
        <f t="shared" si="12"/>
        <v>N/A</v>
      </c>
      <c r="CV55" s="211" t="str">
        <f t="shared" si="13"/>
        <v>N/A</v>
      </c>
      <c r="CW55" s="211" t="str">
        <f t="shared" si="14"/>
        <v xml:space="preserve">De conformidad a la programación establecida en el PAAS para la vigencia 2025 y en atención a la actividad "Ejecutar Programa Anual Seguimiento a la Gestión Institucional", alusiva al indicador "Seguimientos y evaluaciones efectuadas al control institucional", la Oficina de Control Interno definió reportar en el mes de abril el cumplimiento correspondiente al primer trimestre de la presente anualidad; de ello, se puede precisar, que fueron ejecutadas las quince (15) actividades programadas.
Por lo anteriormente señalado, el porcentaje de cumplimiento para el período ahora reportado obedece al 100% de ejecución de acuerdo con lo definido en el Plan Anual de Seguimientos de Ley a la Gestión Institucional.
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
</v>
      </c>
      <c r="CX55" s="211" t="str">
        <f t="shared" si="15"/>
        <v>N/A</v>
      </c>
      <c r="CY55" s="211" t="str">
        <f t="shared" si="29"/>
        <v>N/A</v>
      </c>
      <c r="CZ55" s="211" t="str">
        <f t="shared" si="16"/>
        <v>N/A</v>
      </c>
      <c r="DA55" s="211" t="str">
        <f t="shared" si="17"/>
        <v>N/A</v>
      </c>
      <c r="DB55" s="211" t="str">
        <f t="shared" si="18"/>
        <v>N/A</v>
      </c>
      <c r="DC55" s="211" t="str">
        <f t="shared" si="19"/>
        <v>N/A</v>
      </c>
      <c r="DD55" s="211" t="str">
        <f t="shared" si="20"/>
        <v>N/A</v>
      </c>
      <c r="DE55" s="211" t="str">
        <f t="shared" si="21"/>
        <v>N/A</v>
      </c>
      <c r="DF55" s="211" t="str">
        <f t="shared" si="22"/>
        <v>N/A</v>
      </c>
    </row>
    <row r="56" spans="1:110" s="211" customFormat="1" ht="285">
      <c r="A56" s="348" t="s">
        <v>190</v>
      </c>
      <c r="B56" s="211" t="s">
        <v>140</v>
      </c>
      <c r="C56" s="211" t="s">
        <v>236</v>
      </c>
      <c r="D56" s="211" t="s">
        <v>372</v>
      </c>
      <c r="E56" s="211" t="s">
        <v>373</v>
      </c>
      <c r="F56" s="348" t="s">
        <v>374</v>
      </c>
      <c r="G56" s="211" t="s">
        <v>157</v>
      </c>
      <c r="H56" s="211">
        <v>2</v>
      </c>
      <c r="I56" s="323">
        <v>2</v>
      </c>
      <c r="J56" s="323">
        <v>2</v>
      </c>
      <c r="K56" s="288">
        <v>1</v>
      </c>
      <c r="L56" s="211" t="s">
        <v>3118</v>
      </c>
      <c r="M56" s="211" t="b">
        <v>0</v>
      </c>
      <c r="O56" s="209" t="s">
        <v>2832</v>
      </c>
      <c r="P56" s="211" t="s">
        <v>159</v>
      </c>
      <c r="Q56" s="211" t="s">
        <v>160</v>
      </c>
      <c r="T56" s="236" t="s">
        <v>226</v>
      </c>
      <c r="U56" s="269"/>
      <c r="V56" s="269"/>
      <c r="W56" s="269">
        <v>4</v>
      </c>
      <c r="X56" s="269"/>
      <c r="Y56" s="269"/>
      <c r="Z56" s="269">
        <v>3</v>
      </c>
      <c r="AA56" s="269"/>
      <c r="AB56" s="269"/>
      <c r="AC56" s="269">
        <v>3</v>
      </c>
      <c r="AD56" s="269"/>
      <c r="AE56" s="269"/>
      <c r="AF56" s="269">
        <v>4</v>
      </c>
      <c r="AG56" s="269">
        <v>14</v>
      </c>
      <c r="AH56"/>
      <c r="AI56"/>
      <c r="AJ56" s="236" t="s">
        <v>226</v>
      </c>
      <c r="AK56" s="269"/>
      <c r="AL56" s="269"/>
      <c r="AM56" s="269">
        <v>4</v>
      </c>
      <c r="AN56" s="269"/>
      <c r="AO56" s="269"/>
      <c r="AP56" s="269">
        <v>3</v>
      </c>
      <c r="AQ56" s="269"/>
      <c r="AR56" s="269"/>
      <c r="AS56" s="269">
        <v>3</v>
      </c>
      <c r="AT56" s="269"/>
      <c r="AU56" s="269"/>
      <c r="AV56" s="269">
        <v>4</v>
      </c>
      <c r="AW56" s="269">
        <v>14</v>
      </c>
      <c r="AX56" s="236"/>
      <c r="AY56" s="236"/>
      <c r="AZ56" s="236"/>
      <c r="BA56" s="239" t="s">
        <v>1313</v>
      </c>
      <c r="BB56" s="240">
        <f t="shared" si="30"/>
        <v>0</v>
      </c>
      <c r="BC56" s="240">
        <f t="shared" si="31"/>
        <v>0</v>
      </c>
      <c r="BD56" s="240">
        <f t="shared" si="32"/>
        <v>0</v>
      </c>
      <c r="BE56" s="240">
        <f t="shared" si="33"/>
        <v>0</v>
      </c>
      <c r="BF56" s="240">
        <f t="shared" si="34"/>
        <v>0</v>
      </c>
      <c r="BG56" s="240">
        <f t="shared" si="35"/>
        <v>0</v>
      </c>
      <c r="BH56" s="240">
        <f t="shared" si="36"/>
        <v>0.5</v>
      </c>
      <c r="BI56" s="240">
        <f t="shared" si="37"/>
        <v>0</v>
      </c>
      <c r="BJ56" s="240">
        <f t="shared" si="38"/>
        <v>0</v>
      </c>
      <c r="BK56" s="240">
        <f t="shared" si="23"/>
        <v>0</v>
      </c>
      <c r="BL56" s="240">
        <f t="shared" si="24"/>
        <v>0</v>
      </c>
      <c r="BM56" s="240">
        <f t="shared" si="25"/>
        <v>1</v>
      </c>
      <c r="BN56" s="211">
        <f t="shared" si="39"/>
        <v>0</v>
      </c>
      <c r="BO56" s="236">
        <f t="shared" si="40"/>
        <v>0</v>
      </c>
      <c r="BP56" s="236">
        <f t="shared" si="41"/>
        <v>0</v>
      </c>
      <c r="BQ56" s="236">
        <f t="shared" si="42"/>
        <v>0</v>
      </c>
      <c r="BR56" s="236">
        <f t="shared" si="43"/>
        <v>0</v>
      </c>
      <c r="BS56" s="236">
        <f t="shared" si="44"/>
        <v>0</v>
      </c>
      <c r="BT56" s="236">
        <f t="shared" si="45"/>
        <v>1</v>
      </c>
      <c r="BU56" s="236">
        <f t="shared" si="46"/>
        <v>0</v>
      </c>
      <c r="BV56" s="236">
        <f t="shared" si="47"/>
        <v>0</v>
      </c>
      <c r="BW56" s="236">
        <f t="shared" si="26"/>
        <v>0</v>
      </c>
      <c r="BX56" s="236">
        <f t="shared" si="27"/>
        <v>0</v>
      </c>
      <c r="BY56" s="236">
        <f t="shared" si="28"/>
        <v>1</v>
      </c>
      <c r="BZ56" s="236"/>
      <c r="CA56" s="275" t="s">
        <v>306</v>
      </c>
      <c r="CB56" s="272" t="str">
        <f t="shared" si="48"/>
        <v>N/A</v>
      </c>
      <c r="CC56" s="272" t="str">
        <f t="shared" si="49"/>
        <v>N/A</v>
      </c>
      <c r="CD56" s="272" t="str">
        <f t="shared" si="50"/>
        <v>N/A</v>
      </c>
      <c r="CE56" s="284" t="str">
        <f t="shared" si="51"/>
        <v>N/A</v>
      </c>
      <c r="CF56" s="284" t="str">
        <f t="shared" si="52"/>
        <v>N/A</v>
      </c>
      <c r="CG56" s="284" t="str">
        <f t="shared" si="53"/>
        <v xml:space="preserve">INDICADOR A DEMANDA 
Solicitudes aceptadas por ANS: 189 en el semestre 
Solicitudes recibidas​ en el semestre  376
Ante el alto porcentaje de devoluciones a las areas proveedores, durante el segundo trimestre de 2025 se adelantaron mesas de actualización de ANS con todos los proveedores del proceso administrativo sancionatorio, en donde se recordaron los acuerdos a las areas y se resolvieron dudas, con el fin de reducir estas devolciones a la luz de los acuerdos de nivel de servicio
</v>
      </c>
      <c r="CH56" s="272" t="str">
        <f t="shared" si="54"/>
        <v>N/A</v>
      </c>
      <c r="CI56" s="211" t="str">
        <f t="shared" si="55"/>
        <v>N/A</v>
      </c>
      <c r="CJ56" s="211" t="str">
        <f t="shared" si="56"/>
        <v>N/A</v>
      </c>
      <c r="CK56" s="211" t="str">
        <f t="shared" si="57"/>
        <v>N/A</v>
      </c>
      <c r="CL56" s="211" t="str">
        <f t="shared" si="58"/>
        <v>N/A</v>
      </c>
      <c r="CM56" s="211" t="str">
        <f t="shared" si="59"/>
        <v>N/A</v>
      </c>
      <c r="CO56" s="211" t="s">
        <v>190</v>
      </c>
      <c r="CP56" s="211" t="s">
        <v>140</v>
      </c>
      <c r="CQ56" s="211" t="s">
        <v>236</v>
      </c>
      <c r="CR56" s="211" t="s">
        <v>372</v>
      </c>
      <c r="CS56" s="211" t="s">
        <v>3118</v>
      </c>
      <c r="CT56" s="211" t="s">
        <v>236</v>
      </c>
      <c r="CU56" s="211" t="str">
        <f t="shared" si="12"/>
        <v>N/A</v>
      </c>
      <c r="CV56" s="211" t="str">
        <f t="shared" si="13"/>
        <v>N/A</v>
      </c>
      <c r="CW56" s="211" t="str">
        <f t="shared" si="14"/>
        <v xml:space="preserve">En los meses de enero, febrero y marzo de 2025  el Grupo de Almacen realizó campañas de sensibilizacion y asesoria a los funcionarios y contratistas de la Entidad acerca del cuidado y control de los bienes.   
Algunas de las evidencias donde despues de la explicacion del manejo en el Aplicativo de Control de Activos ApliCA; sobre como realizar los traslados y reintegros se les envio  correos electronicos de fechas 17/01/2025, 28/02/2025 y 19/03/2025.                                                                                                                                                                                                                                         Esto con el fin de mantener el uso correcto de los mismos y evitar acciones disciplinarias. Como resultado se ha obtenido que los funcionarios tengan el mayor cuidado de los bienes a cargo de cada uno y asi darle el mejor uso para el desarrollo de las funciones.
</v>
      </c>
      <c r="CX56" s="211" t="str">
        <f t="shared" si="15"/>
        <v>N/A</v>
      </c>
      <c r="CY56" s="211" t="str">
        <f t="shared" si="29"/>
        <v>N/A</v>
      </c>
      <c r="CZ56" s="211" t="str">
        <f t="shared" si="16"/>
        <v>N/A</v>
      </c>
      <c r="DA56" s="211" t="str">
        <f t="shared" si="17"/>
        <v>N/A</v>
      </c>
      <c r="DB56" s="211" t="str">
        <f t="shared" si="18"/>
        <v>N/A</v>
      </c>
      <c r="DC56" s="211" t="str">
        <f t="shared" si="19"/>
        <v>N/A</v>
      </c>
      <c r="DD56" s="211" t="str">
        <f t="shared" si="20"/>
        <v>N/A</v>
      </c>
      <c r="DE56" s="211" t="str">
        <f t="shared" si="21"/>
        <v>N/A</v>
      </c>
      <c r="DF56" s="211" t="str">
        <f t="shared" si="22"/>
        <v>N/A</v>
      </c>
    </row>
    <row r="57" spans="1:110" s="211" customFormat="1" ht="229.5">
      <c r="A57" s="348" t="s">
        <v>190</v>
      </c>
      <c r="B57" s="211" t="s">
        <v>140</v>
      </c>
      <c r="C57" s="211" t="s">
        <v>244</v>
      </c>
      <c r="D57" s="211" t="s">
        <v>376</v>
      </c>
      <c r="E57" s="211" t="s">
        <v>377</v>
      </c>
      <c r="F57" s="348" t="s">
        <v>378</v>
      </c>
      <c r="G57" s="211" t="s">
        <v>178</v>
      </c>
      <c r="H57" s="211">
        <v>16</v>
      </c>
      <c r="I57" s="323">
        <v>16</v>
      </c>
      <c r="J57" s="323">
        <v>63</v>
      </c>
      <c r="K57" s="288">
        <v>0.25396825396825401</v>
      </c>
      <c r="L57" s="211" t="s">
        <v>2956</v>
      </c>
      <c r="M57" s="211" t="b">
        <v>1</v>
      </c>
      <c r="N57" s="211" t="s">
        <v>379</v>
      </c>
      <c r="O57" s="209" t="s">
        <v>2832</v>
      </c>
      <c r="P57" s="211" t="s">
        <v>159</v>
      </c>
      <c r="Q57" s="211" t="s">
        <v>160</v>
      </c>
      <c r="T57" s="236" t="s">
        <v>231</v>
      </c>
      <c r="U57" s="269"/>
      <c r="V57" s="269"/>
      <c r="W57" s="269">
        <v>96859043620</v>
      </c>
      <c r="X57" s="269"/>
      <c r="Y57" s="269"/>
      <c r="Z57" s="269">
        <v>149357146852</v>
      </c>
      <c r="AA57" s="269"/>
      <c r="AB57" s="269"/>
      <c r="AC57" s="269">
        <v>229777018957</v>
      </c>
      <c r="AD57" s="269"/>
      <c r="AE57" s="269"/>
      <c r="AF57" s="269">
        <v>315358112464</v>
      </c>
      <c r="AG57" s="269">
        <v>791351321893</v>
      </c>
      <c r="AH57"/>
      <c r="AI57"/>
      <c r="AJ57" s="236" t="s">
        <v>231</v>
      </c>
      <c r="AK57" s="269"/>
      <c r="AL57" s="269"/>
      <c r="AM57" s="269">
        <v>326211744691</v>
      </c>
      <c r="AN57" s="269"/>
      <c r="AO57" s="269"/>
      <c r="AP57" s="269">
        <v>326211744691</v>
      </c>
      <c r="AQ57" s="269"/>
      <c r="AR57" s="269"/>
      <c r="AS57" s="269">
        <v>326211744691</v>
      </c>
      <c r="AT57" s="269"/>
      <c r="AU57" s="269"/>
      <c r="AV57" s="269">
        <v>316593914285</v>
      </c>
      <c r="AW57" s="269">
        <v>1295229148358</v>
      </c>
      <c r="AX57" s="236"/>
      <c r="AY57" s="236"/>
      <c r="AZ57" s="236"/>
      <c r="BA57" s="239" t="s">
        <v>312</v>
      </c>
      <c r="BB57" s="240">
        <f t="shared" si="30"/>
        <v>0</v>
      </c>
      <c r="BC57" s="240">
        <f t="shared" si="31"/>
        <v>0</v>
      </c>
      <c r="BD57" s="240">
        <f t="shared" si="32"/>
        <v>0</v>
      </c>
      <c r="BE57" s="240">
        <f t="shared" si="33"/>
        <v>2</v>
      </c>
      <c r="BF57" s="240">
        <f t="shared" si="34"/>
        <v>0</v>
      </c>
      <c r="BG57" s="240">
        <f t="shared" si="35"/>
        <v>0</v>
      </c>
      <c r="BH57" s="240">
        <f t="shared" si="36"/>
        <v>0</v>
      </c>
      <c r="BI57" s="240">
        <f t="shared" si="37"/>
        <v>1</v>
      </c>
      <c r="BJ57" s="240">
        <f t="shared" si="38"/>
        <v>0</v>
      </c>
      <c r="BK57" s="240">
        <f t="shared" si="23"/>
        <v>0</v>
      </c>
      <c r="BL57" s="240">
        <f t="shared" si="24"/>
        <v>0</v>
      </c>
      <c r="BM57" s="240">
        <f t="shared" si="25"/>
        <v>2</v>
      </c>
      <c r="BN57" s="211">
        <f t="shared" si="39"/>
        <v>0</v>
      </c>
      <c r="BO57" s="236">
        <f t="shared" si="40"/>
        <v>0</v>
      </c>
      <c r="BP57" s="236">
        <f t="shared" si="41"/>
        <v>0</v>
      </c>
      <c r="BQ57" s="236">
        <f t="shared" si="42"/>
        <v>2</v>
      </c>
      <c r="BR57" s="236">
        <f t="shared" si="43"/>
        <v>0</v>
      </c>
      <c r="BS57" s="236">
        <f t="shared" si="44"/>
        <v>0</v>
      </c>
      <c r="BT57" s="236">
        <f t="shared" si="45"/>
        <v>0</v>
      </c>
      <c r="BU57" s="236">
        <f t="shared" si="46"/>
        <v>1</v>
      </c>
      <c r="BV57" s="236">
        <f t="shared" si="47"/>
        <v>0</v>
      </c>
      <c r="BW57" s="236">
        <f t="shared" si="26"/>
        <v>0</v>
      </c>
      <c r="BX57" s="236">
        <f t="shared" si="27"/>
        <v>0</v>
      </c>
      <c r="BY57" s="236">
        <f t="shared" si="28"/>
        <v>2</v>
      </c>
      <c r="BZ57" s="236"/>
      <c r="CA57" s="275" t="s">
        <v>316</v>
      </c>
      <c r="CB57" s="272" t="str">
        <f t="shared" si="48"/>
        <v>N/A</v>
      </c>
      <c r="CC57" s="272" t="str">
        <f t="shared" si="49"/>
        <v>N/A</v>
      </c>
      <c r="CD57" s="272" t="str">
        <f t="shared" si="50"/>
        <v xml:space="preserve">​Este indicador es a demanda y a la fecha no se han expedido procesos con priorización  , es importante resaltar que el denominador aplicado es el del total de expedientes con averiguación/apertura/ improcedencia que son 37 en total 
</v>
      </c>
      <c r="CE57" s="284" t="str">
        <f t="shared" si="51"/>
        <v>N/A</v>
      </c>
      <c r="CF57" s="284" t="str">
        <f t="shared" si="52"/>
        <v>N/A</v>
      </c>
      <c r="CG57" s="284" t="str">
        <f t="shared" si="53"/>
        <v>N/A</v>
      </c>
      <c r="CH57" s="272" t="str">
        <f t="shared" si="54"/>
        <v>N/A</v>
      </c>
      <c r="CI57" s="211" t="str">
        <f t="shared" si="55"/>
        <v>N/A</v>
      </c>
      <c r="CJ57" s="211" t="str">
        <f t="shared" si="56"/>
        <v>N/A</v>
      </c>
      <c r="CK57" s="211" t="str">
        <f t="shared" si="57"/>
        <v>N/A</v>
      </c>
      <c r="CL57" s="211" t="str">
        <f t="shared" si="58"/>
        <v>N/A</v>
      </c>
      <c r="CM57" s="211" t="str">
        <f t="shared" si="59"/>
        <v>N/A</v>
      </c>
      <c r="CO57" s="211" t="s">
        <v>190</v>
      </c>
      <c r="CP57" s="211" t="s">
        <v>140</v>
      </c>
      <c r="CQ57" s="211" t="s">
        <v>244</v>
      </c>
      <c r="CR57" s="211" t="s">
        <v>376</v>
      </c>
      <c r="CS57" s="211" t="s">
        <v>2956</v>
      </c>
      <c r="CT57" s="211" t="s">
        <v>244</v>
      </c>
      <c r="CU57" s="211" t="str">
        <f t="shared" si="12"/>
        <v>N/A</v>
      </c>
      <c r="CV57" s="211" t="str">
        <f t="shared" si="13"/>
        <v>N/A</v>
      </c>
      <c r="CW57" s="211" t="str">
        <f t="shared" si="14"/>
        <v xml:space="preserve">Los funcionarios encargados del componente Ambiental del  Grupo de Recursos Físicos, realizaron el seguimiento y cumplimiento oportuno de las actividades generadas en el cronograma de Hitos ambientales del Sistema de Gestión Ambiental con corte a marzo de 2025, realizando todas las actividades programadas, con el fin de mejorar el rendimiento del Sistema de Gestión Ambiental basado en la ISO 14001:2015. Lo anteior, con el fin de posesionar el sistema de Gestión Ambiental en busca de adherir conocimiento y madures del mismo. 
Se generaron las evidencias correspondientes de las actividades ejecutadas del cronograma.
Se ejecutaron las 16 actividades  programadas generando un avance del 25%  conforme planeación establecida en el cronograma.
</v>
      </c>
      <c r="CX57" s="211" t="str">
        <f t="shared" si="15"/>
        <v>N/A</v>
      </c>
      <c r="CY57" s="211" t="str">
        <f t="shared" si="29"/>
        <v>N/A</v>
      </c>
      <c r="CZ57" s="211" t="str">
        <f t="shared" si="16"/>
        <v>N/A</v>
      </c>
      <c r="DA57" s="211" t="str">
        <f t="shared" si="17"/>
        <v>N/A</v>
      </c>
      <c r="DB57" s="211" t="str">
        <f t="shared" si="18"/>
        <v>N/A</v>
      </c>
      <c r="DC57" s="211" t="str">
        <f t="shared" si="19"/>
        <v>N/A</v>
      </c>
      <c r="DD57" s="211" t="str">
        <f t="shared" si="20"/>
        <v>N/A</v>
      </c>
      <c r="DE57" s="211" t="str">
        <f t="shared" si="21"/>
        <v>N/A</v>
      </c>
      <c r="DF57" s="211" t="str">
        <f t="shared" si="22"/>
        <v>N/A</v>
      </c>
    </row>
    <row r="58" spans="1:110" s="211" customFormat="1" ht="267.75">
      <c r="A58" s="348" t="s">
        <v>190</v>
      </c>
      <c r="B58" s="211" t="s">
        <v>140</v>
      </c>
      <c r="C58" s="211" t="s">
        <v>251</v>
      </c>
      <c r="D58" s="211" t="s">
        <v>472</v>
      </c>
      <c r="E58" s="211" t="s">
        <v>473</v>
      </c>
      <c r="F58" s="348" t="s">
        <v>474</v>
      </c>
      <c r="G58" s="211" t="s">
        <v>157</v>
      </c>
      <c r="H58" s="211">
        <v>3</v>
      </c>
      <c r="I58" s="433">
        <v>3</v>
      </c>
      <c r="J58" s="433">
        <v>3</v>
      </c>
      <c r="K58" s="288">
        <v>1</v>
      </c>
      <c r="L58" s="211" t="s">
        <v>2957</v>
      </c>
      <c r="M58" s="211" t="b">
        <v>0</v>
      </c>
      <c r="O58" s="209" t="s">
        <v>2832</v>
      </c>
      <c r="P58" s="211" t="s">
        <v>159</v>
      </c>
      <c r="Q58" s="211" t="s">
        <v>160</v>
      </c>
      <c r="T58" s="236" t="s">
        <v>422</v>
      </c>
      <c r="U58" s="269"/>
      <c r="V58" s="269"/>
      <c r="W58" s="269">
        <v>400000000</v>
      </c>
      <c r="X58" s="269"/>
      <c r="Y58" s="269"/>
      <c r="Z58" s="269">
        <v>599023035</v>
      </c>
      <c r="AA58" s="269"/>
      <c r="AB58" s="269"/>
      <c r="AC58" s="269">
        <v>711860467</v>
      </c>
      <c r="AD58" s="269"/>
      <c r="AE58" s="269"/>
      <c r="AF58" s="269">
        <v>724231179</v>
      </c>
      <c r="AG58" s="269">
        <v>2435114681</v>
      </c>
      <c r="AH58"/>
      <c r="AI58"/>
      <c r="AJ58" s="236" t="s">
        <v>422</v>
      </c>
      <c r="AK58" s="269"/>
      <c r="AL58" s="269"/>
      <c r="AM58" s="269">
        <v>731506000</v>
      </c>
      <c r="AN58" s="269"/>
      <c r="AO58" s="269"/>
      <c r="AP58" s="269">
        <v>731506000</v>
      </c>
      <c r="AQ58" s="269"/>
      <c r="AR58" s="269"/>
      <c r="AS58" s="269">
        <v>731506000</v>
      </c>
      <c r="AT58" s="269"/>
      <c r="AU58" s="269"/>
      <c r="AV58" s="269">
        <v>724431179</v>
      </c>
      <c r="AW58" s="269">
        <v>2918949179</v>
      </c>
      <c r="AX58" s="236"/>
      <c r="AY58" s="236"/>
      <c r="AZ58" s="236"/>
      <c r="BA58" s="239" t="s">
        <v>245</v>
      </c>
      <c r="BB58" s="240">
        <f t="shared" si="30"/>
        <v>0</v>
      </c>
      <c r="BC58" s="240">
        <f t="shared" si="31"/>
        <v>0</v>
      </c>
      <c r="BD58" s="240">
        <f t="shared" si="32"/>
        <v>2</v>
      </c>
      <c r="BE58" s="240">
        <f t="shared" si="33"/>
        <v>0</v>
      </c>
      <c r="BF58" s="240">
        <f t="shared" si="34"/>
        <v>0</v>
      </c>
      <c r="BG58" s="240">
        <f t="shared" si="35"/>
        <v>8</v>
      </c>
      <c r="BH58" s="240">
        <f t="shared" si="36"/>
        <v>0</v>
      </c>
      <c r="BI58" s="240">
        <f t="shared" si="37"/>
        <v>0</v>
      </c>
      <c r="BJ58" s="240">
        <f t="shared" si="38"/>
        <v>0</v>
      </c>
      <c r="BK58" s="240">
        <f t="shared" si="23"/>
        <v>0</v>
      </c>
      <c r="BL58" s="240">
        <f t="shared" si="24"/>
        <v>0</v>
      </c>
      <c r="BM58" s="240">
        <f t="shared" si="25"/>
        <v>10</v>
      </c>
      <c r="BN58" s="211">
        <f t="shared" si="39"/>
        <v>0</v>
      </c>
      <c r="BO58" s="236">
        <f t="shared" si="40"/>
        <v>0</v>
      </c>
      <c r="BP58" s="236">
        <f t="shared" si="41"/>
        <v>10</v>
      </c>
      <c r="BQ58" s="236">
        <f t="shared" si="42"/>
        <v>0</v>
      </c>
      <c r="BR58" s="236">
        <f t="shared" si="43"/>
        <v>0</v>
      </c>
      <c r="BS58" s="236">
        <f t="shared" si="44"/>
        <v>10</v>
      </c>
      <c r="BT58" s="236">
        <f t="shared" si="45"/>
        <v>0</v>
      </c>
      <c r="BU58" s="236">
        <f t="shared" si="46"/>
        <v>0</v>
      </c>
      <c r="BV58" s="236">
        <f t="shared" si="47"/>
        <v>0</v>
      </c>
      <c r="BW58" s="236">
        <f t="shared" si="26"/>
        <v>0</v>
      </c>
      <c r="BX58" s="236">
        <f t="shared" si="27"/>
        <v>0</v>
      </c>
      <c r="BY58" s="236">
        <f t="shared" si="28"/>
        <v>10</v>
      </c>
      <c r="BZ58" s="236"/>
      <c r="CA58" s="275" t="s">
        <v>534</v>
      </c>
      <c r="CB58" s="272" t="str">
        <f t="shared" si="48"/>
        <v>N/A</v>
      </c>
      <c r="CC58" s="272" t="str">
        <f t="shared" si="49"/>
        <v>N/A</v>
      </c>
      <c r="CD58" s="272" t="str">
        <f t="shared" si="50"/>
        <v>N/A</v>
      </c>
      <c r="CE58" s="284" t="str">
        <f t="shared" si="51"/>
        <v>N/A</v>
      </c>
      <c r="CF58" s="284" t="str">
        <f t="shared" si="52"/>
        <v>N/A</v>
      </c>
      <c r="CG58" s="284" t="str">
        <f t="shared" si="53"/>
        <v>​SE REALIZARON CON EXITO LAS SIGUIENTES PREJORNADAS :
1. PRE-JORNADA BOLÍVAR – CÓRDOBA Y SUCRE
2. PRE-JORNADA GUAJIRA Y CESAR
3. PRE-JORNADA ATLÁNTICO – MAGDALENA Y SAN ANDRÉS 
4. PRE-JORNADA META – AMAZONAS – GUAVIARE – VAUPÉS – VICHADA Y GUAINÍA. 
5. PRE-JORNADA CAUCA 
 6. PRE-JORNADA BOYACÁ 
 7. PRE-JORNADA ANTIOQUIA Y CHOCÓ. </v>
      </c>
      <c r="CH58" s="272" t="str">
        <f t="shared" si="54"/>
        <v>N/A</v>
      </c>
      <c r="CI58" s="211" t="str">
        <f t="shared" si="55"/>
        <v>N/A</v>
      </c>
      <c r="CJ58" s="211" t="str">
        <f t="shared" si="56"/>
        <v>N/A</v>
      </c>
      <c r="CK58" s="211" t="str">
        <f t="shared" si="57"/>
        <v>N/A</v>
      </c>
      <c r="CL58" s="211" t="str">
        <f t="shared" si="58"/>
        <v>N/A</v>
      </c>
      <c r="CM58" s="211" t="str">
        <f t="shared" si="59"/>
        <v>N/A</v>
      </c>
      <c r="CO58" s="211" t="s">
        <v>190</v>
      </c>
      <c r="CP58" s="211" t="s">
        <v>140</v>
      </c>
      <c r="CQ58" s="211" t="s">
        <v>251</v>
      </c>
      <c r="CR58" s="211" t="s">
        <v>472</v>
      </c>
      <c r="CS58" s="211" t="s">
        <v>2957</v>
      </c>
      <c r="CT58" s="211" t="s">
        <v>251</v>
      </c>
      <c r="CU58" s="211" t="str">
        <f t="shared" si="12"/>
        <v>N/A</v>
      </c>
      <c r="CV58" s="211" t="str">
        <f t="shared" si="13"/>
        <v>N/A</v>
      </c>
      <c r="CW58" s="211" t="str">
        <f t="shared" si="14"/>
        <v xml:space="preserve">ElPlan Anual de Adquisiciones (PAA) vigencia 2025, a corte marzo, cuenta con 258 líneas programadas y presenta un porcentaje de ejecución del 17,57%, con un avance en recursos de inversión del 16,65% y en recursos de funcionamiento del 24,24%. Se encuentran pendientes por radicar 4 líneas PAA por parte de diferentes dependencias. El PAA ha sido publicado en SECOP II y en la página web de la Superintendencia Nacional de Salud, con una publicación inicial y 7 actualizaciones realizadas en el primer trimestre del año.
Se ha realizado seguimiento continuo al PAA mediante acciones como revisiones por parte de la Dirección de Contratación, socialización con el ordenador del gasto, reuniones de trabajo con las dependencias y reporte del avance a la Secretaría General, garantizando así el cumplimiento de los lineamientos establecidos.
</v>
      </c>
      <c r="CX58" s="211" t="str">
        <f t="shared" si="15"/>
        <v>N/A</v>
      </c>
      <c r="CY58" s="211" t="str">
        <f t="shared" si="29"/>
        <v>N/A</v>
      </c>
      <c r="CZ58" s="211" t="str">
        <f t="shared" si="16"/>
        <v>N/A</v>
      </c>
      <c r="DA58" s="211" t="str">
        <f t="shared" si="17"/>
        <v>N/A</v>
      </c>
      <c r="DB58" s="211" t="str">
        <f t="shared" si="18"/>
        <v>N/A</v>
      </c>
      <c r="DC58" s="211" t="str">
        <f t="shared" si="19"/>
        <v>N/A</v>
      </c>
      <c r="DD58" s="211" t="str">
        <f t="shared" si="20"/>
        <v>N/A</v>
      </c>
      <c r="DE58" s="211" t="str">
        <f t="shared" si="21"/>
        <v>N/A</v>
      </c>
      <c r="DF58" s="211" t="str">
        <f t="shared" si="22"/>
        <v>N/A</v>
      </c>
    </row>
    <row r="59" spans="1:110" s="211" customFormat="1" ht="240">
      <c r="A59" s="348" t="s">
        <v>190</v>
      </c>
      <c r="B59" s="211" t="s">
        <v>140</v>
      </c>
      <c r="C59" s="211" t="s">
        <v>191</v>
      </c>
      <c r="D59" s="211" t="s">
        <v>192</v>
      </c>
      <c r="E59" s="211" t="s">
        <v>193</v>
      </c>
      <c r="F59" s="348" t="s">
        <v>194</v>
      </c>
      <c r="G59" s="211" t="s">
        <v>178</v>
      </c>
      <c r="H59" s="211">
        <v>0.95</v>
      </c>
      <c r="I59" s="323">
        <v>1875</v>
      </c>
      <c r="J59" s="323">
        <v>1927</v>
      </c>
      <c r="K59" s="288">
        <v>0.97301504929942895</v>
      </c>
      <c r="L59" s="211" t="s">
        <v>195</v>
      </c>
      <c r="M59" s="211" t="b">
        <v>0</v>
      </c>
      <c r="O59" s="209" t="s">
        <v>2832</v>
      </c>
      <c r="P59" s="211" t="s">
        <v>159</v>
      </c>
      <c r="Q59" s="211" t="s">
        <v>160</v>
      </c>
      <c r="T59" s="236" t="s">
        <v>216</v>
      </c>
      <c r="U59" s="269">
        <v>42</v>
      </c>
      <c r="V59" s="269">
        <v>129</v>
      </c>
      <c r="W59" s="269">
        <v>122</v>
      </c>
      <c r="X59" s="269">
        <v>146</v>
      </c>
      <c r="Y59" s="269">
        <v>140</v>
      </c>
      <c r="Z59" s="269">
        <v>423</v>
      </c>
      <c r="AA59" s="269">
        <v>211</v>
      </c>
      <c r="AB59" s="269">
        <v>203</v>
      </c>
      <c r="AC59" s="269">
        <v>436</v>
      </c>
      <c r="AD59" s="269">
        <v>259</v>
      </c>
      <c r="AE59" s="269">
        <v>302</v>
      </c>
      <c r="AF59" s="269">
        <v>829</v>
      </c>
      <c r="AG59" s="269">
        <v>3242</v>
      </c>
      <c r="AH59"/>
      <c r="AI59"/>
      <c r="AJ59" s="236" t="s">
        <v>216</v>
      </c>
      <c r="AK59" s="269">
        <v>42</v>
      </c>
      <c r="AL59" s="269">
        <v>129</v>
      </c>
      <c r="AM59" s="269">
        <v>122</v>
      </c>
      <c r="AN59" s="269">
        <v>146</v>
      </c>
      <c r="AO59" s="269">
        <v>100</v>
      </c>
      <c r="AP59" s="269">
        <v>423</v>
      </c>
      <c r="AQ59" s="269">
        <v>211</v>
      </c>
      <c r="AR59" s="269">
        <v>203</v>
      </c>
      <c r="AS59" s="269">
        <v>436</v>
      </c>
      <c r="AT59" s="269">
        <v>259</v>
      </c>
      <c r="AU59" s="269">
        <v>302</v>
      </c>
      <c r="AV59" s="269">
        <v>829</v>
      </c>
      <c r="AW59" s="269">
        <v>3202</v>
      </c>
      <c r="AX59" s="236"/>
      <c r="AY59" s="236"/>
      <c r="AZ59" s="236"/>
      <c r="BA59" s="239" t="s">
        <v>1320</v>
      </c>
      <c r="BB59" s="240">
        <f t="shared" si="30"/>
        <v>0</v>
      </c>
      <c r="BC59" s="240">
        <f t="shared" si="31"/>
        <v>0</v>
      </c>
      <c r="BD59" s="240">
        <f t="shared" si="32"/>
        <v>0</v>
      </c>
      <c r="BE59" s="240">
        <f t="shared" si="33"/>
        <v>0.33</v>
      </c>
      <c r="BF59" s="240">
        <f t="shared" si="34"/>
        <v>0</v>
      </c>
      <c r="BG59" s="240">
        <f t="shared" si="35"/>
        <v>0</v>
      </c>
      <c r="BH59" s="240">
        <f t="shared" si="36"/>
        <v>0</v>
      </c>
      <c r="BI59" s="240">
        <f t="shared" si="37"/>
        <v>0.33</v>
      </c>
      <c r="BJ59" s="240">
        <f t="shared" si="38"/>
        <v>0</v>
      </c>
      <c r="BK59" s="240">
        <f t="shared" si="23"/>
        <v>0</v>
      </c>
      <c r="BL59" s="240">
        <f t="shared" si="24"/>
        <v>0</v>
      </c>
      <c r="BM59" s="240">
        <f t="shared" si="25"/>
        <v>0.34</v>
      </c>
      <c r="BN59" s="211">
        <f t="shared" si="39"/>
        <v>0</v>
      </c>
      <c r="BO59" s="236">
        <f t="shared" si="40"/>
        <v>0</v>
      </c>
      <c r="BP59" s="236">
        <f t="shared" si="41"/>
        <v>0</v>
      </c>
      <c r="BQ59" s="236">
        <f t="shared" si="42"/>
        <v>1</v>
      </c>
      <c r="BR59" s="236">
        <f t="shared" si="43"/>
        <v>0</v>
      </c>
      <c r="BS59" s="236">
        <f t="shared" si="44"/>
        <v>0</v>
      </c>
      <c r="BT59" s="236">
        <f t="shared" si="45"/>
        <v>0</v>
      </c>
      <c r="BU59" s="236">
        <f t="shared" si="46"/>
        <v>1</v>
      </c>
      <c r="BV59" s="236">
        <f t="shared" si="47"/>
        <v>0</v>
      </c>
      <c r="BW59" s="236">
        <f t="shared" si="26"/>
        <v>0</v>
      </c>
      <c r="BX59" s="236">
        <f t="shared" si="27"/>
        <v>0</v>
      </c>
      <c r="BY59" s="236">
        <f t="shared" si="28"/>
        <v>1</v>
      </c>
      <c r="BZ59" s="236"/>
      <c r="CA59" s="275" t="s">
        <v>536</v>
      </c>
      <c r="CB59" s="272" t="str">
        <f t="shared" si="48"/>
        <v>N/A</v>
      </c>
      <c r="CC59" s="272" t="str">
        <f t="shared" si="49"/>
        <v>N/A</v>
      </c>
      <c r="CD59" s="272" t="str">
        <f t="shared" si="50"/>
        <v>N/A</v>
      </c>
      <c r="CE59" s="284" t="str">
        <f t="shared" si="51"/>
        <v>N/A</v>
      </c>
      <c r="CF59" s="284" t="str">
        <f t="shared" si="52"/>
        <v>N/A</v>
      </c>
      <c r="CG59" s="284" t="str">
        <f t="shared" si="53"/>
        <v>SE PROGRAMAN 7 JORNADAS FORMALMENTE CON LOS ACTORES DEL SGSSS EN EL PRIMER SEMESTRE; SE REALIZAN POR TIEMPOS DE AGENDA SEGUN LAS SEMANAS QUE TIENEN DIAS FESTIVOS DENTRO DE LOS MESES DE ENERO A JUNIO Y  LA ULTIMA JORNADA POR LO ANTERIOR SE MATERIALIZA LA PRIMERA SEMANA DEL MES DE JULIO; ESTA JORNADA SE REALIZA EN ANTIOQUIA (MEDELLIN ) 
1.​JORNADA BOLÍVAR – CÓRDOBA Y SUCRE 
2. JORNADA GUAJIRA Y CESAR 
3. JORNADA ATLÁNTICO – MAGDALENA Y SAN ANDRÉS
4. JORNADA META – AMAZONAS – GUAVIARE – VAUPÉS – VICHADA  Y GUAINÍA. 
5. JORNADA CAUCA 
 6. JORNADA BOYACÁ  </v>
      </c>
      <c r="CH59" s="272" t="str">
        <f t="shared" si="54"/>
        <v>N/A</v>
      </c>
      <c r="CI59" s="211" t="str">
        <f t="shared" si="55"/>
        <v>N/A</v>
      </c>
      <c r="CJ59" s="211" t="str">
        <f t="shared" si="56"/>
        <v>N/A</v>
      </c>
      <c r="CK59" s="211" t="str">
        <f t="shared" si="57"/>
        <v>N/A</v>
      </c>
      <c r="CL59" s="211" t="str">
        <f t="shared" si="58"/>
        <v>N/A</v>
      </c>
      <c r="CM59" s="211" t="str">
        <f t="shared" si="59"/>
        <v>N/A</v>
      </c>
      <c r="CO59" s="211" t="s">
        <v>190</v>
      </c>
      <c r="CP59" s="211" t="s">
        <v>140</v>
      </c>
      <c r="CQ59" s="211" t="s">
        <v>191</v>
      </c>
      <c r="CR59" s="211" t="s">
        <v>192</v>
      </c>
      <c r="CS59" s="211" t="s">
        <v>195</v>
      </c>
      <c r="CT59" s="211" t="s">
        <v>191</v>
      </c>
      <c r="CU59" s="211" t="str">
        <f t="shared" si="12"/>
        <v>N/A</v>
      </c>
      <c r="CV59" s="211" t="str">
        <f t="shared" si="13"/>
        <v>N/A</v>
      </c>
      <c r="CW59" s="211" t="str">
        <f t="shared" si="14"/>
        <v xml:space="preserve">Al corte del 31 de marzo de 2025 en la entidad se expidieron 1927 resoluciones las cuales ingresaron en su totalidad al Grupo de Gestion de Notificaciones y Comunicaciones, se gestionaron 1869, dejando en trámite 52 actos administrativos en su gran mayoría expedidos en los últimos días del mes y los cuales por distintos tramites se encuentra en gestion al corte del mes de este reporte. 
</v>
      </c>
      <c r="CX59" s="211" t="str">
        <f t="shared" si="15"/>
        <v>N/A</v>
      </c>
      <c r="CY59" s="211" t="str">
        <f t="shared" si="29"/>
        <v>N/A</v>
      </c>
      <c r="CZ59" s="211" t="str">
        <f t="shared" si="16"/>
        <v>N/A</v>
      </c>
      <c r="DA59" s="211" t="str">
        <f t="shared" si="17"/>
        <v>N/A</v>
      </c>
      <c r="DB59" s="211" t="str">
        <f t="shared" si="18"/>
        <v>N/A</v>
      </c>
      <c r="DC59" s="211" t="str">
        <f t="shared" si="19"/>
        <v>N/A</v>
      </c>
      <c r="DD59" s="211" t="str">
        <f t="shared" si="20"/>
        <v>N/A</v>
      </c>
      <c r="DE59" s="211" t="str">
        <f t="shared" si="21"/>
        <v>N/A</v>
      </c>
      <c r="DF59" s="211" t="str">
        <f t="shared" si="22"/>
        <v>N/A</v>
      </c>
    </row>
    <row r="60" spans="1:110" s="211" customFormat="1" ht="178.5">
      <c r="A60" s="348" t="s">
        <v>190</v>
      </c>
      <c r="B60" s="211" t="s">
        <v>140</v>
      </c>
      <c r="C60" s="211" t="s">
        <v>398</v>
      </c>
      <c r="D60" s="211" t="s">
        <v>399</v>
      </c>
      <c r="E60" s="211" t="s">
        <v>400</v>
      </c>
      <c r="F60" s="348" t="s">
        <v>401</v>
      </c>
      <c r="G60" s="211" t="s">
        <v>178</v>
      </c>
      <c r="H60" s="211">
        <v>0.98</v>
      </c>
      <c r="I60" s="323">
        <v>148567</v>
      </c>
      <c r="J60" s="323">
        <v>149479</v>
      </c>
      <c r="K60" s="288">
        <v>0.99389880852828805</v>
      </c>
      <c r="L60" s="211" t="s">
        <v>402</v>
      </c>
      <c r="M60" s="211" t="b">
        <v>0</v>
      </c>
      <c r="O60" s="209" t="s">
        <v>2832</v>
      </c>
      <c r="P60" s="211" t="s">
        <v>159</v>
      </c>
      <c r="Q60" s="211" t="s">
        <v>160</v>
      </c>
      <c r="T60" s="236" t="s">
        <v>453</v>
      </c>
      <c r="U60" s="269"/>
      <c r="V60" s="269"/>
      <c r="W60" s="269"/>
      <c r="X60" s="269"/>
      <c r="Y60" s="269"/>
      <c r="Z60" s="269">
        <v>12912549248</v>
      </c>
      <c r="AA60" s="269"/>
      <c r="AB60" s="269"/>
      <c r="AC60" s="269"/>
      <c r="AD60" s="269"/>
      <c r="AE60" s="269"/>
      <c r="AF60" s="269">
        <v>22676335912</v>
      </c>
      <c r="AG60" s="269">
        <v>35588885160</v>
      </c>
      <c r="AH60"/>
      <c r="AI60"/>
      <c r="AJ60" s="236" t="s">
        <v>453</v>
      </c>
      <c r="AK60" s="269"/>
      <c r="AL60" s="269"/>
      <c r="AM60" s="269"/>
      <c r="AN60" s="269"/>
      <c r="AO60" s="269"/>
      <c r="AP60" s="269">
        <v>26161920186</v>
      </c>
      <c r="AQ60" s="269"/>
      <c r="AR60" s="269"/>
      <c r="AS60" s="269"/>
      <c r="AT60" s="269"/>
      <c r="AU60" s="269"/>
      <c r="AV60" s="269">
        <v>26161920186</v>
      </c>
      <c r="AW60" s="269">
        <v>52323840372</v>
      </c>
      <c r="AX60" s="236"/>
      <c r="AY60" s="236"/>
      <c r="AZ60" s="236"/>
      <c r="BA60" s="236" t="s">
        <v>226</v>
      </c>
      <c r="BB60" s="240">
        <f t="shared" si="30"/>
        <v>0</v>
      </c>
      <c r="BC60" s="240">
        <f t="shared" si="31"/>
        <v>0</v>
      </c>
      <c r="BD60" s="240">
        <f t="shared" si="32"/>
        <v>4</v>
      </c>
      <c r="BE60" s="240">
        <f t="shared" si="33"/>
        <v>0</v>
      </c>
      <c r="BF60" s="240">
        <f t="shared" si="34"/>
        <v>0</v>
      </c>
      <c r="BG60" s="240">
        <f t="shared" si="35"/>
        <v>3</v>
      </c>
      <c r="BH60" s="240">
        <f t="shared" si="36"/>
        <v>0</v>
      </c>
      <c r="BI60" s="240">
        <f t="shared" si="37"/>
        <v>0</v>
      </c>
      <c r="BJ60" s="240">
        <f t="shared" si="38"/>
        <v>3</v>
      </c>
      <c r="BK60" s="240">
        <f t="shared" si="23"/>
        <v>0</v>
      </c>
      <c r="BL60" s="240">
        <f t="shared" si="24"/>
        <v>0</v>
      </c>
      <c r="BM60" s="240">
        <f t="shared" si="25"/>
        <v>4</v>
      </c>
      <c r="BN60" s="211">
        <f t="shared" si="39"/>
        <v>0</v>
      </c>
      <c r="BO60" s="236">
        <f t="shared" si="40"/>
        <v>0</v>
      </c>
      <c r="BP60" s="236">
        <f t="shared" si="41"/>
        <v>4</v>
      </c>
      <c r="BQ60" s="236">
        <f t="shared" si="42"/>
        <v>0</v>
      </c>
      <c r="BR60" s="236">
        <f t="shared" si="43"/>
        <v>0</v>
      </c>
      <c r="BS60" s="236">
        <f t="shared" si="44"/>
        <v>3</v>
      </c>
      <c r="BT60" s="236">
        <f t="shared" si="45"/>
        <v>0</v>
      </c>
      <c r="BU60" s="236">
        <f t="shared" si="46"/>
        <v>0</v>
      </c>
      <c r="BV60" s="236">
        <f t="shared" si="47"/>
        <v>3</v>
      </c>
      <c r="BW60" s="236">
        <f t="shared" si="26"/>
        <v>0</v>
      </c>
      <c r="BX60" s="236">
        <f t="shared" si="27"/>
        <v>0</v>
      </c>
      <c r="BY60" s="236">
        <f t="shared" si="28"/>
        <v>4</v>
      </c>
      <c r="BZ60" s="236"/>
      <c r="CA60" s="275" t="s">
        <v>174</v>
      </c>
      <c r="CB60" s="272" t="str">
        <f t="shared" si="48"/>
        <v>N/A</v>
      </c>
      <c r="CC60" s="272" t="str">
        <f t="shared" si="49"/>
        <v>N/A</v>
      </c>
      <c r="CD60" s="272" t="str">
        <f t="shared" si="50"/>
        <v xml:space="preserve">​Se cumplieron con las Audiencias de acuerdo a las solicitudes de peticion admitidas 
</v>
      </c>
      <c r="CE60" s="284" t="str">
        <f t="shared" si="51"/>
        <v>N/A</v>
      </c>
      <c r="CF60" s="284" t="str">
        <f t="shared" si="52"/>
        <v>N/A</v>
      </c>
      <c r="CG60" s="284" t="str">
        <f t="shared" si="53"/>
        <v>N/A</v>
      </c>
      <c r="CH60" s="272" t="str">
        <f t="shared" si="54"/>
        <v>N/A</v>
      </c>
      <c r="CI60" s="211" t="str">
        <f t="shared" si="55"/>
        <v>N/A</v>
      </c>
      <c r="CJ60" s="211" t="str">
        <f t="shared" si="56"/>
        <v>N/A</v>
      </c>
      <c r="CK60" s="211" t="str">
        <f t="shared" si="57"/>
        <v>N/A</v>
      </c>
      <c r="CL60" s="211" t="str">
        <f t="shared" si="58"/>
        <v>N/A</v>
      </c>
      <c r="CM60" s="211" t="str">
        <f t="shared" si="59"/>
        <v>N/A</v>
      </c>
      <c r="CO60" s="211" t="s">
        <v>190</v>
      </c>
      <c r="CP60" s="211" t="s">
        <v>140</v>
      </c>
      <c r="CQ60" s="211" t="s">
        <v>398</v>
      </c>
      <c r="CR60" s="211" t="s">
        <v>399</v>
      </c>
      <c r="CS60" s="211" t="s">
        <v>402</v>
      </c>
      <c r="CT60" s="211" t="s">
        <v>398</v>
      </c>
      <c r="CU60" s="211" t="str">
        <f t="shared" si="12"/>
        <v>N/A</v>
      </c>
      <c r="CV60" s="211" t="str">
        <f t="shared" si="13"/>
        <v>N/A</v>
      </c>
      <c r="CW60" s="211" t="str">
        <f t="shared" si="14"/>
        <v xml:space="preserve">​De 149.479 documentos radicados en el primer trimestre (enero, febrero y marzo) de 2025, se tomó una muestra del 5% lo cual arrojó un resultado de 7.473 documentos radicados que fueron revisados en los cuales se encontraron un total de 7.428 documentos asignados correctamente y que proyectados al total de radicados son 148.567 que cumplen con la asignación correcta a las dependencias; lo que representa un porcentaje de cumplimiento del  99,39% en dicho periodo, teniendo en cuenta que la meta es del 98%, el indicador se cumplió. 
</v>
      </c>
      <c r="CX60" s="211" t="str">
        <f t="shared" si="15"/>
        <v>N/A</v>
      </c>
      <c r="CY60" s="211" t="str">
        <f t="shared" si="29"/>
        <v>N/A</v>
      </c>
      <c r="CZ60" s="211" t="str">
        <f t="shared" si="16"/>
        <v>N/A</v>
      </c>
      <c r="DA60" s="211" t="str">
        <f t="shared" si="17"/>
        <v>N/A</v>
      </c>
      <c r="DB60" s="211" t="str">
        <f t="shared" si="18"/>
        <v>N/A</v>
      </c>
      <c r="DC60" s="211" t="str">
        <f t="shared" si="19"/>
        <v>N/A</v>
      </c>
      <c r="DD60" s="211" t="str">
        <f t="shared" si="20"/>
        <v>N/A</v>
      </c>
      <c r="DE60" s="211" t="str">
        <f t="shared" si="21"/>
        <v>N/A</v>
      </c>
      <c r="DF60" s="211" t="str">
        <f t="shared" si="22"/>
        <v>N/A</v>
      </c>
    </row>
    <row r="61" spans="1:110" s="211" customFormat="1" ht="165.75">
      <c r="A61" s="348" t="s">
        <v>190</v>
      </c>
      <c r="B61" s="211" t="s">
        <v>140</v>
      </c>
      <c r="C61" s="211" t="s">
        <v>403</v>
      </c>
      <c r="D61" s="211" t="s">
        <v>404</v>
      </c>
      <c r="E61" s="211" t="s">
        <v>405</v>
      </c>
      <c r="F61" s="348" t="s">
        <v>406</v>
      </c>
      <c r="G61" s="211" t="s">
        <v>178</v>
      </c>
      <c r="H61" s="211">
        <v>0.99870000000000003</v>
      </c>
      <c r="I61" s="323">
        <v>149344</v>
      </c>
      <c r="J61" s="323">
        <v>149479</v>
      </c>
      <c r="K61" s="288">
        <v>0.99909686310451595</v>
      </c>
      <c r="L61" s="211" t="s">
        <v>407</v>
      </c>
      <c r="M61" s="211" t="b">
        <v>0</v>
      </c>
      <c r="O61" s="209" t="s">
        <v>2832</v>
      </c>
      <c r="P61" s="211" t="s">
        <v>159</v>
      </c>
      <c r="Q61" s="211" t="s">
        <v>160</v>
      </c>
      <c r="T61" s="236" t="s">
        <v>459</v>
      </c>
      <c r="U61" s="269"/>
      <c r="V61" s="269"/>
      <c r="W61" s="269"/>
      <c r="X61" s="269">
        <v>11</v>
      </c>
      <c r="Y61" s="269"/>
      <c r="Z61" s="269"/>
      <c r="AA61" s="269"/>
      <c r="AB61" s="269">
        <v>25</v>
      </c>
      <c r="AC61" s="269"/>
      <c r="AD61" s="269"/>
      <c r="AE61" s="269"/>
      <c r="AF61" s="269">
        <v>13</v>
      </c>
      <c r="AG61" s="269">
        <v>49</v>
      </c>
      <c r="AH61"/>
      <c r="AI61"/>
      <c r="AJ61" s="236" t="s">
        <v>459</v>
      </c>
      <c r="AK61" s="269"/>
      <c r="AL61" s="269"/>
      <c r="AM61" s="269"/>
      <c r="AN61" s="269">
        <v>11</v>
      </c>
      <c r="AO61" s="269"/>
      <c r="AP61" s="269"/>
      <c r="AQ61" s="269"/>
      <c r="AR61" s="269">
        <v>25</v>
      </c>
      <c r="AS61" s="269"/>
      <c r="AT61" s="269"/>
      <c r="AU61" s="269"/>
      <c r="AV61" s="269">
        <v>13</v>
      </c>
      <c r="AW61" s="269">
        <v>49</v>
      </c>
      <c r="AX61" s="236"/>
      <c r="AY61" s="236"/>
      <c r="AZ61" s="236"/>
      <c r="BA61" s="236" t="s">
        <v>231</v>
      </c>
      <c r="BB61" s="240">
        <f t="shared" si="30"/>
        <v>0</v>
      </c>
      <c r="BC61" s="240">
        <f t="shared" si="31"/>
        <v>0</v>
      </c>
      <c r="BD61" s="240">
        <f t="shared" si="32"/>
        <v>96859043620</v>
      </c>
      <c r="BE61" s="240">
        <f t="shared" si="33"/>
        <v>0</v>
      </c>
      <c r="BF61" s="240">
        <f t="shared" si="34"/>
        <v>0</v>
      </c>
      <c r="BG61" s="240">
        <f t="shared" si="35"/>
        <v>149357146852</v>
      </c>
      <c r="BH61" s="240">
        <f t="shared" si="36"/>
        <v>0</v>
      </c>
      <c r="BI61" s="240">
        <f t="shared" si="37"/>
        <v>0</v>
      </c>
      <c r="BJ61" s="240">
        <f t="shared" si="38"/>
        <v>229777018957</v>
      </c>
      <c r="BK61" s="240">
        <f t="shared" si="23"/>
        <v>0</v>
      </c>
      <c r="BL61" s="240">
        <f t="shared" si="24"/>
        <v>0</v>
      </c>
      <c r="BM61" s="240">
        <f t="shared" si="25"/>
        <v>315358112464</v>
      </c>
      <c r="BN61" s="211">
        <f t="shared" si="39"/>
        <v>0</v>
      </c>
      <c r="BO61" s="236">
        <f t="shared" si="40"/>
        <v>0</v>
      </c>
      <c r="BP61" s="236">
        <f t="shared" si="41"/>
        <v>326211744691</v>
      </c>
      <c r="BQ61" s="236">
        <f t="shared" si="42"/>
        <v>0</v>
      </c>
      <c r="BR61" s="236">
        <f t="shared" si="43"/>
        <v>0</v>
      </c>
      <c r="BS61" s="236">
        <f t="shared" si="44"/>
        <v>326211744691</v>
      </c>
      <c r="BT61" s="236">
        <f t="shared" si="45"/>
        <v>0</v>
      </c>
      <c r="BU61" s="236">
        <f t="shared" si="46"/>
        <v>0</v>
      </c>
      <c r="BV61" s="236">
        <f t="shared" si="47"/>
        <v>326211744691</v>
      </c>
      <c r="BW61" s="236">
        <f t="shared" si="26"/>
        <v>0</v>
      </c>
      <c r="BX61" s="236">
        <f t="shared" si="27"/>
        <v>0</v>
      </c>
      <c r="BY61" s="236">
        <f t="shared" si="28"/>
        <v>316593914285</v>
      </c>
      <c r="BZ61" s="236"/>
      <c r="CA61" s="275" t="s">
        <v>183</v>
      </c>
      <c r="CB61" s="272" t="str">
        <f t="shared" si="48"/>
        <v>N/A</v>
      </c>
      <c r="CC61" s="272" t="str">
        <f t="shared" si="49"/>
        <v>N/A</v>
      </c>
      <c r="CD61" s="272" t="str">
        <f t="shared" si="50"/>
        <v xml:space="preserve">​El cumplimiento de acuerdos conciliatorios con seguimientos realizados correspondientes a los acuerdos suscritos exigibles , se realizaron en su totalidad.
</v>
      </c>
      <c r="CE61" s="284" t="str">
        <f t="shared" si="51"/>
        <v>N/A</v>
      </c>
      <c r="CF61" s="284" t="str">
        <f t="shared" si="52"/>
        <v>N/A</v>
      </c>
      <c r="CG61" s="284" t="str">
        <f t="shared" si="53"/>
        <v>N/A</v>
      </c>
      <c r="CH61" s="272" t="str">
        <f t="shared" si="54"/>
        <v>N/A</v>
      </c>
      <c r="CI61" s="211" t="str">
        <f t="shared" si="55"/>
        <v>N/A</v>
      </c>
      <c r="CJ61" s="211" t="str">
        <f t="shared" si="56"/>
        <v>N/A</v>
      </c>
      <c r="CK61" s="211" t="str">
        <f t="shared" si="57"/>
        <v>N/A</v>
      </c>
      <c r="CL61" s="211" t="str">
        <f t="shared" si="58"/>
        <v>N/A</v>
      </c>
      <c r="CM61" s="211" t="str">
        <f t="shared" si="59"/>
        <v>N/A</v>
      </c>
      <c r="CO61" s="211" t="s">
        <v>190</v>
      </c>
      <c r="CP61" s="211" t="s">
        <v>140</v>
      </c>
      <c r="CQ61" s="211" t="s">
        <v>403</v>
      </c>
      <c r="CR61" s="211" t="s">
        <v>404</v>
      </c>
      <c r="CS61" s="211" t="s">
        <v>407</v>
      </c>
      <c r="CT61" s="211" t="s">
        <v>403</v>
      </c>
      <c r="CU61" s="211" t="str">
        <f t="shared" si="12"/>
        <v>N/A</v>
      </c>
      <c r="CV61" s="211" t="str">
        <f t="shared" si="13"/>
        <v>N/A</v>
      </c>
      <c r="CW61" s="211" t="str">
        <f t="shared" si="14"/>
        <v xml:space="preserve">​De 149.479 documentos digitalizados en el primer trimestre (enero, febrero y marzo) de 2025, se tomó una muestra del 5% lo cual arrojó un resultado de 7.473 documentos digitalizados que fueron revisados en los cuales se encontraron un total de 7.467 documentos digitalizados correctamente y que proyectados al total de digitalizados son 149.344 que cumplen con la digitalización correcta; lo que representa un porcentaje de cumplimiento del  99,91% en dicho periodo, teniendo en cuenta que la meta es del 99.87%, el indicador se cumplió
</v>
      </c>
      <c r="CX61" s="211" t="str">
        <f t="shared" si="15"/>
        <v>N/A</v>
      </c>
      <c r="CY61" s="211" t="str">
        <f t="shared" si="29"/>
        <v>N/A</v>
      </c>
      <c r="CZ61" s="211" t="str">
        <f t="shared" si="16"/>
        <v>N/A</v>
      </c>
      <c r="DA61" s="211" t="str">
        <f t="shared" si="17"/>
        <v>N/A</v>
      </c>
      <c r="DB61" s="211" t="str">
        <f t="shared" si="18"/>
        <v>N/A</v>
      </c>
      <c r="DC61" s="211" t="str">
        <f t="shared" si="19"/>
        <v>N/A</v>
      </c>
      <c r="DD61" s="211" t="str">
        <f t="shared" si="20"/>
        <v>N/A</v>
      </c>
      <c r="DE61" s="211" t="str">
        <f t="shared" si="21"/>
        <v>N/A</v>
      </c>
      <c r="DF61" s="211" t="str">
        <f t="shared" si="22"/>
        <v>N/A</v>
      </c>
    </row>
    <row r="62" spans="1:110" s="211" customFormat="1" ht="156.75">
      <c r="A62" s="348" t="s">
        <v>190</v>
      </c>
      <c r="B62" s="211" t="s">
        <v>140</v>
      </c>
      <c r="C62" s="211" t="s">
        <v>381</v>
      </c>
      <c r="D62" s="211" t="s">
        <v>382</v>
      </c>
      <c r="E62" s="211" t="s">
        <v>383</v>
      </c>
      <c r="F62" s="348" t="s">
        <v>384</v>
      </c>
      <c r="G62" s="211" t="s">
        <v>178</v>
      </c>
      <c r="H62" s="211">
        <v>9</v>
      </c>
      <c r="I62" s="323">
        <v>8</v>
      </c>
      <c r="J62" s="323">
        <v>8</v>
      </c>
      <c r="K62" s="288">
        <v>1</v>
      </c>
      <c r="L62" s="211" t="s">
        <v>385</v>
      </c>
      <c r="M62" s="211" t="b">
        <v>1</v>
      </c>
      <c r="N62" s="211" t="s">
        <v>386</v>
      </c>
      <c r="O62" s="209" t="s">
        <v>2832</v>
      </c>
      <c r="P62" s="211" t="s">
        <v>159</v>
      </c>
      <c r="Q62" s="211" t="s">
        <v>160</v>
      </c>
      <c r="T62" s="236" t="s">
        <v>465</v>
      </c>
      <c r="U62" s="269"/>
      <c r="V62" s="269"/>
      <c r="W62" s="269"/>
      <c r="X62" s="269">
        <v>8</v>
      </c>
      <c r="Y62" s="269"/>
      <c r="Z62" s="269"/>
      <c r="AA62" s="269"/>
      <c r="AB62" s="269">
        <v>15</v>
      </c>
      <c r="AC62" s="269"/>
      <c r="AD62" s="269"/>
      <c r="AE62" s="269"/>
      <c r="AF62" s="269">
        <v>74</v>
      </c>
      <c r="AG62" s="269">
        <v>97</v>
      </c>
      <c r="AH62"/>
      <c r="AI62"/>
      <c r="AJ62" s="236" t="s">
        <v>465</v>
      </c>
      <c r="AK62" s="269"/>
      <c r="AL62" s="269"/>
      <c r="AM62" s="269"/>
      <c r="AN62" s="269">
        <v>8</v>
      </c>
      <c r="AO62" s="269"/>
      <c r="AP62" s="269"/>
      <c r="AQ62" s="269"/>
      <c r="AR62" s="269">
        <v>15</v>
      </c>
      <c r="AS62" s="269"/>
      <c r="AT62" s="269"/>
      <c r="AU62" s="269"/>
      <c r="AV62" s="269">
        <v>74</v>
      </c>
      <c r="AW62" s="269">
        <v>97</v>
      </c>
      <c r="AX62" s="236"/>
      <c r="AY62" s="236"/>
      <c r="AZ62" s="236"/>
      <c r="BA62" s="239" t="s">
        <v>422</v>
      </c>
      <c r="BB62" s="240">
        <f t="shared" si="30"/>
        <v>0</v>
      </c>
      <c r="BC62" s="240">
        <f t="shared" si="31"/>
        <v>0</v>
      </c>
      <c r="BD62" s="240">
        <f t="shared" si="32"/>
        <v>400000000</v>
      </c>
      <c r="BE62" s="240">
        <f t="shared" si="33"/>
        <v>0</v>
      </c>
      <c r="BF62" s="240">
        <f t="shared" si="34"/>
        <v>0</v>
      </c>
      <c r="BG62" s="240">
        <f t="shared" si="35"/>
        <v>599023035</v>
      </c>
      <c r="BH62" s="240">
        <f t="shared" si="36"/>
        <v>0</v>
      </c>
      <c r="BI62" s="240">
        <f t="shared" si="37"/>
        <v>0</v>
      </c>
      <c r="BJ62" s="240">
        <f t="shared" si="38"/>
        <v>711860467</v>
      </c>
      <c r="BK62" s="240">
        <f t="shared" si="23"/>
        <v>0</v>
      </c>
      <c r="BL62" s="240">
        <f t="shared" si="24"/>
        <v>0</v>
      </c>
      <c r="BM62" s="240">
        <f t="shared" si="25"/>
        <v>724231179</v>
      </c>
      <c r="BN62" s="211">
        <f t="shared" si="39"/>
        <v>0</v>
      </c>
      <c r="BO62" s="236">
        <f t="shared" si="40"/>
        <v>0</v>
      </c>
      <c r="BP62" s="236">
        <f t="shared" si="41"/>
        <v>731506000</v>
      </c>
      <c r="BQ62" s="236">
        <f t="shared" si="42"/>
        <v>0</v>
      </c>
      <c r="BR62" s="236">
        <f t="shared" si="43"/>
        <v>0</v>
      </c>
      <c r="BS62" s="236">
        <f t="shared" si="44"/>
        <v>731506000</v>
      </c>
      <c r="BT62" s="236">
        <f t="shared" si="45"/>
        <v>0</v>
      </c>
      <c r="BU62" s="236">
        <f t="shared" si="46"/>
        <v>0</v>
      </c>
      <c r="BV62" s="236">
        <f t="shared" si="47"/>
        <v>731506000</v>
      </c>
      <c r="BW62" s="236">
        <f t="shared" si="26"/>
        <v>0</v>
      </c>
      <c r="BX62" s="236">
        <f t="shared" si="27"/>
        <v>0</v>
      </c>
      <c r="BY62" s="236">
        <f t="shared" si="28"/>
        <v>724431179</v>
      </c>
      <c r="BZ62" s="236"/>
      <c r="CA62" s="275" t="s">
        <v>153</v>
      </c>
      <c r="CB62" s="272" t="str">
        <f t="shared" si="48"/>
        <v>N/A</v>
      </c>
      <c r="CC62" s="272" t="str">
        <f t="shared" si="49"/>
        <v>N/A</v>
      </c>
      <c r="CD62" s="272" t="str">
        <f t="shared" si="50"/>
        <v xml:space="preserve">​El indicador es numerico , el area correspondiente participó en un trabajo de plan de choque de la Delegada para apoyar a las demas areas a debido a la alta solicitud de estudios de demanda , y su colaboración consistió en la utilizacion de recurso humano de abogados y personal tecnico en la realizacion de estudios de demandas y sus fallos , en particular el apoyo se presta al area de coberturas. Se logra el objetivo si alterar la funcionalidad en cuanto a resultados positivos
</v>
      </c>
      <c r="CE62" s="284" t="str">
        <f t="shared" si="51"/>
        <v>N/A</v>
      </c>
      <c r="CF62" s="284" t="str">
        <f t="shared" si="52"/>
        <v>N/A</v>
      </c>
      <c r="CG62" s="284" t="str">
        <f t="shared" si="53"/>
        <v>N/A</v>
      </c>
      <c r="CH62" s="272" t="str">
        <f t="shared" si="54"/>
        <v>N/A</v>
      </c>
      <c r="CI62" s="211" t="str">
        <f t="shared" si="55"/>
        <v>N/A</v>
      </c>
      <c r="CJ62" s="211" t="str">
        <f t="shared" si="56"/>
        <v>N/A</v>
      </c>
      <c r="CK62" s="211" t="str">
        <f t="shared" si="57"/>
        <v>N/A</v>
      </c>
      <c r="CL62" s="211" t="str">
        <f t="shared" si="58"/>
        <v>N/A</v>
      </c>
      <c r="CM62" s="211" t="str">
        <f t="shared" si="59"/>
        <v>N/A</v>
      </c>
      <c r="CO62" s="211" t="s">
        <v>190</v>
      </c>
      <c r="CP62" s="211" t="s">
        <v>140</v>
      </c>
      <c r="CQ62" s="211" t="s">
        <v>381</v>
      </c>
      <c r="CR62" s="211" t="s">
        <v>382</v>
      </c>
      <c r="CS62" s="211" t="s">
        <v>385</v>
      </c>
      <c r="CT62" s="211" t="s">
        <v>381</v>
      </c>
      <c r="CU62" s="211" t="str">
        <f t="shared" si="12"/>
        <v>N/A</v>
      </c>
      <c r="CV62" s="211" t="str">
        <f t="shared" si="13"/>
        <v>N/A</v>
      </c>
      <c r="CW62" s="211" t="str">
        <f t="shared" si="14"/>
        <v xml:space="preserve">​La falta de ejecución de la actividad relacionada con el Programa de Gestión Documental -PGD-, incluida entre las 9 actividades programadas en el PAG para el 1er. trimestre, se debió a que no se tenía la información de la formulación del proyecto de inversión 2026-2030 -trabajo iniciado desde noviembre 2024 con culminación junio 2025-, y que es imprescindible para el PGD. Por lo anterior, se solicitó a la OAP ajuste, aprobándose para cumplirse en abril.
</v>
      </c>
      <c r="CX62" s="211" t="str">
        <f t="shared" si="15"/>
        <v>N/A</v>
      </c>
      <c r="CY62" s="211" t="str">
        <f t="shared" si="29"/>
        <v>N/A</v>
      </c>
      <c r="CZ62" s="211" t="str">
        <f t="shared" si="16"/>
        <v>N/A</v>
      </c>
      <c r="DA62" s="211" t="str">
        <f t="shared" si="17"/>
        <v>N/A</v>
      </c>
      <c r="DB62" s="211" t="str">
        <f t="shared" si="18"/>
        <v>N/A</v>
      </c>
      <c r="DC62" s="211" t="str">
        <f t="shared" si="19"/>
        <v>N/A</v>
      </c>
      <c r="DD62" s="211" t="str">
        <f t="shared" si="20"/>
        <v>N/A</v>
      </c>
      <c r="DE62" s="211" t="str">
        <f t="shared" si="21"/>
        <v>N/A</v>
      </c>
      <c r="DF62" s="211" t="str">
        <f t="shared" si="22"/>
        <v>N/A</v>
      </c>
    </row>
    <row r="63" spans="1:110" s="211" customFormat="1" ht="114">
      <c r="A63" s="348" t="s">
        <v>190</v>
      </c>
      <c r="B63" s="211" t="s">
        <v>140</v>
      </c>
      <c r="C63" s="211" t="s">
        <v>408</v>
      </c>
      <c r="D63" s="211" t="s">
        <v>409</v>
      </c>
      <c r="E63" s="211" t="s">
        <v>410</v>
      </c>
      <c r="F63" s="348" t="s">
        <v>411</v>
      </c>
      <c r="G63" s="211" t="s">
        <v>157</v>
      </c>
      <c r="H63" s="211">
        <v>3</v>
      </c>
      <c r="I63" s="323">
        <v>3</v>
      </c>
      <c r="J63" s="323">
        <v>3</v>
      </c>
      <c r="K63" s="288">
        <v>1</v>
      </c>
      <c r="L63" s="211" t="s">
        <v>412</v>
      </c>
      <c r="M63" s="211" t="b">
        <v>0</v>
      </c>
      <c r="O63" s="209" t="s">
        <v>2832</v>
      </c>
      <c r="P63" s="211" t="s">
        <v>159</v>
      </c>
      <c r="Q63" s="211" t="s">
        <v>160</v>
      </c>
      <c r="T63" s="236" t="s">
        <v>471</v>
      </c>
      <c r="U63" s="269"/>
      <c r="V63" s="269"/>
      <c r="W63" s="269"/>
      <c r="X63" s="269"/>
      <c r="Y63" s="269"/>
      <c r="Z63" s="269">
        <v>88</v>
      </c>
      <c r="AA63" s="269"/>
      <c r="AB63" s="269"/>
      <c r="AC63" s="269"/>
      <c r="AD63" s="269"/>
      <c r="AE63" s="269"/>
      <c r="AF63" s="269">
        <v>115491</v>
      </c>
      <c r="AG63" s="269">
        <v>115579</v>
      </c>
      <c r="AH63"/>
      <c r="AI63"/>
      <c r="AJ63" s="236" t="s">
        <v>471</v>
      </c>
      <c r="AK63" s="269"/>
      <c r="AL63" s="269"/>
      <c r="AM63" s="269"/>
      <c r="AN63" s="269"/>
      <c r="AO63" s="269"/>
      <c r="AP63" s="269">
        <v>88</v>
      </c>
      <c r="AQ63" s="269"/>
      <c r="AR63" s="269"/>
      <c r="AS63" s="269"/>
      <c r="AT63" s="269"/>
      <c r="AU63" s="269"/>
      <c r="AV63" s="269">
        <v>123166</v>
      </c>
      <c r="AW63" s="269">
        <v>123254</v>
      </c>
      <c r="AX63" s="236"/>
      <c r="AY63" s="236"/>
      <c r="AZ63" s="236"/>
      <c r="BA63" s="236" t="s">
        <v>216</v>
      </c>
      <c r="BB63" s="240">
        <f t="shared" si="30"/>
        <v>42</v>
      </c>
      <c r="BC63" s="240">
        <f t="shared" si="31"/>
        <v>129</v>
      </c>
      <c r="BD63" s="240">
        <f t="shared" si="32"/>
        <v>122</v>
      </c>
      <c r="BE63" s="240">
        <f t="shared" si="33"/>
        <v>146</v>
      </c>
      <c r="BF63" s="240">
        <f t="shared" si="34"/>
        <v>140</v>
      </c>
      <c r="BG63" s="240">
        <f t="shared" si="35"/>
        <v>423</v>
      </c>
      <c r="BH63" s="240">
        <f t="shared" si="36"/>
        <v>211</v>
      </c>
      <c r="BI63" s="240">
        <f t="shared" si="37"/>
        <v>203</v>
      </c>
      <c r="BJ63" s="240">
        <f t="shared" si="38"/>
        <v>436</v>
      </c>
      <c r="BK63" s="240">
        <f t="shared" si="23"/>
        <v>259</v>
      </c>
      <c r="BL63" s="240">
        <f t="shared" si="24"/>
        <v>302</v>
      </c>
      <c r="BM63" s="240">
        <f t="shared" si="25"/>
        <v>829</v>
      </c>
      <c r="BN63" s="211">
        <f t="shared" si="39"/>
        <v>42</v>
      </c>
      <c r="BO63" s="236">
        <f t="shared" si="40"/>
        <v>129</v>
      </c>
      <c r="BP63" s="236">
        <f t="shared" si="41"/>
        <v>122</v>
      </c>
      <c r="BQ63" s="236">
        <f t="shared" si="42"/>
        <v>146</v>
      </c>
      <c r="BR63" s="236">
        <f t="shared" si="43"/>
        <v>100</v>
      </c>
      <c r="BS63" s="236">
        <f t="shared" si="44"/>
        <v>423</v>
      </c>
      <c r="BT63" s="236">
        <f t="shared" si="45"/>
        <v>211</v>
      </c>
      <c r="BU63" s="236">
        <f t="shared" si="46"/>
        <v>203</v>
      </c>
      <c r="BV63" s="236">
        <f t="shared" si="47"/>
        <v>436</v>
      </c>
      <c r="BW63" s="236">
        <f t="shared" si="26"/>
        <v>259</v>
      </c>
      <c r="BX63" s="236">
        <f t="shared" si="27"/>
        <v>302</v>
      </c>
      <c r="BY63" s="236">
        <f t="shared" si="28"/>
        <v>829</v>
      </c>
      <c r="BZ63" s="236"/>
      <c r="CA63" s="275" t="s">
        <v>165</v>
      </c>
      <c r="CB63" s="272" t="str">
        <f t="shared" si="48"/>
        <v>N/A</v>
      </c>
      <c r="CC63" s="272" t="str">
        <f t="shared" si="49"/>
        <v>N/A</v>
      </c>
      <c r="CD63" s="272" t="str">
        <f t="shared" si="50"/>
        <v xml:space="preserve">​Se cumplen la meta del indicador ; y aun asi,  el area presto apoyo con recurso humano de abogados en el plan de choque realizado por la delegada para favorecer  las solicitudes represadas por cobertura de la misma Delegada y dar oportuna atencion a la ciudadania y otros actores del SGSSS. 
</v>
      </c>
      <c r="CE63" s="284" t="str">
        <f t="shared" si="51"/>
        <v>N/A</v>
      </c>
      <c r="CF63" s="284" t="str">
        <f t="shared" si="52"/>
        <v>N/A</v>
      </c>
      <c r="CG63" s="284" t="str">
        <f t="shared" si="53"/>
        <v>N/A</v>
      </c>
      <c r="CH63" s="272" t="str">
        <f t="shared" si="54"/>
        <v>N/A</v>
      </c>
      <c r="CI63" s="211" t="str">
        <f t="shared" si="55"/>
        <v>N/A</v>
      </c>
      <c r="CJ63" s="211" t="str">
        <f t="shared" si="56"/>
        <v>N/A</v>
      </c>
      <c r="CK63" s="211" t="str">
        <f t="shared" si="57"/>
        <v>N/A</v>
      </c>
      <c r="CL63" s="211" t="str">
        <f t="shared" si="58"/>
        <v>N/A</v>
      </c>
      <c r="CM63" s="211" t="str">
        <f t="shared" si="59"/>
        <v>N/A</v>
      </c>
      <c r="CO63" s="211" t="s">
        <v>190</v>
      </c>
      <c r="CP63" s="211" t="s">
        <v>140</v>
      </c>
      <c r="CQ63" s="211" t="s">
        <v>408</v>
      </c>
      <c r="CR63" s="211" t="s">
        <v>409</v>
      </c>
      <c r="CS63" s="211" t="s">
        <v>412</v>
      </c>
      <c r="CT63" s="211" t="s">
        <v>408</v>
      </c>
      <c r="CU63" s="211" t="str">
        <f t="shared" si="12"/>
        <v>N/A</v>
      </c>
      <c r="CV63" s="211" t="str">
        <f t="shared" si="13"/>
        <v>N/A</v>
      </c>
      <c r="CW63" s="211" t="str">
        <f t="shared" si="14"/>
        <v xml:space="preserve">​En el primer trimestre de 2025 (enero, febrero y marzo) se realizaron tres campañas de comunicaciones. El indicador se cumplió. 
</v>
      </c>
      <c r="CX63" s="211" t="str">
        <f t="shared" si="15"/>
        <v>N/A</v>
      </c>
      <c r="CY63" s="211" t="str">
        <f t="shared" si="29"/>
        <v>N/A</v>
      </c>
      <c r="CZ63" s="211" t="str">
        <f t="shared" si="16"/>
        <v>N/A</v>
      </c>
      <c r="DA63" s="211" t="str">
        <f t="shared" si="17"/>
        <v>N/A</v>
      </c>
      <c r="DB63" s="211" t="str">
        <f t="shared" si="18"/>
        <v>N/A</v>
      </c>
      <c r="DC63" s="211" t="str">
        <f t="shared" si="19"/>
        <v>N/A</v>
      </c>
      <c r="DD63" s="211" t="str">
        <f t="shared" si="20"/>
        <v>N/A</v>
      </c>
      <c r="DE63" s="211" t="str">
        <f t="shared" si="21"/>
        <v>N/A</v>
      </c>
      <c r="DF63" s="211" t="str">
        <f t="shared" si="22"/>
        <v>N/A</v>
      </c>
    </row>
    <row r="64" spans="1:110" s="211" customFormat="1" ht="409.5">
      <c r="A64" s="348" t="s">
        <v>190</v>
      </c>
      <c r="B64" s="211" t="s">
        <v>140</v>
      </c>
      <c r="C64" s="211" t="s">
        <v>226</v>
      </c>
      <c r="D64" s="211" t="s">
        <v>227</v>
      </c>
      <c r="E64" s="211" t="s">
        <v>228</v>
      </c>
      <c r="F64" s="348" t="s">
        <v>229</v>
      </c>
      <c r="G64" s="211" t="s">
        <v>157</v>
      </c>
      <c r="H64" s="211">
        <v>4</v>
      </c>
      <c r="I64" s="323">
        <v>4</v>
      </c>
      <c r="J64" s="323">
        <v>4</v>
      </c>
      <c r="K64" s="288">
        <v>1</v>
      </c>
      <c r="L64" s="211" t="s">
        <v>2958</v>
      </c>
      <c r="M64" s="211" t="b">
        <v>0</v>
      </c>
      <c r="O64" s="209" t="s">
        <v>2832</v>
      </c>
      <c r="P64" s="211" t="s">
        <v>159</v>
      </c>
      <c r="Q64" s="211" t="s">
        <v>160</v>
      </c>
      <c r="T64" s="236" t="s">
        <v>475</v>
      </c>
      <c r="U64" s="269"/>
      <c r="V64" s="269"/>
      <c r="W64" s="269"/>
      <c r="X64" s="269"/>
      <c r="Y64" s="269"/>
      <c r="Z64" s="269">
        <v>475</v>
      </c>
      <c r="AA64" s="269"/>
      <c r="AB64" s="269"/>
      <c r="AC64" s="269"/>
      <c r="AD64" s="269"/>
      <c r="AE64" s="269"/>
      <c r="AF64" s="269">
        <v>524</v>
      </c>
      <c r="AG64" s="269">
        <v>999</v>
      </c>
      <c r="AH64"/>
      <c r="AI64"/>
      <c r="AJ64" s="236" t="s">
        <v>475</v>
      </c>
      <c r="AK64" s="269"/>
      <c r="AL64" s="269"/>
      <c r="AM64" s="269"/>
      <c r="AN64" s="269"/>
      <c r="AO64" s="269"/>
      <c r="AP64" s="269">
        <v>484</v>
      </c>
      <c r="AQ64" s="269"/>
      <c r="AR64" s="269"/>
      <c r="AS64" s="269"/>
      <c r="AT64" s="269"/>
      <c r="AU64" s="269"/>
      <c r="AV64" s="269">
        <v>524</v>
      </c>
      <c r="AW64" s="269">
        <v>1008</v>
      </c>
      <c r="AX64" s="236"/>
      <c r="AY64" s="236"/>
      <c r="AZ64" s="236"/>
      <c r="BA64" s="236" t="s">
        <v>453</v>
      </c>
      <c r="BB64" s="240">
        <f t="shared" si="30"/>
        <v>0</v>
      </c>
      <c r="BC64" s="240">
        <f t="shared" si="31"/>
        <v>0</v>
      </c>
      <c r="BD64" s="240">
        <f t="shared" si="32"/>
        <v>0</v>
      </c>
      <c r="BE64" s="240">
        <f t="shared" si="33"/>
        <v>0</v>
      </c>
      <c r="BF64" s="240">
        <f t="shared" si="34"/>
        <v>0</v>
      </c>
      <c r="BG64" s="240">
        <f t="shared" si="35"/>
        <v>12912549248</v>
      </c>
      <c r="BH64" s="240">
        <f t="shared" si="36"/>
        <v>0</v>
      </c>
      <c r="BI64" s="240">
        <f t="shared" si="37"/>
        <v>0</v>
      </c>
      <c r="BJ64" s="240">
        <f t="shared" si="38"/>
        <v>0</v>
      </c>
      <c r="BK64" s="240">
        <f t="shared" si="23"/>
        <v>0</v>
      </c>
      <c r="BL64" s="240">
        <f t="shared" si="24"/>
        <v>0</v>
      </c>
      <c r="BM64" s="240">
        <f t="shared" si="25"/>
        <v>22676335912</v>
      </c>
      <c r="BN64" s="211">
        <f t="shared" si="39"/>
        <v>0</v>
      </c>
      <c r="BO64" s="236">
        <f t="shared" si="40"/>
        <v>0</v>
      </c>
      <c r="BP64" s="236">
        <f t="shared" si="41"/>
        <v>0</v>
      </c>
      <c r="BQ64" s="236">
        <f t="shared" si="42"/>
        <v>0</v>
      </c>
      <c r="BR64" s="236">
        <f t="shared" si="43"/>
        <v>0</v>
      </c>
      <c r="BS64" s="236">
        <f t="shared" si="44"/>
        <v>26161920186</v>
      </c>
      <c r="BT64" s="236">
        <f t="shared" si="45"/>
        <v>0</v>
      </c>
      <c r="BU64" s="236">
        <f t="shared" si="46"/>
        <v>0</v>
      </c>
      <c r="BV64" s="236">
        <f t="shared" si="47"/>
        <v>0</v>
      </c>
      <c r="BW64" s="236">
        <f t="shared" si="26"/>
        <v>0</v>
      </c>
      <c r="BX64" s="236">
        <f t="shared" si="27"/>
        <v>0</v>
      </c>
      <c r="BY64" s="236">
        <f t="shared" si="28"/>
        <v>26161920186</v>
      </c>
      <c r="BZ64" s="236"/>
      <c r="CA64" s="275" t="s">
        <v>551</v>
      </c>
      <c r="CB64" s="272" t="str">
        <f t="shared" si="48"/>
        <v>N/A</v>
      </c>
      <c r="CC64" s="272" t="str">
        <f t="shared" si="49"/>
        <v>N/A</v>
      </c>
      <c r="CD64" s="272" t="str">
        <f t="shared" si="50"/>
        <v>N/A</v>
      </c>
      <c r="CE64" s="284" t="str">
        <f t="shared" si="51"/>
        <v>N/A</v>
      </c>
      <c r="CF64" s="284" t="str">
        <f t="shared" si="52"/>
        <v>N/A</v>
      </c>
      <c r="CG64" s="284" t="str">
        <f t="shared" si="53"/>
        <v xml:space="preserve">​El número de demandas gestionadas en el semestre fueron de 643; la totalidad de las demandas radicadas en igual período fueron en total 643 y se gestionaron la totalidad , es decir el 100% y fueron a demanda regular en la Delegada. 
</v>
      </c>
      <c r="CH64" s="272" t="str">
        <f t="shared" si="54"/>
        <v>N/A</v>
      </c>
      <c r="CI64" s="211" t="str">
        <f t="shared" si="55"/>
        <v>N/A</v>
      </c>
      <c r="CJ64" s="211" t="str">
        <f t="shared" si="56"/>
        <v>N/A</v>
      </c>
      <c r="CK64" s="211" t="str">
        <f t="shared" si="57"/>
        <v>N/A</v>
      </c>
      <c r="CL64" s="211" t="str">
        <f t="shared" si="58"/>
        <v>N/A</v>
      </c>
      <c r="CM64" s="211" t="str">
        <f t="shared" si="59"/>
        <v>N/A</v>
      </c>
      <c r="CO64" s="211" t="s">
        <v>190</v>
      </c>
      <c r="CP64" s="211" t="s">
        <v>140</v>
      </c>
      <c r="CQ64" s="211" t="s">
        <v>226</v>
      </c>
      <c r="CR64" s="211" t="s">
        <v>227</v>
      </c>
      <c r="CS64" s="211" t="s">
        <v>2958</v>
      </c>
      <c r="CT64" s="211" t="s">
        <v>226</v>
      </c>
      <c r="CU64" s="211" t="str">
        <f t="shared" si="12"/>
        <v>N/A</v>
      </c>
      <c r="CV64" s="211" t="str">
        <f t="shared" si="13"/>
        <v>N/A</v>
      </c>
      <c r="CW64" s="211" t="str">
        <f t="shared" si="14"/>
        <v xml:space="preserve">​Se llevó a cabo el cumplimiento de las 4 actividades programadas para el primer trimestre de la siguiente manera:                                                                                                                                                Enero:
Actividad 1:
*Se envió el 4 de febrero de 2025 a través de correo electrónico institucional el Informe de la Ejecución Presupuestal a cada una de las Dependencias junto con los saldos de RP al corte de enero de 2025.
*Se realizó Mesa de trabajo el 6 de febrero de 2025 con los enlaces de las dependencias que tienen asignado recursos de funcionamiento e inversión en la vigencia 2025 abordar los siguientes temas:
1.Informar la Ejecución Presupuestal de la entidad y de las dependencias al 31 de Enero 2025
2.Informar la Ejecución de Tiquetes aéreos al 31 de Enero 2025
3.Reservas Presupuestales al 31 de Diciembre de 2024 (Ejecutar en 2025)
4.Lineamientos frente a trámites presupuestales
Febrero:
Actividad 2:
*Se envió el 3 de marzo de 2025 a través de correo electrónico institucional el Informe de la Ejecución Presupuestal a cada una de las Dependencias junto con los saldos de RP al corte de febrero de 2025.
*Se realizó Mesa de trabajo el 7 de marzo de 2025 con los enlaces de las dependencias que tienen asignado recursos de funcionamiento e inversión en la vigencia 2025 abordar los siguientes temas:
*Informar la Ejecución Presupuestal de la entidad y de las dependencias al 28 de Febrero 2025 
*Informar la Ejecución de Tiquetes aéreos al 28 de Febrero 2025 
*Reservas Presupuestales al 31 de Diciembre de 2024 (Ejecutadas en 2025) 
*Lineamientos frente a trámites presupuestales 
Marzo:
Actividad 3:
*Se envió el 2 de abril de 2025 a través de correo electrónico institucional el Informe de la Ejecución Presupuestal a cada una de las Dependencias junto con los saldos de RP al corte de marzo de 2025.
*Se realizó Mesa de trabajo el 7 de abril de 2025 con los enlaces de las dependencias que tienen asignado recursos de funcionamiento e inversión en la vigencia 2025 abordar los siguientes temas:
•Informar la Ejecución Presupuestal de la entidad y de las dependencias al 31 de marzo 2025
•Informar la Ejecución de Tiquetes aéreos al 31 de marzo 2025
•Reservas Presupuestales al 31 de diciembre de 2024 (Ejecutadas en 2025)
•Lineamientos frente a trámites presupuestales
Actividad 4:
Se realizó la primera capacitación a las dependencias que ejecutan el presupuesto sobre los procedimientos y trámites de gestión presupuestal en la cual se abordo temas como:
-Programación Presupuestal
-Ejecución Presupuestal (CDP, Registro Presupuestal, Reserva Presupuestal, (ezago Presupuestal)
-Traslados Presupuestales y Vigencias Futuras
-Seguimiento a la Ejecución Presupuestal
Se adjuntan carpetas con evidencias de las actividades realizadas.
</v>
      </c>
      <c r="CX64" s="211" t="str">
        <f t="shared" si="15"/>
        <v>N/A</v>
      </c>
      <c r="CY64" s="211" t="str">
        <f t="shared" si="29"/>
        <v>N/A</v>
      </c>
      <c r="CZ64" s="211" t="str">
        <f t="shared" si="16"/>
        <v>N/A</v>
      </c>
      <c r="DA64" s="211" t="str">
        <f t="shared" si="17"/>
        <v>N/A</v>
      </c>
      <c r="DB64" s="211" t="str">
        <f t="shared" si="18"/>
        <v>N/A</v>
      </c>
      <c r="DC64" s="211" t="str">
        <f t="shared" si="19"/>
        <v>N/A</v>
      </c>
      <c r="DD64" s="211" t="str">
        <f t="shared" si="20"/>
        <v>N/A</v>
      </c>
      <c r="DE64" s="211" t="str">
        <f t="shared" si="21"/>
        <v>N/A</v>
      </c>
      <c r="DF64" s="211" t="str">
        <f t="shared" si="22"/>
        <v>N/A</v>
      </c>
    </row>
    <row r="65" spans="1:110" s="211" customFormat="1" ht="344.25">
      <c r="A65" s="348" t="s">
        <v>190</v>
      </c>
      <c r="B65" s="211" t="s">
        <v>140</v>
      </c>
      <c r="C65" s="211" t="s">
        <v>231</v>
      </c>
      <c r="D65" s="211" t="s">
        <v>232</v>
      </c>
      <c r="E65" s="211" t="s">
        <v>233</v>
      </c>
      <c r="F65" s="348" t="s">
        <v>234</v>
      </c>
      <c r="G65" s="211" t="s">
        <v>178</v>
      </c>
      <c r="H65" s="211">
        <v>0.2</v>
      </c>
      <c r="I65" s="436">
        <v>96859043620</v>
      </c>
      <c r="J65" s="436">
        <v>326211744691</v>
      </c>
      <c r="K65" s="288">
        <v>0.29692077368872299</v>
      </c>
      <c r="L65" s="211" t="s">
        <v>235</v>
      </c>
      <c r="M65" s="211" t="b">
        <v>0</v>
      </c>
      <c r="O65" s="209" t="s">
        <v>2832</v>
      </c>
      <c r="P65" s="211" t="s">
        <v>159</v>
      </c>
      <c r="Q65" s="211" t="s">
        <v>160</v>
      </c>
      <c r="T65" s="236" t="s">
        <v>324</v>
      </c>
      <c r="U65" s="269"/>
      <c r="V65" s="269">
        <v>1</v>
      </c>
      <c r="W65" s="269"/>
      <c r="X65" s="269">
        <v>1</v>
      </c>
      <c r="Y65" s="269"/>
      <c r="Z65" s="269"/>
      <c r="AA65" s="269">
        <v>1</v>
      </c>
      <c r="AB65" s="269"/>
      <c r="AC65" s="269"/>
      <c r="AD65" s="269">
        <v>1</v>
      </c>
      <c r="AE65" s="269"/>
      <c r="AF65" s="269"/>
      <c r="AG65" s="269">
        <v>4</v>
      </c>
      <c r="AH65"/>
      <c r="AI65"/>
      <c r="AJ65" s="236" t="s">
        <v>324</v>
      </c>
      <c r="AK65" s="269"/>
      <c r="AL65" s="269">
        <v>1</v>
      </c>
      <c r="AM65" s="269"/>
      <c r="AN65" s="269">
        <v>1</v>
      </c>
      <c r="AO65" s="269"/>
      <c r="AP65" s="269"/>
      <c r="AQ65" s="269">
        <v>1</v>
      </c>
      <c r="AR65" s="269"/>
      <c r="AS65" s="269"/>
      <c r="AT65" s="269">
        <v>1</v>
      </c>
      <c r="AU65" s="269"/>
      <c r="AV65" s="269"/>
      <c r="AW65" s="269">
        <v>4</v>
      </c>
      <c r="AX65" s="236"/>
      <c r="AY65" s="236"/>
      <c r="AZ65" s="236"/>
      <c r="BA65" s="236" t="s">
        <v>459</v>
      </c>
      <c r="BB65" s="240">
        <f t="shared" si="30"/>
        <v>0</v>
      </c>
      <c r="BC65" s="240">
        <f t="shared" si="31"/>
        <v>0</v>
      </c>
      <c r="BD65" s="240">
        <f t="shared" si="32"/>
        <v>0</v>
      </c>
      <c r="BE65" s="240">
        <f t="shared" si="33"/>
        <v>11</v>
      </c>
      <c r="BF65" s="240">
        <f t="shared" si="34"/>
        <v>0</v>
      </c>
      <c r="BG65" s="240">
        <f t="shared" si="35"/>
        <v>0</v>
      </c>
      <c r="BH65" s="240">
        <f t="shared" si="36"/>
        <v>0</v>
      </c>
      <c r="BI65" s="240">
        <f t="shared" si="37"/>
        <v>25</v>
      </c>
      <c r="BJ65" s="240">
        <f t="shared" si="38"/>
        <v>0</v>
      </c>
      <c r="BK65" s="240">
        <f t="shared" si="23"/>
        <v>0</v>
      </c>
      <c r="BL65" s="240">
        <f t="shared" si="24"/>
        <v>0</v>
      </c>
      <c r="BM65" s="240">
        <f t="shared" si="25"/>
        <v>13</v>
      </c>
      <c r="BN65" s="211">
        <f t="shared" si="39"/>
        <v>0</v>
      </c>
      <c r="BO65" s="236">
        <f t="shared" si="40"/>
        <v>0</v>
      </c>
      <c r="BP65" s="236">
        <f t="shared" si="41"/>
        <v>0</v>
      </c>
      <c r="BQ65" s="236">
        <f t="shared" si="42"/>
        <v>11</v>
      </c>
      <c r="BR65" s="236">
        <f t="shared" si="43"/>
        <v>0</v>
      </c>
      <c r="BS65" s="236">
        <f t="shared" si="44"/>
        <v>0</v>
      </c>
      <c r="BT65" s="236">
        <f t="shared" si="45"/>
        <v>0</v>
      </c>
      <c r="BU65" s="236">
        <f t="shared" si="46"/>
        <v>25</v>
      </c>
      <c r="BV65" s="236">
        <f t="shared" si="47"/>
        <v>0</v>
      </c>
      <c r="BW65" s="236">
        <f t="shared" si="26"/>
        <v>0</v>
      </c>
      <c r="BX65" s="236">
        <f t="shared" si="27"/>
        <v>0</v>
      </c>
      <c r="BY65" s="236">
        <f t="shared" si="28"/>
        <v>13</v>
      </c>
      <c r="BZ65" s="236"/>
      <c r="CA65" s="275" t="s">
        <v>556</v>
      </c>
      <c r="CB65" s="272" t="str">
        <f t="shared" si="48"/>
        <v>N/A</v>
      </c>
      <c r="CC65" s="272" t="str">
        <f t="shared" si="49"/>
        <v>N/A</v>
      </c>
      <c r="CD65" s="272" t="str">
        <f t="shared" si="50"/>
        <v>N/A</v>
      </c>
      <c r="CE65" s="284" t="str">
        <f t="shared" si="51"/>
        <v>N/A</v>
      </c>
      <c r="CF65" s="284" t="str">
        <f t="shared" si="52"/>
        <v>N/A</v>
      </c>
      <c r="CG65" s="284" t="str">
        <f t="shared" si="53"/>
        <v xml:space="preserve">​Se cumple con el numero de socializaciones de las funciones y actuvidades de la DFJC a los actores del SGSSS establecidas para el semestre , se anexan los informes , certificaciones y evidencias de asistencia tanto de los funcinarios como los actores del SGSSS. 
</v>
      </c>
      <c r="CH65" s="272" t="str">
        <f t="shared" si="54"/>
        <v>N/A</v>
      </c>
      <c r="CI65" s="211" t="str">
        <f t="shared" si="55"/>
        <v>N/A</v>
      </c>
      <c r="CJ65" s="211" t="str">
        <f t="shared" si="56"/>
        <v>N/A</v>
      </c>
      <c r="CK65" s="211" t="str">
        <f t="shared" si="57"/>
        <v>N/A</v>
      </c>
      <c r="CL65" s="211" t="str">
        <f t="shared" si="58"/>
        <v>N/A</v>
      </c>
      <c r="CM65" s="211" t="str">
        <f t="shared" si="59"/>
        <v>N/A</v>
      </c>
      <c r="CO65" s="211" t="s">
        <v>190</v>
      </c>
      <c r="CP65" s="211" t="s">
        <v>140</v>
      </c>
      <c r="CQ65" s="211" t="s">
        <v>231</v>
      </c>
      <c r="CR65" s="211" t="s">
        <v>232</v>
      </c>
      <c r="CS65" s="211" t="s">
        <v>235</v>
      </c>
      <c r="CT65" s="211" t="s">
        <v>231</v>
      </c>
      <c r="CU65" s="211" t="str">
        <f t="shared" si="12"/>
        <v>N/A</v>
      </c>
      <c r="CV65" s="211" t="str">
        <f t="shared" si="13"/>
        <v>N/A</v>
      </c>
      <c r="CW65" s="211" t="str">
        <f t="shared" si="14"/>
        <v xml:space="preserve"> La apropiación asignada a la Superintendencia Nacional de Salud (SNS) para la vigencia 2025 ascendió a $326.211.744.691. De este total, se ejecutaron compromisos por la suma de $96.859.043.620, lo que representa el 29,7% de la apropiación. Este resultado es mayor al 20% al programado en los indicadores de gestión, significa que se cumple a satisfacción el indicador.
En cuanto a la ejecución presupuestal de los recursos de funcionamiento e inversión, se presenta lo siguiente:
• Recursos de funcionamiento: $67.687.413.848,64, lo que representa el 28,3% de la apropiación vigente de $239.012.900.000.
• Recursos de inversión: $29.171.629.771,44, equivalente al 33,5% de la apropiación vigente de $87.198.844.691
Es importante resaltar que la ejecución por obligaciones alcanzó los $49.670.956.864,92 lo que representa el 15,2%, y la ejecución por pagos fue de $49.626.084.256,92 equivalente al 15,2%.
</v>
      </c>
      <c r="CX65" s="211" t="str">
        <f t="shared" si="15"/>
        <v>N/A</v>
      </c>
      <c r="CY65" s="211" t="str">
        <f t="shared" si="29"/>
        <v>N/A</v>
      </c>
      <c r="CZ65" s="211" t="str">
        <f t="shared" si="16"/>
        <v>N/A</v>
      </c>
      <c r="DA65" s="211" t="str">
        <f t="shared" si="17"/>
        <v>N/A</v>
      </c>
      <c r="DB65" s="211" t="str">
        <f t="shared" si="18"/>
        <v>N/A</v>
      </c>
      <c r="DC65" s="211" t="str">
        <f t="shared" si="19"/>
        <v>N/A</v>
      </c>
      <c r="DD65" s="211" t="str">
        <f t="shared" si="20"/>
        <v>N/A</v>
      </c>
      <c r="DE65" s="211" t="str">
        <f t="shared" si="21"/>
        <v>N/A</v>
      </c>
      <c r="DF65" s="211" t="str">
        <f t="shared" si="22"/>
        <v>N/A</v>
      </c>
    </row>
    <row r="66" spans="1:110" s="211" customFormat="1" ht="165.75">
      <c r="A66" s="348" t="s">
        <v>190</v>
      </c>
      <c r="B66" s="211" t="s">
        <v>140</v>
      </c>
      <c r="C66" s="211" t="s">
        <v>216</v>
      </c>
      <c r="D66" s="211" t="s">
        <v>217</v>
      </c>
      <c r="E66" s="211" t="s">
        <v>218</v>
      </c>
      <c r="F66" s="348" t="s">
        <v>219</v>
      </c>
      <c r="G66" s="211" t="s">
        <v>178</v>
      </c>
      <c r="H66" s="211">
        <v>1</v>
      </c>
      <c r="I66" s="323">
        <v>122</v>
      </c>
      <c r="J66" s="323">
        <v>122</v>
      </c>
      <c r="K66" s="288">
        <v>1</v>
      </c>
      <c r="L66" s="211" t="s">
        <v>224</v>
      </c>
      <c r="M66" s="211" t="b">
        <v>0</v>
      </c>
      <c r="O66" s="209" t="s">
        <v>2832</v>
      </c>
      <c r="P66" s="211" t="s">
        <v>159</v>
      </c>
      <c r="Q66" s="211" t="s">
        <v>160</v>
      </c>
      <c r="T66" s="236" t="s">
        <v>336</v>
      </c>
      <c r="U66" s="269"/>
      <c r="V66" s="269"/>
      <c r="W66" s="269">
        <v>155</v>
      </c>
      <c r="X66" s="269"/>
      <c r="Y66" s="269"/>
      <c r="Z66" s="269">
        <v>153</v>
      </c>
      <c r="AA66" s="269"/>
      <c r="AB66" s="269"/>
      <c r="AC66" s="269">
        <v>123</v>
      </c>
      <c r="AD66" s="269"/>
      <c r="AE66" s="269"/>
      <c r="AF66" s="269">
        <v>74</v>
      </c>
      <c r="AG66" s="269">
        <v>505</v>
      </c>
      <c r="AH66"/>
      <c r="AI66"/>
      <c r="AJ66" s="236" t="s">
        <v>336</v>
      </c>
      <c r="AK66" s="269"/>
      <c r="AL66" s="269"/>
      <c r="AM66" s="269">
        <v>155</v>
      </c>
      <c r="AN66" s="269"/>
      <c r="AO66" s="269"/>
      <c r="AP66" s="269">
        <v>153</v>
      </c>
      <c r="AQ66" s="269"/>
      <c r="AR66" s="269"/>
      <c r="AS66" s="269">
        <v>123</v>
      </c>
      <c r="AT66" s="269"/>
      <c r="AU66" s="269"/>
      <c r="AV66" s="269">
        <v>74</v>
      </c>
      <c r="AW66" s="269">
        <v>505</v>
      </c>
      <c r="AX66" s="236"/>
      <c r="AY66" s="236"/>
      <c r="AZ66" s="236"/>
      <c r="BA66" s="236" t="s">
        <v>465</v>
      </c>
      <c r="BB66" s="240">
        <f t="shared" si="30"/>
        <v>0</v>
      </c>
      <c r="BC66" s="240">
        <f t="shared" si="31"/>
        <v>0</v>
      </c>
      <c r="BD66" s="240">
        <f t="shared" si="32"/>
        <v>0</v>
      </c>
      <c r="BE66" s="240">
        <f t="shared" si="33"/>
        <v>8</v>
      </c>
      <c r="BF66" s="240">
        <f t="shared" si="34"/>
        <v>0</v>
      </c>
      <c r="BG66" s="240">
        <f t="shared" si="35"/>
        <v>0</v>
      </c>
      <c r="BH66" s="240">
        <f t="shared" si="36"/>
        <v>0</v>
      </c>
      <c r="BI66" s="240">
        <f t="shared" si="37"/>
        <v>15</v>
      </c>
      <c r="BJ66" s="240">
        <f t="shared" si="38"/>
        <v>0</v>
      </c>
      <c r="BK66" s="240">
        <f t="shared" si="23"/>
        <v>0</v>
      </c>
      <c r="BL66" s="240">
        <f t="shared" si="24"/>
        <v>0</v>
      </c>
      <c r="BM66" s="240">
        <f t="shared" si="25"/>
        <v>74</v>
      </c>
      <c r="BN66" s="211">
        <f t="shared" si="39"/>
        <v>0</v>
      </c>
      <c r="BO66" s="236">
        <f t="shared" si="40"/>
        <v>0</v>
      </c>
      <c r="BP66" s="236">
        <f t="shared" si="41"/>
        <v>0</v>
      </c>
      <c r="BQ66" s="236">
        <f t="shared" si="42"/>
        <v>8</v>
      </c>
      <c r="BR66" s="236">
        <f t="shared" si="43"/>
        <v>0</v>
      </c>
      <c r="BS66" s="236">
        <f t="shared" si="44"/>
        <v>0</v>
      </c>
      <c r="BT66" s="236">
        <f t="shared" si="45"/>
        <v>0</v>
      </c>
      <c r="BU66" s="236">
        <f t="shared" si="46"/>
        <v>15</v>
      </c>
      <c r="BV66" s="236">
        <f t="shared" si="47"/>
        <v>0</v>
      </c>
      <c r="BW66" s="236">
        <f t="shared" si="26"/>
        <v>0</v>
      </c>
      <c r="BX66" s="236">
        <f t="shared" si="27"/>
        <v>0</v>
      </c>
      <c r="BY66" s="236">
        <f t="shared" si="28"/>
        <v>74</v>
      </c>
      <c r="BZ66" s="236"/>
      <c r="CA66" s="275" t="s">
        <v>288</v>
      </c>
      <c r="CB66" s="272" t="str">
        <f t="shared" si="48"/>
        <v>N/A</v>
      </c>
      <c r="CC66" s="272" t="str">
        <f t="shared" si="49"/>
        <v>N/A</v>
      </c>
      <c r="CD66" s="272" t="str">
        <f t="shared" si="50"/>
        <v>N/A</v>
      </c>
      <c r="CE66" s="284" t="str">
        <f t="shared" si="51"/>
        <v xml:space="preserve">Mediante AUTO N° 2025130000000090-7 DE 27-01-2025 se ordenó realizar el  seguimiento en campo a la EMPRESA PROMOTORA DE SALUD EPSS CONVIDA EN LIQUIDACIÓN, identificada con NIT 899.999.107-9
</v>
      </c>
      <c r="CF66" s="284" t="str">
        <f t="shared" si="52"/>
        <v>N/A</v>
      </c>
      <c r="CG66" s="284" t="str">
        <f t="shared" si="53"/>
        <v>N/A</v>
      </c>
      <c r="CH66" s="272" t="str">
        <f t="shared" si="54"/>
        <v>N/A</v>
      </c>
      <c r="CI66" s="211" t="str">
        <f t="shared" si="55"/>
        <v>N/A</v>
      </c>
      <c r="CJ66" s="211" t="str">
        <f t="shared" si="56"/>
        <v>N/A</v>
      </c>
      <c r="CK66" s="211" t="str">
        <f t="shared" si="57"/>
        <v>N/A</v>
      </c>
      <c r="CL66" s="211" t="str">
        <f t="shared" si="58"/>
        <v>N/A</v>
      </c>
      <c r="CM66" s="211" t="str">
        <f t="shared" si="59"/>
        <v>N/A</v>
      </c>
      <c r="CO66" s="211" t="s">
        <v>190</v>
      </c>
      <c r="CP66" s="211" t="s">
        <v>140</v>
      </c>
      <c r="CQ66" s="211" t="s">
        <v>216</v>
      </c>
      <c r="CR66" s="211" t="s">
        <v>217</v>
      </c>
      <c r="CS66" s="211" t="s">
        <v>224</v>
      </c>
      <c r="CT66" s="211" t="s">
        <v>216</v>
      </c>
      <c r="CU66" s="211" t="str">
        <f t="shared" si="12"/>
        <v>N/A</v>
      </c>
      <c r="CV66" s="211" t="str">
        <f t="shared" si="13"/>
        <v>N/A</v>
      </c>
      <c r="CW66" s="211" t="str">
        <f t="shared" si="14"/>
        <v>Durante el mes de Marzo, se gestionaron  122 cuentas que fueron radicadas en los tiempos estipulados de acuerdo con la Circular Interna 2022920020000026-4 de 2022,asi mismo, los documentos radicados despues del dia 25 calendario se tramitaron en el siguiente mes. Por lo cual, se cumplió con la meta del indicador del 100%, (122/122) habiendo gestionado la totalidad de las cuentas radicadas con un tiempo de gestión de 1,5 dias hábiles. Se adjunta base con relación de cuentas radicadas y gestionadas, asi como el reporte del indicador con la correspondiente gráfica.</v>
      </c>
      <c r="CX66" s="211" t="str">
        <f t="shared" si="15"/>
        <v>N/A</v>
      </c>
      <c r="CY66" s="211" t="str">
        <f t="shared" si="29"/>
        <v>N/A</v>
      </c>
      <c r="CZ66" s="211" t="str">
        <f t="shared" si="16"/>
        <v>N/A</v>
      </c>
      <c r="DA66" s="211" t="str">
        <f t="shared" si="17"/>
        <v>N/A</v>
      </c>
      <c r="DB66" s="211" t="str">
        <f t="shared" si="18"/>
        <v>N/A</v>
      </c>
      <c r="DC66" s="211" t="str">
        <f t="shared" si="19"/>
        <v>N/A</v>
      </c>
      <c r="DD66" s="211" t="str">
        <f t="shared" si="20"/>
        <v>N/A</v>
      </c>
      <c r="DE66" s="211" t="str">
        <f t="shared" si="21"/>
        <v>N/A</v>
      </c>
      <c r="DF66" s="211" t="str">
        <f t="shared" si="22"/>
        <v>N/A</v>
      </c>
    </row>
    <row r="67" spans="1:110" s="211" customFormat="1" ht="242.25">
      <c r="A67" s="348" t="s">
        <v>190</v>
      </c>
      <c r="B67" s="211" t="s">
        <v>140</v>
      </c>
      <c r="C67" s="211" t="s">
        <v>480</v>
      </c>
      <c r="D67" s="211" t="s">
        <v>481</v>
      </c>
      <c r="E67" s="211" t="s">
        <v>482</v>
      </c>
      <c r="F67" s="348" t="s">
        <v>483</v>
      </c>
      <c r="G67" s="211" t="s">
        <v>178</v>
      </c>
      <c r="H67" s="211">
        <v>11</v>
      </c>
      <c r="I67" s="323">
        <v>11</v>
      </c>
      <c r="J67" s="323">
        <v>11</v>
      </c>
      <c r="K67" s="288">
        <v>1</v>
      </c>
      <c r="L67" s="211" t="s">
        <v>484</v>
      </c>
      <c r="M67" s="211" t="b">
        <v>1</v>
      </c>
      <c r="N67" s="211" t="s">
        <v>485</v>
      </c>
      <c r="O67" s="209" t="s">
        <v>2832</v>
      </c>
      <c r="P67" s="211" t="s">
        <v>159</v>
      </c>
      <c r="Q67" s="211" t="s">
        <v>160</v>
      </c>
      <c r="T67" s="236" t="s">
        <v>342</v>
      </c>
      <c r="U67" s="269"/>
      <c r="V67" s="269"/>
      <c r="W67" s="269">
        <v>197</v>
      </c>
      <c r="X67" s="269"/>
      <c r="Y67" s="269"/>
      <c r="Z67" s="269">
        <v>75</v>
      </c>
      <c r="AA67" s="269"/>
      <c r="AB67" s="269"/>
      <c r="AC67" s="269">
        <v>36</v>
      </c>
      <c r="AD67" s="269"/>
      <c r="AE67" s="269"/>
      <c r="AF67" s="269">
        <v>83</v>
      </c>
      <c r="AG67" s="269">
        <v>391</v>
      </c>
      <c r="AH67"/>
      <c r="AI67"/>
      <c r="AJ67" s="236" t="s">
        <v>342</v>
      </c>
      <c r="AK67" s="269"/>
      <c r="AL67" s="269"/>
      <c r="AM67" s="269">
        <v>211</v>
      </c>
      <c r="AN67" s="269"/>
      <c r="AO67" s="269"/>
      <c r="AP67" s="269">
        <v>78</v>
      </c>
      <c r="AQ67" s="269"/>
      <c r="AR67" s="269"/>
      <c r="AS67" s="269">
        <v>36</v>
      </c>
      <c r="AT67" s="269"/>
      <c r="AU67" s="269"/>
      <c r="AV67" s="269">
        <v>83</v>
      </c>
      <c r="AW67" s="269">
        <v>408</v>
      </c>
      <c r="AX67" s="236"/>
      <c r="AY67" s="236"/>
      <c r="AZ67" s="236"/>
      <c r="BA67" s="239" t="s">
        <v>471</v>
      </c>
      <c r="BB67" s="240">
        <f t="shared" si="30"/>
        <v>0</v>
      </c>
      <c r="BC67" s="240">
        <f t="shared" si="31"/>
        <v>0</v>
      </c>
      <c r="BD67" s="240">
        <f t="shared" si="32"/>
        <v>0</v>
      </c>
      <c r="BE67" s="240">
        <f t="shared" si="33"/>
        <v>0</v>
      </c>
      <c r="BF67" s="240">
        <f t="shared" si="34"/>
        <v>0</v>
      </c>
      <c r="BG67" s="240">
        <f t="shared" si="35"/>
        <v>88</v>
      </c>
      <c r="BH67" s="240">
        <f t="shared" si="36"/>
        <v>0</v>
      </c>
      <c r="BI67" s="240">
        <f t="shared" si="37"/>
        <v>0</v>
      </c>
      <c r="BJ67" s="240">
        <f t="shared" si="38"/>
        <v>0</v>
      </c>
      <c r="BK67" s="240">
        <f t="shared" si="23"/>
        <v>0</v>
      </c>
      <c r="BL67" s="240">
        <f t="shared" si="24"/>
        <v>0</v>
      </c>
      <c r="BM67" s="240">
        <f t="shared" si="25"/>
        <v>115491</v>
      </c>
      <c r="BN67" s="211">
        <f t="shared" si="39"/>
        <v>0</v>
      </c>
      <c r="BO67" s="236">
        <f t="shared" si="40"/>
        <v>0</v>
      </c>
      <c r="BP67" s="236">
        <f t="shared" si="41"/>
        <v>0</v>
      </c>
      <c r="BQ67" s="236">
        <f t="shared" si="42"/>
        <v>0</v>
      </c>
      <c r="BR67" s="236">
        <f t="shared" si="43"/>
        <v>0</v>
      </c>
      <c r="BS67" s="236">
        <f t="shared" si="44"/>
        <v>88</v>
      </c>
      <c r="BT67" s="236">
        <f t="shared" si="45"/>
        <v>0</v>
      </c>
      <c r="BU67" s="236">
        <f t="shared" si="46"/>
        <v>0</v>
      </c>
      <c r="BV67" s="236">
        <f t="shared" si="47"/>
        <v>0</v>
      </c>
      <c r="BW67" s="236">
        <f t="shared" si="26"/>
        <v>0</v>
      </c>
      <c r="BX67" s="236">
        <f t="shared" si="27"/>
        <v>0</v>
      </c>
      <c r="BY67" s="236">
        <f t="shared" si="28"/>
        <v>123166</v>
      </c>
      <c r="BZ67" s="236"/>
      <c r="CA67" s="275" t="s">
        <v>611</v>
      </c>
      <c r="CB67" s="272" t="str">
        <f t="shared" ref="CB67:CB98" si="60">+VLOOKUP(CA67,CT:DF,2,FALSE)</f>
        <v>N/A</v>
      </c>
      <c r="CC67" s="272" t="str">
        <f t="shared" ref="CC67:CC98" si="61">+VLOOKUP(CA67,CT:DF,3,FALSE)</f>
        <v>N/A</v>
      </c>
      <c r="CD67" s="272" t="str">
        <f t="shared" ref="CD67:CD98" si="62">+VLOOKUP(CA67,CT:DF,4,FALSE)</f>
        <v>N/A</v>
      </c>
      <c r="CE67" s="284" t="str">
        <f t="shared" ref="CE67:CE98" si="63">+VLOOKUP(CA67,CT:DF,5,FALSE)</f>
        <v>N/A</v>
      </c>
      <c r="CF67" s="284" t="str">
        <f t="shared" ref="CF67:CF98" si="64">+VLOOKUP(CA67,CT:DF,6,FALSE)</f>
        <v>N/A</v>
      </c>
      <c r="CG67" s="284" t="str">
        <f t="shared" ref="CG67:CG98" si="65">+VLOOKUP(CA67,CT:DF,7,FALSE)</f>
        <v xml:space="preserve">​Debido al cambio de personal de la OL y la prioridad de las visitas de seguimiento y monitoreo de las entidades en liquidación , las visitas programadas en el año se realizaran en el segundo semestre.Se modificará este indicador .  
</v>
      </c>
      <c r="CH67" s="272" t="str">
        <f t="shared" ref="CH67:CH98" si="66">+VLOOKUP(CA67,CT:DF,8,FALSE)</f>
        <v>N/A</v>
      </c>
      <c r="CI67" s="211" t="str">
        <f t="shared" ref="CI67:CI98" si="67">+VLOOKUP(CA67,CT:DF,9,FALSE)</f>
        <v>N/A</v>
      </c>
      <c r="CJ67" s="211" t="str">
        <f t="shared" ref="CJ67:CJ98" si="68">+VLOOKUP(CA67,CT:DF,10,FALSE)</f>
        <v>N/A</v>
      </c>
      <c r="CK67" s="211" t="str">
        <f t="shared" ref="CK67:CK98" si="69">+VLOOKUP(CA67,CT:DF,11,FALSE)</f>
        <v>N/A</v>
      </c>
      <c r="CL67" s="211" t="str">
        <f t="shared" ref="CL67:CL98" si="70">+VLOOKUP(CA67,CT:DF,12,FALSE)</f>
        <v>N/A</v>
      </c>
      <c r="CM67" s="211" t="str">
        <f t="shared" ref="CM67:CM98" si="71">+VLOOKUP(CA67,CT:DF,13,FALSE)</f>
        <v>N/A</v>
      </c>
      <c r="CO67" s="211" t="s">
        <v>190</v>
      </c>
      <c r="CP67" s="211" t="s">
        <v>140</v>
      </c>
      <c r="CQ67" s="211" t="s">
        <v>480</v>
      </c>
      <c r="CR67" s="211" t="s">
        <v>481</v>
      </c>
      <c r="CS67" s="211" t="s">
        <v>484</v>
      </c>
      <c r="CT67" s="211" t="s">
        <v>480</v>
      </c>
      <c r="CU67" s="211" t="str">
        <f t="shared" ref="CU67:CU130" si="72">+IF(CP67=$CU$1,CS67,"N/A")</f>
        <v>N/A</v>
      </c>
      <c r="CV67" s="211" t="str">
        <f t="shared" ref="CV67:CV130" si="73">+IF(CP67=$CV$1,CS67,"N/A")</f>
        <v>N/A</v>
      </c>
      <c r="CW67" s="211" t="str">
        <f t="shared" ref="CW67:CW130" si="74">+IF(CP67=$CW$1,CS67,"N/A")</f>
        <v xml:space="preserve">​
Para el primer trimestre de la vigencia se consiguió un porcentaje de cumplimiento de 100% de las actividades programadas para el período, para un porcentaje acumulado del 100% del total de las actividades programadas para la vigencia en la actividad
</v>
      </c>
      <c r="CX67" s="211" t="str">
        <f t="shared" ref="CX67:CX130" si="75">+IF(CP67=$CX$1,CS67,"N/A")</f>
        <v>N/A</v>
      </c>
      <c r="CY67" s="211" t="str">
        <f t="shared" ref="CY67:CY130" si="76">+IF(CP67=$CY$1,CS67,"N/A")</f>
        <v>N/A</v>
      </c>
      <c r="CZ67" s="211" t="str">
        <f t="shared" ref="CZ67:CZ130" si="77">+IF(CP67=$CZ$1,CS67,"N/A")</f>
        <v>N/A</v>
      </c>
      <c r="DA67" s="211" t="str">
        <f t="shared" ref="DA67:DA130" si="78">+IF(CP67=$DA$1,CS67,"N/A")</f>
        <v>N/A</v>
      </c>
      <c r="DB67" s="211" t="str">
        <f t="shared" ref="DB67:DB130" si="79">+IF(CP67=$DB$1,CS67,"N/A")</f>
        <v>N/A</v>
      </c>
      <c r="DC67" s="211" t="str">
        <f t="shared" ref="DC67:DC130" si="80">+IF(CP67=$DC$1,CS67,"N/A")</f>
        <v>N/A</v>
      </c>
      <c r="DD67" s="211" t="str">
        <f t="shared" ref="DD67:DD130" si="81">+IF(CP67=$DD$1,CS67,"N/A")</f>
        <v>N/A</v>
      </c>
      <c r="DE67" s="211" t="str">
        <f t="shared" ref="DE67:DE130" si="82">+IF(CP67=$DE$1,CS67,"N/A")</f>
        <v>N/A</v>
      </c>
      <c r="DF67" s="211" t="str">
        <f t="shared" ref="DF67:DF130" si="83">+IF(CP67=$DF$1,CS67,"N/A")</f>
        <v>N/A</v>
      </c>
    </row>
    <row r="68" spans="1:110" s="211" customFormat="1" ht="216.75">
      <c r="A68" s="348" t="s">
        <v>190</v>
      </c>
      <c r="B68" s="211" t="s">
        <v>140</v>
      </c>
      <c r="C68" s="211" t="s">
        <v>486</v>
      </c>
      <c r="D68" s="211" t="s">
        <v>487</v>
      </c>
      <c r="E68" s="211" t="s">
        <v>488</v>
      </c>
      <c r="F68" s="348" t="s">
        <v>489</v>
      </c>
      <c r="G68" s="211" t="s">
        <v>178</v>
      </c>
      <c r="H68" s="211">
        <v>1</v>
      </c>
      <c r="I68" s="323">
        <v>1</v>
      </c>
      <c r="J68" s="323">
        <v>1</v>
      </c>
      <c r="K68" s="288">
        <v>1</v>
      </c>
      <c r="L68" s="211" t="s">
        <v>490</v>
      </c>
      <c r="M68" s="211" t="b">
        <v>1</v>
      </c>
      <c r="N68" s="211" t="s">
        <v>491</v>
      </c>
      <c r="O68" s="209" t="s">
        <v>2832</v>
      </c>
      <c r="P68" s="211" t="s">
        <v>159</v>
      </c>
      <c r="Q68" s="211" t="s">
        <v>160</v>
      </c>
      <c r="T68" s="236" t="s">
        <v>330</v>
      </c>
      <c r="U68" s="269"/>
      <c r="V68" s="269">
        <v>1</v>
      </c>
      <c r="W68" s="269">
        <v>4</v>
      </c>
      <c r="X68" s="269">
        <v>1</v>
      </c>
      <c r="Y68" s="269"/>
      <c r="Z68" s="269">
        <v>7</v>
      </c>
      <c r="AA68" s="269"/>
      <c r="AB68" s="269">
        <v>1</v>
      </c>
      <c r="AC68" s="269">
        <v>6</v>
      </c>
      <c r="AD68" s="269">
        <v>1</v>
      </c>
      <c r="AE68" s="269"/>
      <c r="AF68" s="269">
        <v>11</v>
      </c>
      <c r="AG68" s="269">
        <v>32</v>
      </c>
      <c r="AH68"/>
      <c r="AI68"/>
      <c r="AJ68" s="236" t="s">
        <v>330</v>
      </c>
      <c r="AK68" s="269"/>
      <c r="AL68" s="269">
        <v>1</v>
      </c>
      <c r="AM68" s="269">
        <v>6</v>
      </c>
      <c r="AN68" s="269">
        <v>1</v>
      </c>
      <c r="AO68" s="269"/>
      <c r="AP68" s="269">
        <v>7</v>
      </c>
      <c r="AQ68" s="269"/>
      <c r="AR68" s="269">
        <v>1</v>
      </c>
      <c r="AS68" s="269">
        <v>6</v>
      </c>
      <c r="AT68" s="269">
        <v>1</v>
      </c>
      <c r="AU68" s="269"/>
      <c r="AV68" s="269">
        <v>9</v>
      </c>
      <c r="AW68" s="269">
        <v>32</v>
      </c>
      <c r="AX68" s="236"/>
      <c r="AY68" s="236"/>
      <c r="AZ68" s="236"/>
      <c r="BA68" s="239" t="s">
        <v>475</v>
      </c>
      <c r="BB68" s="240">
        <f t="shared" si="30"/>
        <v>0</v>
      </c>
      <c r="BC68" s="240">
        <f t="shared" si="31"/>
        <v>0</v>
      </c>
      <c r="BD68" s="240">
        <f t="shared" si="32"/>
        <v>0</v>
      </c>
      <c r="BE68" s="240">
        <f t="shared" si="33"/>
        <v>0</v>
      </c>
      <c r="BF68" s="240">
        <f t="shared" si="34"/>
        <v>0</v>
      </c>
      <c r="BG68" s="240">
        <f t="shared" si="35"/>
        <v>475</v>
      </c>
      <c r="BH68" s="240">
        <f t="shared" si="36"/>
        <v>0</v>
      </c>
      <c r="BI68" s="240">
        <f t="shared" si="37"/>
        <v>0</v>
      </c>
      <c r="BJ68" s="240">
        <f t="shared" si="38"/>
        <v>0</v>
      </c>
      <c r="BK68" s="240">
        <f t="shared" ref="BK68:BK131" si="84">+VLOOKUP(BA68,$T$3:$AF$140,11,FALSE)</f>
        <v>0</v>
      </c>
      <c r="BL68" s="240">
        <f t="shared" ref="BL68:BL131" si="85">+VLOOKUP(BA68,$T$3:$AF$140,12,FALSE)</f>
        <v>0</v>
      </c>
      <c r="BM68" s="240">
        <f t="shared" ref="BM68:BM131" si="86">+VLOOKUP(BA68,$T$3:$AF$140,13,FALSE)</f>
        <v>524</v>
      </c>
      <c r="BN68" s="211">
        <f t="shared" si="39"/>
        <v>0</v>
      </c>
      <c r="BO68" s="236">
        <f t="shared" si="40"/>
        <v>0</v>
      </c>
      <c r="BP68" s="236">
        <f t="shared" si="41"/>
        <v>0</v>
      </c>
      <c r="BQ68" s="236">
        <f t="shared" si="42"/>
        <v>0</v>
      </c>
      <c r="BR68" s="236">
        <f t="shared" si="43"/>
        <v>0</v>
      </c>
      <c r="BS68" s="236">
        <f t="shared" si="44"/>
        <v>484</v>
      </c>
      <c r="BT68" s="236">
        <f t="shared" si="45"/>
        <v>0</v>
      </c>
      <c r="BU68" s="236">
        <f t="shared" si="46"/>
        <v>0</v>
      </c>
      <c r="BV68" s="236">
        <f t="shared" si="47"/>
        <v>0</v>
      </c>
      <c r="BW68" s="236">
        <f t="shared" ref="BW68:BW131" si="87">+VLOOKUP(BA68,$AJ$3:$AV$140,11,FALSE)</f>
        <v>0</v>
      </c>
      <c r="BX68" s="236">
        <f t="shared" ref="BX68:BX131" si="88">+VLOOKUP(BA68,$AJ$3:$AV$140,12,FALSE)</f>
        <v>0</v>
      </c>
      <c r="BY68" s="236">
        <f t="shared" ref="BY68:BY131" si="89">+VLOOKUP(BA68,$AJ$3:$AV$140,13,FALSE)</f>
        <v>524</v>
      </c>
      <c r="BZ68" s="236"/>
      <c r="CA68" s="275" t="s">
        <v>646</v>
      </c>
      <c r="CB68" s="272" t="str">
        <f t="shared" si="60"/>
        <v>N/A</v>
      </c>
      <c r="CC68" s="272" t="str">
        <f t="shared" si="61"/>
        <v>N/A</v>
      </c>
      <c r="CD68" s="272" t="str">
        <f t="shared" si="62"/>
        <v>N/A</v>
      </c>
      <c r="CE68" s="284" t="str">
        <f t="shared" si="63"/>
        <v>N/A</v>
      </c>
      <c r="CF68" s="284" t="str">
        <f t="shared" si="64"/>
        <v>N/A</v>
      </c>
      <c r="CG68" s="284" t="str">
        <f t="shared" si="65"/>
        <v xml:space="preserve">​Mediante la contratación de 2 profesionales del area jurídica  se esta haciendo el  seguimiento y monitoreo de los vigilados a cargo de la Oficina de Liquidaciones la evidencia son los documentos documentos radicados efectivos de salida en la herramienta Superargo de los procesos de respuesta a los usuarios o entidades del SGSSS y traslados a órganos de control que para el caso del primer semestre fueron 322 de salida efectivos . El incumplimiento del indicador a que se retrazó el tiempo en la oficina de contratación para realizar los contratos y la fecha de inicio fué diferente a la programada. 
</v>
      </c>
      <c r="CH68" s="272" t="str">
        <f t="shared" si="66"/>
        <v>N/A</v>
      </c>
      <c r="CI68" s="211" t="str">
        <f t="shared" si="67"/>
        <v>N/A</v>
      </c>
      <c r="CJ68" s="211" t="str">
        <f t="shared" si="68"/>
        <v>N/A</v>
      </c>
      <c r="CK68" s="211" t="str">
        <f t="shared" si="69"/>
        <v>N/A</v>
      </c>
      <c r="CL68" s="211" t="str">
        <f t="shared" si="70"/>
        <v>N/A</v>
      </c>
      <c r="CM68" s="211" t="str">
        <f t="shared" si="71"/>
        <v>N/A</v>
      </c>
      <c r="CO68" s="211" t="s">
        <v>190</v>
      </c>
      <c r="CP68" s="211" t="s">
        <v>140</v>
      </c>
      <c r="CQ68" s="211" t="s">
        <v>486</v>
      </c>
      <c r="CR68" s="211" t="s">
        <v>487</v>
      </c>
      <c r="CS68" s="211" t="s">
        <v>490</v>
      </c>
      <c r="CT68" s="211" t="s">
        <v>486</v>
      </c>
      <c r="CU68" s="211" t="str">
        <f t="shared" si="72"/>
        <v>N/A</v>
      </c>
      <c r="CV68" s="211" t="str">
        <f t="shared" si="73"/>
        <v>N/A</v>
      </c>
      <c r="CW68" s="211" t="str">
        <f t="shared" si="74"/>
        <v xml:space="preserve">​
Para el primer trimestre de la vigencia se consiguió un porcentaje de cumplimiento de 100% de las actividades programadas para el período, para un porcentaje acumulado del 100% del total de las actividades programadas para la vigencia en la actividad
</v>
      </c>
      <c r="CX68" s="211" t="str">
        <f t="shared" si="75"/>
        <v>N/A</v>
      </c>
      <c r="CY68" s="211" t="str">
        <f t="shared" si="76"/>
        <v>N/A</v>
      </c>
      <c r="CZ68" s="211" t="str">
        <f t="shared" si="77"/>
        <v>N/A</v>
      </c>
      <c r="DA68" s="211" t="str">
        <f t="shared" si="78"/>
        <v>N/A</v>
      </c>
      <c r="DB68" s="211" t="str">
        <f t="shared" si="79"/>
        <v>N/A</v>
      </c>
      <c r="DC68" s="211" t="str">
        <f t="shared" si="80"/>
        <v>N/A</v>
      </c>
      <c r="DD68" s="211" t="str">
        <f t="shared" si="81"/>
        <v>N/A</v>
      </c>
      <c r="DE68" s="211" t="str">
        <f t="shared" si="82"/>
        <v>N/A</v>
      </c>
      <c r="DF68" s="211" t="str">
        <f t="shared" si="83"/>
        <v>N/A</v>
      </c>
    </row>
    <row r="69" spans="1:110" s="211" customFormat="1" ht="229.5">
      <c r="A69" s="348" t="s">
        <v>190</v>
      </c>
      <c r="B69" s="211" t="s">
        <v>140</v>
      </c>
      <c r="C69" s="211" t="s">
        <v>492</v>
      </c>
      <c r="D69" s="211" t="s">
        <v>493</v>
      </c>
      <c r="E69" s="211" t="s">
        <v>494</v>
      </c>
      <c r="F69" s="348" t="s">
        <v>495</v>
      </c>
      <c r="G69" s="211" t="s">
        <v>178</v>
      </c>
      <c r="H69" s="211">
        <v>14</v>
      </c>
      <c r="I69" s="323">
        <v>14</v>
      </c>
      <c r="J69" s="323">
        <v>14</v>
      </c>
      <c r="K69" s="288">
        <v>1</v>
      </c>
      <c r="L69" s="211" t="s">
        <v>496</v>
      </c>
      <c r="M69" s="211" t="b">
        <v>1</v>
      </c>
      <c r="N69" s="211" t="s">
        <v>497</v>
      </c>
      <c r="O69" s="209" t="s">
        <v>2832</v>
      </c>
      <c r="P69" s="211" t="s">
        <v>159</v>
      </c>
      <c r="Q69" s="211" t="s">
        <v>160</v>
      </c>
      <c r="T69" s="236" t="s">
        <v>318</v>
      </c>
      <c r="U69" s="269">
        <v>1</v>
      </c>
      <c r="V69" s="269"/>
      <c r="W69" s="269"/>
      <c r="X69" s="269"/>
      <c r="Y69" s="269"/>
      <c r="Z69" s="269">
        <v>5</v>
      </c>
      <c r="AA69" s="269"/>
      <c r="AB69" s="269"/>
      <c r="AC69" s="269"/>
      <c r="AD69" s="269"/>
      <c r="AE69" s="269"/>
      <c r="AF69" s="269">
        <v>4</v>
      </c>
      <c r="AG69" s="269">
        <v>10</v>
      </c>
      <c r="AH69"/>
      <c r="AI69"/>
      <c r="AJ69" s="236" t="s">
        <v>318</v>
      </c>
      <c r="AK69" s="269">
        <v>1</v>
      </c>
      <c r="AL69" s="269"/>
      <c r="AM69" s="269"/>
      <c r="AN69" s="269"/>
      <c r="AO69" s="269"/>
      <c r="AP69" s="269">
        <v>5</v>
      </c>
      <c r="AQ69" s="269"/>
      <c r="AR69" s="269"/>
      <c r="AS69" s="269"/>
      <c r="AT69" s="269"/>
      <c r="AU69" s="269"/>
      <c r="AV69" s="269">
        <v>4</v>
      </c>
      <c r="AW69" s="269">
        <v>10</v>
      </c>
      <c r="AX69" s="236"/>
      <c r="AY69" s="236"/>
      <c r="AZ69" s="236"/>
      <c r="BA69" s="239" t="s">
        <v>324</v>
      </c>
      <c r="BB69" s="240">
        <f t="shared" ref="BB69:BB131" si="90">+VLOOKUP(BA69,$T$4:$AB$140,2,FALSE)</f>
        <v>0</v>
      </c>
      <c r="BC69" s="240">
        <f t="shared" ref="BC69:BC131" si="91">+VLOOKUP(BA69,$T$3:$AF$140,3,FALSE)</f>
        <v>1</v>
      </c>
      <c r="BD69" s="240">
        <f t="shared" ref="BD69:BD131" si="92">+VLOOKUP(BA69,$T$3:$AF$140,4,FALSE)</f>
        <v>0</v>
      </c>
      <c r="BE69" s="240">
        <f t="shared" ref="BE69:BE131" si="93">+VLOOKUP(BA69,$T$3:$AF$140,5,FALSE)</f>
        <v>1</v>
      </c>
      <c r="BF69" s="240">
        <f t="shared" ref="BF69:BF131" si="94">+VLOOKUP(BA69,$T$3:$AF$140,6,FALSE)</f>
        <v>0</v>
      </c>
      <c r="BG69" s="240">
        <f t="shared" ref="BG69:BG131" si="95">+VLOOKUP(BA69,$T$3:$AF$140,7,FALSE)</f>
        <v>0</v>
      </c>
      <c r="BH69" s="240">
        <f t="shared" ref="BH69:BH131" si="96">+VLOOKUP(BA69,$T$3:$AF$140,8,FALSE)</f>
        <v>1</v>
      </c>
      <c r="BI69" s="240">
        <f t="shared" ref="BI69:BI131" si="97">+VLOOKUP(BA69,$T$3:$AF$140,9,FALSE)</f>
        <v>0</v>
      </c>
      <c r="BJ69" s="240">
        <f t="shared" ref="BJ69:BJ131" si="98">+VLOOKUP(BA69,$T$3:$AF$140,10,FALSE)</f>
        <v>0</v>
      </c>
      <c r="BK69" s="240">
        <f t="shared" si="84"/>
        <v>1</v>
      </c>
      <c r="BL69" s="240">
        <f t="shared" si="85"/>
        <v>0</v>
      </c>
      <c r="BM69" s="240">
        <f t="shared" si="86"/>
        <v>0</v>
      </c>
      <c r="BN69" s="211">
        <f t="shared" ref="BN69:BN131" si="99">+VLOOKUP(BA69,$AJ$3:$AV$140,2,FALSE)</f>
        <v>0</v>
      </c>
      <c r="BO69" s="236">
        <f t="shared" ref="BO69:BO131" si="100">+VLOOKUP(BA69,$AJ$3:$AV$140,3,FALSE)</f>
        <v>1</v>
      </c>
      <c r="BP69" s="236">
        <f t="shared" ref="BP69:BP131" si="101">+VLOOKUP(BA69,$AJ$3:$AV$140,4,FALSE)</f>
        <v>0</v>
      </c>
      <c r="BQ69" s="236">
        <f t="shared" ref="BQ69:BQ131" si="102">+VLOOKUP(BA69,$AJ$3:$AV$140,5,FALSE)</f>
        <v>1</v>
      </c>
      <c r="BR69" s="236">
        <f t="shared" ref="BR69:BR131" si="103">+VLOOKUP(BA69,$AJ$3:$AV$140,6,FALSE)</f>
        <v>0</v>
      </c>
      <c r="BS69" s="236">
        <f t="shared" ref="BS69:BS131" si="104">+VLOOKUP(BA69,$AJ$3:$AV$140,7,FALSE)</f>
        <v>0</v>
      </c>
      <c r="BT69" s="236">
        <f t="shared" ref="BT69:BT131" si="105">+VLOOKUP(BA69,$AJ$3:$AV$140,8,FALSE)</f>
        <v>1</v>
      </c>
      <c r="BU69" s="236">
        <f t="shared" ref="BU69:BU131" si="106">+VLOOKUP(BA69,$AJ$3:$AV$140,9,FALSE)</f>
        <v>0</v>
      </c>
      <c r="BV69" s="236">
        <f t="shared" ref="BV69:BV131" si="107">+VLOOKUP(BA69,$AJ$3:$AV$140,10,FALSE)</f>
        <v>0</v>
      </c>
      <c r="BW69" s="236">
        <f t="shared" si="87"/>
        <v>1</v>
      </c>
      <c r="BX69" s="236">
        <f t="shared" si="88"/>
        <v>0</v>
      </c>
      <c r="BY69" s="236">
        <f t="shared" si="89"/>
        <v>0</v>
      </c>
      <c r="BZ69" s="236"/>
      <c r="CA69" s="275" t="s">
        <v>520</v>
      </c>
      <c r="CB69" s="272" t="str">
        <f t="shared" si="60"/>
        <v>N/A</v>
      </c>
      <c r="CC69" s="272" t="str">
        <f t="shared" si="61"/>
        <v xml:space="preserve">Durante el cuarto trimestre del año 2024, se elaboró el informe de seguimiento de los planes institucionales PAG, evidenciando que el 97% de las metas establecidas por las dependencias fueron cumplidas. Estos resultados reflejan un avance significativo hacia el logro de los objetivos propuestos por la entidad.
</v>
      </c>
      <c r="CD69" s="272" t="str">
        <f t="shared" si="62"/>
        <v>N/A</v>
      </c>
      <c r="CE69" s="284" t="str">
        <f t="shared" si="63"/>
        <v>N/A</v>
      </c>
      <c r="CF69" s="284" t="str">
        <f t="shared" si="64"/>
        <v>N/A</v>
      </c>
      <c r="CG69" s="284" t="str">
        <f t="shared" si="65"/>
        <v>N/A</v>
      </c>
      <c r="CH69" s="272" t="str">
        <f t="shared" si="66"/>
        <v>N/A</v>
      </c>
      <c r="CI69" s="211" t="str">
        <f t="shared" si="67"/>
        <v>N/A</v>
      </c>
      <c r="CJ69" s="211" t="str">
        <f t="shared" si="68"/>
        <v>N/A</v>
      </c>
      <c r="CK69" s="211" t="str">
        <f t="shared" si="69"/>
        <v>N/A</v>
      </c>
      <c r="CL69" s="211" t="str">
        <f t="shared" si="70"/>
        <v>N/A</v>
      </c>
      <c r="CM69" s="211" t="str">
        <f t="shared" si="71"/>
        <v>N/A</v>
      </c>
      <c r="CO69" s="211" t="s">
        <v>190</v>
      </c>
      <c r="CP69" s="211" t="s">
        <v>140</v>
      </c>
      <c r="CQ69" s="211" t="s">
        <v>492</v>
      </c>
      <c r="CR69" s="211" t="s">
        <v>493</v>
      </c>
      <c r="CS69" s="211" t="s">
        <v>496</v>
      </c>
      <c r="CT69" s="211" t="s">
        <v>492</v>
      </c>
      <c r="CU69" s="211" t="str">
        <f t="shared" si="72"/>
        <v>N/A</v>
      </c>
      <c r="CV69" s="211" t="str">
        <f t="shared" si="73"/>
        <v>N/A</v>
      </c>
      <c r="CW69" s="211" t="str">
        <f t="shared" si="74"/>
        <v xml:space="preserve">​
Para el primer trimestre de la vigencia se consiguió un porcentaje de cumplimiento de 100% de las actividades programadas para el período, para un porcentaje acumulado del 100% del total de las actividades programadas para la vigencia en la actividad
</v>
      </c>
      <c r="CX69" s="211" t="str">
        <f t="shared" si="75"/>
        <v>N/A</v>
      </c>
      <c r="CY69" s="211" t="str">
        <f t="shared" si="76"/>
        <v>N/A</v>
      </c>
      <c r="CZ69" s="211" t="str">
        <f t="shared" si="77"/>
        <v>N/A</v>
      </c>
      <c r="DA69" s="211" t="str">
        <f t="shared" si="78"/>
        <v>N/A</v>
      </c>
      <c r="DB69" s="211" t="str">
        <f t="shared" si="79"/>
        <v>N/A</v>
      </c>
      <c r="DC69" s="211" t="str">
        <f t="shared" si="80"/>
        <v>N/A</v>
      </c>
      <c r="DD69" s="211" t="str">
        <f t="shared" si="81"/>
        <v>N/A</v>
      </c>
      <c r="DE69" s="211" t="str">
        <f t="shared" si="82"/>
        <v>N/A</v>
      </c>
      <c r="DF69" s="211" t="str">
        <f t="shared" si="83"/>
        <v>N/A</v>
      </c>
    </row>
    <row r="70" spans="1:110" s="211" customFormat="1" ht="267.75">
      <c r="A70" s="348" t="s">
        <v>190</v>
      </c>
      <c r="B70" s="211" t="s">
        <v>140</v>
      </c>
      <c r="C70" s="211" t="s">
        <v>498</v>
      </c>
      <c r="D70" s="211" t="s">
        <v>499</v>
      </c>
      <c r="E70" s="211" t="s">
        <v>500</v>
      </c>
      <c r="F70" s="348" t="s">
        <v>501</v>
      </c>
      <c r="G70" s="211" t="s">
        <v>178</v>
      </c>
      <c r="H70" s="211">
        <v>10</v>
      </c>
      <c r="I70" s="323">
        <v>10</v>
      </c>
      <c r="J70" s="323">
        <v>10</v>
      </c>
      <c r="K70" s="288">
        <v>1</v>
      </c>
      <c r="L70" s="211" t="s">
        <v>496</v>
      </c>
      <c r="M70" s="211" t="b">
        <v>1</v>
      </c>
      <c r="N70" s="211" t="s">
        <v>502</v>
      </c>
      <c r="O70" s="209" t="s">
        <v>2832</v>
      </c>
      <c r="P70" s="211" t="s">
        <v>159</v>
      </c>
      <c r="Q70" s="211" t="s">
        <v>160</v>
      </c>
      <c r="T70" s="236" t="s">
        <v>509</v>
      </c>
      <c r="U70" s="269"/>
      <c r="V70" s="269"/>
      <c r="W70" s="269"/>
      <c r="X70" s="269"/>
      <c r="Y70" s="269"/>
      <c r="Z70" s="269">
        <v>7</v>
      </c>
      <c r="AA70" s="269"/>
      <c r="AB70" s="269"/>
      <c r="AC70" s="269"/>
      <c r="AD70" s="269"/>
      <c r="AE70" s="269"/>
      <c r="AF70" s="269">
        <v>21</v>
      </c>
      <c r="AG70" s="269">
        <v>28</v>
      </c>
      <c r="AH70"/>
      <c r="AI70"/>
      <c r="AJ70" s="236" t="s">
        <v>509</v>
      </c>
      <c r="AK70" s="269"/>
      <c r="AL70" s="269"/>
      <c r="AM70" s="269"/>
      <c r="AN70" s="269"/>
      <c r="AO70" s="269"/>
      <c r="AP70" s="269">
        <v>8</v>
      </c>
      <c r="AQ70" s="269"/>
      <c r="AR70" s="269"/>
      <c r="AS70" s="269"/>
      <c r="AT70" s="269"/>
      <c r="AU70" s="269"/>
      <c r="AV70" s="269">
        <v>21</v>
      </c>
      <c r="AW70" s="269">
        <v>29</v>
      </c>
      <c r="AX70" s="236"/>
      <c r="AY70" s="236"/>
      <c r="AZ70" s="236"/>
      <c r="BA70" s="239" t="s">
        <v>336</v>
      </c>
      <c r="BB70" s="240">
        <f t="shared" si="90"/>
        <v>0</v>
      </c>
      <c r="BC70" s="240">
        <f t="shared" si="91"/>
        <v>0</v>
      </c>
      <c r="BD70" s="240">
        <f t="shared" si="92"/>
        <v>155</v>
      </c>
      <c r="BE70" s="240">
        <f t="shared" si="93"/>
        <v>0</v>
      </c>
      <c r="BF70" s="240">
        <f t="shared" si="94"/>
        <v>0</v>
      </c>
      <c r="BG70" s="240">
        <f t="shared" si="95"/>
        <v>153</v>
      </c>
      <c r="BH70" s="240">
        <f t="shared" si="96"/>
        <v>0</v>
      </c>
      <c r="BI70" s="240">
        <f t="shared" si="97"/>
        <v>0</v>
      </c>
      <c r="BJ70" s="240">
        <f t="shared" si="98"/>
        <v>123</v>
      </c>
      <c r="BK70" s="240">
        <f t="shared" si="84"/>
        <v>0</v>
      </c>
      <c r="BL70" s="240">
        <f t="shared" si="85"/>
        <v>0</v>
      </c>
      <c r="BM70" s="240">
        <f t="shared" si="86"/>
        <v>74</v>
      </c>
      <c r="BN70" s="211">
        <f t="shared" si="99"/>
        <v>0</v>
      </c>
      <c r="BO70" s="236">
        <f t="shared" si="100"/>
        <v>0</v>
      </c>
      <c r="BP70" s="236">
        <f t="shared" si="101"/>
        <v>155</v>
      </c>
      <c r="BQ70" s="236">
        <f t="shared" si="102"/>
        <v>0</v>
      </c>
      <c r="BR70" s="236">
        <f t="shared" si="103"/>
        <v>0</v>
      </c>
      <c r="BS70" s="236">
        <f t="shared" si="104"/>
        <v>153</v>
      </c>
      <c r="BT70" s="236">
        <f t="shared" si="105"/>
        <v>0</v>
      </c>
      <c r="BU70" s="236">
        <f t="shared" si="106"/>
        <v>0</v>
      </c>
      <c r="BV70" s="236">
        <f t="shared" si="107"/>
        <v>123</v>
      </c>
      <c r="BW70" s="236">
        <f t="shared" si="87"/>
        <v>0</v>
      </c>
      <c r="BX70" s="236">
        <f t="shared" si="88"/>
        <v>0</v>
      </c>
      <c r="BY70" s="236">
        <f t="shared" si="89"/>
        <v>74</v>
      </c>
      <c r="BZ70" s="236"/>
      <c r="CA70" s="275" t="s">
        <v>1205</v>
      </c>
      <c r="CB70" s="272" t="str">
        <f t="shared" si="60"/>
        <v>N/A</v>
      </c>
      <c r="CC70" s="272" t="str">
        <f t="shared" si="61"/>
        <v>N/A</v>
      </c>
      <c r="CD70" s="272" t="str">
        <f t="shared" si="62"/>
        <v>N/A</v>
      </c>
      <c r="CE70" s="284" t="str">
        <f t="shared" si="63"/>
        <v>N/A</v>
      </c>
      <c r="CF70" s="284" t="str">
        <f t="shared" si="64"/>
        <v>N/A</v>
      </c>
      <c r="CG70" s="284" t="str">
        <f t="shared" si="65"/>
        <v>N/A</v>
      </c>
      <c r="CH70" s="272" t="str">
        <f t="shared" si="66"/>
        <v>N/A</v>
      </c>
      <c r="CI70" s="211" t="str">
        <f t="shared" si="67"/>
        <v>N/A</v>
      </c>
      <c r="CJ70" s="211" t="str">
        <f t="shared" si="68"/>
        <v>N/A</v>
      </c>
      <c r="CK70" s="211" t="str">
        <f t="shared" si="69"/>
        <v xml:space="preserve">La Oficina Asesora de Planeación, mediante el memorando N.º 20251200000102373, solicitó el reporte de monitoreo de las actividades contempladas en la versión actual de los cronogramas del Programa de Transparencia y Ética Pública, con el objetivo de identificar oportunidades de mejora en su formulación o la necesidad de incluir nuevas acciones.
Este ejercicio de monitoreo abarca exclusivamente las actividades desarrolladas durante la vigencia actual, hasta el 30 de septiembre de 2025, en concordancia con lo establecido en la Circular CIR25-00000026 de 2025.Resultados del monitoreo
De las 73 actividades planteadas en el plan, distribuidas en los diferentes componentes:39 se cumplieron (algunas con cumplimiento trimestral continuo).4 presentan cumplimiento parcial.10 no se cumplieron.20 no estaban programadas para ejecutarse en el periodo evaluado, ya que tienen fechas previstas para el último trimestre de 2025.
</v>
      </c>
      <c r="CL70" s="211" t="str">
        <f t="shared" si="70"/>
        <v>N/A</v>
      </c>
      <c r="CM70" s="211" t="str">
        <f t="shared" si="71"/>
        <v>N/A</v>
      </c>
      <c r="CO70" s="211" t="s">
        <v>190</v>
      </c>
      <c r="CP70" s="211" t="s">
        <v>140</v>
      </c>
      <c r="CQ70" s="211" t="s">
        <v>498</v>
      </c>
      <c r="CR70" s="211" t="s">
        <v>499</v>
      </c>
      <c r="CS70" s="211" t="s">
        <v>496</v>
      </c>
      <c r="CT70" s="211" t="s">
        <v>498</v>
      </c>
      <c r="CU70" s="211" t="str">
        <f t="shared" si="72"/>
        <v>N/A</v>
      </c>
      <c r="CV70" s="211" t="str">
        <f t="shared" si="73"/>
        <v>N/A</v>
      </c>
      <c r="CW70" s="211" t="str">
        <f t="shared" si="74"/>
        <v xml:space="preserve">​
Para el primer trimestre de la vigencia se consiguió un porcentaje de cumplimiento de 100% de las actividades programadas para el período, para un porcentaje acumulado del 100% del total de las actividades programadas para la vigencia en la actividad
</v>
      </c>
      <c r="CX70" s="211" t="str">
        <f t="shared" si="75"/>
        <v>N/A</v>
      </c>
      <c r="CY70" s="211" t="str">
        <f t="shared" si="76"/>
        <v>N/A</v>
      </c>
      <c r="CZ70" s="211" t="str">
        <f t="shared" si="77"/>
        <v>N/A</v>
      </c>
      <c r="DA70" s="211" t="str">
        <f t="shared" si="78"/>
        <v>N/A</v>
      </c>
      <c r="DB70" s="211" t="str">
        <f t="shared" si="79"/>
        <v>N/A</v>
      </c>
      <c r="DC70" s="211" t="str">
        <f t="shared" si="80"/>
        <v>N/A</v>
      </c>
      <c r="DD70" s="211" t="str">
        <f t="shared" si="81"/>
        <v>N/A</v>
      </c>
      <c r="DE70" s="211" t="str">
        <f t="shared" si="82"/>
        <v>N/A</v>
      </c>
      <c r="DF70" s="211" t="str">
        <f t="shared" si="83"/>
        <v>N/A</v>
      </c>
    </row>
    <row r="71" spans="1:110" s="211" customFormat="1" ht="409.5">
      <c r="A71" s="348" t="s">
        <v>190</v>
      </c>
      <c r="B71" s="211" t="s">
        <v>140</v>
      </c>
      <c r="C71" s="211" t="s">
        <v>503</v>
      </c>
      <c r="D71" s="211" t="s">
        <v>504</v>
      </c>
      <c r="E71" s="211" t="s">
        <v>505</v>
      </c>
      <c r="F71" s="348" t="s">
        <v>506</v>
      </c>
      <c r="G71" s="211" t="s">
        <v>178</v>
      </c>
      <c r="H71" s="211">
        <v>1</v>
      </c>
      <c r="I71" s="323">
        <v>1</v>
      </c>
      <c r="J71" s="323">
        <v>1</v>
      </c>
      <c r="K71" s="288">
        <v>1</v>
      </c>
      <c r="L71" s="211" t="s">
        <v>507</v>
      </c>
      <c r="M71" s="211" t="b">
        <v>1</v>
      </c>
      <c r="N71" s="211" t="s">
        <v>508</v>
      </c>
      <c r="O71" s="209" t="s">
        <v>2832</v>
      </c>
      <c r="P71" s="211" t="s">
        <v>159</v>
      </c>
      <c r="Q71" s="211" t="s">
        <v>160</v>
      </c>
      <c r="T71" s="236" t="s">
        <v>513</v>
      </c>
      <c r="U71" s="269"/>
      <c r="V71" s="269"/>
      <c r="W71" s="269"/>
      <c r="X71" s="269"/>
      <c r="Y71" s="269"/>
      <c r="Z71" s="269">
        <v>2</v>
      </c>
      <c r="AA71" s="269"/>
      <c r="AB71" s="269"/>
      <c r="AC71" s="269"/>
      <c r="AD71" s="269"/>
      <c r="AE71" s="269"/>
      <c r="AF71" s="269">
        <v>2</v>
      </c>
      <c r="AG71" s="269">
        <v>4</v>
      </c>
      <c r="AH71"/>
      <c r="AI71"/>
      <c r="AJ71" s="236" t="s">
        <v>513</v>
      </c>
      <c r="AK71" s="269"/>
      <c r="AL71" s="269"/>
      <c r="AM71" s="269"/>
      <c r="AN71" s="269"/>
      <c r="AO71" s="269"/>
      <c r="AP71" s="269">
        <v>2</v>
      </c>
      <c r="AQ71" s="269"/>
      <c r="AR71" s="269"/>
      <c r="AS71" s="269"/>
      <c r="AT71" s="269"/>
      <c r="AU71" s="269"/>
      <c r="AV71" s="269">
        <v>2</v>
      </c>
      <c r="AW71" s="269">
        <v>4</v>
      </c>
      <c r="AX71" s="236"/>
      <c r="AY71" s="236"/>
      <c r="AZ71" s="236"/>
      <c r="BA71" s="239" t="s">
        <v>342</v>
      </c>
      <c r="BB71" s="240">
        <f t="shared" si="90"/>
        <v>0</v>
      </c>
      <c r="BC71" s="240">
        <f t="shared" si="91"/>
        <v>0</v>
      </c>
      <c r="BD71" s="240">
        <f t="shared" si="92"/>
        <v>197</v>
      </c>
      <c r="BE71" s="240">
        <f t="shared" si="93"/>
        <v>0</v>
      </c>
      <c r="BF71" s="240">
        <f t="shared" si="94"/>
        <v>0</v>
      </c>
      <c r="BG71" s="240">
        <f t="shared" si="95"/>
        <v>75</v>
      </c>
      <c r="BH71" s="240">
        <f t="shared" si="96"/>
        <v>0</v>
      </c>
      <c r="BI71" s="240">
        <f t="shared" si="97"/>
        <v>0</v>
      </c>
      <c r="BJ71" s="240">
        <f t="shared" si="98"/>
        <v>36</v>
      </c>
      <c r="BK71" s="240">
        <f t="shared" si="84"/>
        <v>0</v>
      </c>
      <c r="BL71" s="240">
        <f t="shared" si="85"/>
        <v>0</v>
      </c>
      <c r="BM71" s="240">
        <f t="shared" si="86"/>
        <v>83</v>
      </c>
      <c r="BN71" s="211">
        <f t="shared" si="99"/>
        <v>0</v>
      </c>
      <c r="BO71" s="236">
        <f t="shared" si="100"/>
        <v>0</v>
      </c>
      <c r="BP71" s="236">
        <f t="shared" si="101"/>
        <v>211</v>
      </c>
      <c r="BQ71" s="236">
        <f t="shared" si="102"/>
        <v>0</v>
      </c>
      <c r="BR71" s="236">
        <f t="shared" si="103"/>
        <v>0</v>
      </c>
      <c r="BS71" s="236">
        <f t="shared" si="104"/>
        <v>78</v>
      </c>
      <c r="BT71" s="236">
        <f t="shared" si="105"/>
        <v>0</v>
      </c>
      <c r="BU71" s="236">
        <f t="shared" si="106"/>
        <v>0</v>
      </c>
      <c r="BV71" s="236">
        <f t="shared" si="107"/>
        <v>36</v>
      </c>
      <c r="BW71" s="236">
        <f t="shared" si="87"/>
        <v>0</v>
      </c>
      <c r="BX71" s="236">
        <f t="shared" si="88"/>
        <v>0</v>
      </c>
      <c r="BY71" s="236">
        <f t="shared" si="89"/>
        <v>83</v>
      </c>
      <c r="BZ71" s="236"/>
      <c r="CA71" s="275" t="s">
        <v>525</v>
      </c>
      <c r="CB71" s="272" t="str">
        <f t="shared" si="60"/>
        <v>N/A</v>
      </c>
      <c r="CC71" s="272" t="str">
        <f t="shared" si="61"/>
        <v>N/A</v>
      </c>
      <c r="CD71" s="272" t="str">
        <f t="shared" si="62"/>
        <v>N/A</v>
      </c>
      <c r="CE71" s="284" t="str">
        <f t="shared" si="63"/>
        <v xml:space="preserve">​
A 30 de abril la ejecución (obligaciones) de los recursos de inversión de la entidad fue del 11,38%:
Obligaciones:       $9.919.710.465
Total inversión:  $87.198.844.691
Evidencia: Reporte SIIF nación a 30 de abril de 2025;
A 30 de abril, del total de los recursos de inversión asignados para la presente vigencia, se han comprometido $34.211.236.392 equivalente al 39,23%, de los cuales se han generado obligaciones por un total de $9.919.710.465 lo que equivale al 11,38% del total de los recursos asignados. De las 18 dependencias ejecutoras de los proyectos de inversión,  8  lograron o superaron la meta planteada del 10% de ejecución sobre las obligaciones: Delegada para la Protección al Usuario, Delegada para Operadores Logísticos, Delegada para la Función Jurisdiccional  y de Conciliación, Delegada para Prestadores de Servicios de Salud, Delegada para Entidades Territoriales, Delegada para Entidades de Aseguramiento en Salud,  Dirección Jurídica, y la Dirección Administrativa-Grupo de Gestión Documental.
Desde la Oficina Asesora de Planeación y la Secretaria General, se han planteado acciones conjuntas que permitan realizar un seguimiento estricto a la ejecución de los gastos de la entidad, que permita generar alertas y la toma de decisiones oportunas para mejorar el nivel de ejecución de las apropiaciones de la presente vigencia fiscal.  Dentro de las acciones encontramos:Seguimiento periodo a la ejecución del Plan Anual de Adquisiciones y generación de alertas por parte de la Dirección de ContrataciónSeguimiento periódico a la ejecución presupuestal de la entidad a través de Comité Institucional de Gestión y DesempeñoSeguimiento a la ejecución presupuestal a través del Comité Directivo.
De igual manera se coloca a disposición de los ejecutores de los proyectos de inversión, y de los funcionarios de la entidad, la ejecución presupuestal desagregada a nivel de proyecto, dependencia, y actividad (formato powerBI.  A la fecha del presente reporte, se encuentra actualizada la información a 31 de marzo, la cual puede ser consultada a trabes de:
Página web, en la siguiente ruta: Nuestra entidad, Planeación, Proyectos de inversión, Seguimiento
Intranet, en la siguiente ruta: Tramites y Servicios – Reportes (Ejecución de recursos de inversión)
</v>
      </c>
      <c r="CF71" s="284" t="str">
        <f t="shared" si="64"/>
        <v>N/A</v>
      </c>
      <c r="CG71" s="284" t="str">
        <f t="shared" si="65"/>
        <v>N/A</v>
      </c>
      <c r="CH71" s="272" t="str">
        <f t="shared" si="66"/>
        <v>N/A</v>
      </c>
      <c r="CI71" s="211" t="str">
        <f t="shared" si="67"/>
        <v>N/A</v>
      </c>
      <c r="CJ71" s="211" t="str">
        <f t="shared" si="68"/>
        <v>N/A</v>
      </c>
      <c r="CK71" s="211" t="str">
        <f t="shared" si="69"/>
        <v>N/A</v>
      </c>
      <c r="CL71" s="211" t="str">
        <f t="shared" si="70"/>
        <v>N/A</v>
      </c>
      <c r="CM71" s="211" t="str">
        <f t="shared" si="71"/>
        <v>N/A</v>
      </c>
      <c r="CO71" s="211" t="s">
        <v>190</v>
      </c>
      <c r="CP71" s="211" t="s">
        <v>140</v>
      </c>
      <c r="CQ71" s="211" t="s">
        <v>503</v>
      </c>
      <c r="CR71" s="211" t="s">
        <v>504</v>
      </c>
      <c r="CS71" s="211" t="s">
        <v>507</v>
      </c>
      <c r="CT71" s="211" t="s">
        <v>503</v>
      </c>
      <c r="CU71" s="211" t="str">
        <f t="shared" si="72"/>
        <v>N/A</v>
      </c>
      <c r="CV71" s="211" t="str">
        <f t="shared" si="73"/>
        <v>N/A</v>
      </c>
      <c r="CW71" s="211" t="str">
        <f t="shared" si="74"/>
        <v xml:space="preserve">Para el primer trimestre de la vigencia se consiguió un porcentaje de cumplimiento de 100% de las actividades programadas para el período, para un porcentaje acumulado del 100% del total de las actividades programadas para la vigencia en la actividad
</v>
      </c>
      <c r="CX71" s="211" t="str">
        <f t="shared" si="75"/>
        <v>N/A</v>
      </c>
      <c r="CY71" s="211" t="str">
        <f t="shared" si="76"/>
        <v>N/A</v>
      </c>
      <c r="CZ71" s="211" t="str">
        <f t="shared" si="77"/>
        <v>N/A</v>
      </c>
      <c r="DA71" s="211" t="str">
        <f t="shared" si="78"/>
        <v>N/A</v>
      </c>
      <c r="DB71" s="211" t="str">
        <f t="shared" si="79"/>
        <v>N/A</v>
      </c>
      <c r="DC71" s="211" t="str">
        <f t="shared" si="80"/>
        <v>N/A</v>
      </c>
      <c r="DD71" s="211" t="str">
        <f t="shared" si="81"/>
        <v>N/A</v>
      </c>
      <c r="DE71" s="211" t="str">
        <f t="shared" si="82"/>
        <v>N/A</v>
      </c>
      <c r="DF71" s="211" t="str">
        <f t="shared" si="83"/>
        <v>N/A</v>
      </c>
    </row>
    <row r="72" spans="1:110" s="211" customFormat="1" ht="369.75">
      <c r="A72" s="348" t="s">
        <v>271</v>
      </c>
      <c r="B72" s="211" t="s">
        <v>141</v>
      </c>
      <c r="C72" s="211" t="s">
        <v>221</v>
      </c>
      <c r="D72" s="211" t="s">
        <v>537</v>
      </c>
      <c r="E72" s="211" t="s">
        <v>538</v>
      </c>
      <c r="F72" s="348" t="s">
        <v>539</v>
      </c>
      <c r="G72" s="211" t="s">
        <v>157</v>
      </c>
      <c r="H72" s="211">
        <v>7</v>
      </c>
      <c r="I72" s="323">
        <v>4</v>
      </c>
      <c r="J72" s="323">
        <v>7</v>
      </c>
      <c r="K72" s="288">
        <v>0.57142857142857095</v>
      </c>
      <c r="L72" s="211" t="s">
        <v>2959</v>
      </c>
      <c r="M72" s="211" t="b">
        <v>0</v>
      </c>
      <c r="O72" s="209" t="s">
        <v>2832</v>
      </c>
      <c r="P72" s="211" t="s">
        <v>159</v>
      </c>
      <c r="Q72" s="211" t="s">
        <v>160</v>
      </c>
      <c r="T72" s="236" t="s">
        <v>515</v>
      </c>
      <c r="U72" s="269"/>
      <c r="V72" s="269"/>
      <c r="W72" s="269"/>
      <c r="X72" s="269"/>
      <c r="Y72" s="269"/>
      <c r="Z72" s="269">
        <v>3</v>
      </c>
      <c r="AA72" s="269"/>
      <c r="AB72" s="269"/>
      <c r="AC72" s="269"/>
      <c r="AD72" s="269"/>
      <c r="AE72" s="269"/>
      <c r="AF72" s="269">
        <v>3</v>
      </c>
      <c r="AG72" s="269">
        <v>6</v>
      </c>
      <c r="AH72"/>
      <c r="AI72"/>
      <c r="AJ72" s="236" t="s">
        <v>515</v>
      </c>
      <c r="AK72" s="269"/>
      <c r="AL72" s="269"/>
      <c r="AM72" s="269"/>
      <c r="AN72" s="269"/>
      <c r="AO72" s="269"/>
      <c r="AP72" s="269">
        <v>3</v>
      </c>
      <c r="AQ72" s="269"/>
      <c r="AR72" s="269"/>
      <c r="AS72" s="269"/>
      <c r="AT72" s="269"/>
      <c r="AU72" s="269"/>
      <c r="AV72" s="269">
        <v>3</v>
      </c>
      <c r="AW72" s="269">
        <v>6</v>
      </c>
      <c r="AX72" s="236"/>
      <c r="AY72" s="236"/>
      <c r="AZ72" s="236"/>
      <c r="BA72" s="239" t="s">
        <v>330</v>
      </c>
      <c r="BB72" s="240">
        <f t="shared" si="90"/>
        <v>0</v>
      </c>
      <c r="BC72" s="240">
        <f t="shared" si="91"/>
        <v>1</v>
      </c>
      <c r="BD72" s="240">
        <f t="shared" si="92"/>
        <v>4</v>
      </c>
      <c r="BE72" s="240">
        <f t="shared" si="93"/>
        <v>1</v>
      </c>
      <c r="BF72" s="240">
        <f t="shared" si="94"/>
        <v>0</v>
      </c>
      <c r="BG72" s="240">
        <f t="shared" si="95"/>
        <v>7</v>
      </c>
      <c r="BH72" s="240">
        <f t="shared" si="96"/>
        <v>0</v>
      </c>
      <c r="BI72" s="240">
        <f t="shared" si="97"/>
        <v>1</v>
      </c>
      <c r="BJ72" s="240">
        <f t="shared" si="98"/>
        <v>6</v>
      </c>
      <c r="BK72" s="240">
        <f t="shared" si="84"/>
        <v>1</v>
      </c>
      <c r="BL72" s="240">
        <f t="shared" si="85"/>
        <v>0</v>
      </c>
      <c r="BM72" s="240">
        <f t="shared" si="86"/>
        <v>11</v>
      </c>
      <c r="BN72" s="211">
        <f t="shared" si="99"/>
        <v>0</v>
      </c>
      <c r="BO72" s="236">
        <f t="shared" si="100"/>
        <v>1</v>
      </c>
      <c r="BP72" s="236">
        <f t="shared" si="101"/>
        <v>6</v>
      </c>
      <c r="BQ72" s="236">
        <f t="shared" si="102"/>
        <v>1</v>
      </c>
      <c r="BR72" s="236">
        <f t="shared" si="103"/>
        <v>0</v>
      </c>
      <c r="BS72" s="236">
        <f t="shared" si="104"/>
        <v>7</v>
      </c>
      <c r="BT72" s="236">
        <f t="shared" si="105"/>
        <v>0</v>
      </c>
      <c r="BU72" s="236">
        <f t="shared" si="106"/>
        <v>1</v>
      </c>
      <c r="BV72" s="236">
        <f t="shared" si="107"/>
        <v>6</v>
      </c>
      <c r="BW72" s="236">
        <f t="shared" si="87"/>
        <v>1</v>
      </c>
      <c r="BX72" s="236">
        <f t="shared" si="88"/>
        <v>0</v>
      </c>
      <c r="BY72" s="236">
        <f t="shared" si="89"/>
        <v>9</v>
      </c>
      <c r="BZ72" s="236"/>
      <c r="CA72" s="275" t="s">
        <v>1218</v>
      </c>
      <c r="CB72" s="272" t="str">
        <f t="shared" si="60"/>
        <v>N/A</v>
      </c>
      <c r="CC72" s="272" t="str">
        <f t="shared" si="61"/>
        <v>N/A</v>
      </c>
      <c r="CD72" s="272" t="str">
        <f t="shared" si="62"/>
        <v>N/A</v>
      </c>
      <c r="CE72" s="284" t="str">
        <f t="shared" si="63"/>
        <v>N/A</v>
      </c>
      <c r="CF72" s="284" t="str">
        <f t="shared" si="64"/>
        <v>N/A</v>
      </c>
      <c r="CG72" s="284" t="str">
        <f t="shared" si="65"/>
        <v>N/A</v>
      </c>
      <c r="CH72" s="272" t="str">
        <f t="shared" si="66"/>
        <v>N/A</v>
      </c>
      <c r="CI72" s="211" t="str">
        <f t="shared" si="67"/>
        <v>N/A</v>
      </c>
      <c r="CJ72" s="211" t="str">
        <f t="shared" si="68"/>
        <v>El plan de cierre de brechas contempla un total de 92 acciones, si bien se tenía previsto un 30% de avance para septiembre, se realizó un reajuste en el plan de trabajo que se remite a las áreas desde agosto el cual obtuvo respuesta hasta el mes de septiembre, con el subsecuente ajuste de fechas, por lo que no se pudo actualizar dentro de los términos el valor porcentual en el mes de agosto; El porcentaje real de compromisos para el cierre de brechas para el periodo de septiembre fue de 4.2% (4 actividades) que se cumplieron dentro del término, además se cerraron 9 brechas cuya fecha de cumplimiento es posterior al periodo de seguimiento, para un total de 13 cierres con un avance del 14,13% del total del plan. Cumpliendo con lo programado.</v>
      </c>
      <c r="CK72" s="211" t="str">
        <f t="shared" si="69"/>
        <v>N/A</v>
      </c>
      <c r="CL72" s="211" t="str">
        <f t="shared" si="70"/>
        <v>N/A</v>
      </c>
      <c r="CM72" s="211" t="str">
        <f t="shared" si="71"/>
        <v>N/A</v>
      </c>
      <c r="CO72" s="211" t="s">
        <v>271</v>
      </c>
      <c r="CP72" s="211" t="s">
        <v>141</v>
      </c>
      <c r="CQ72" s="211" t="s">
        <v>221</v>
      </c>
      <c r="CR72" s="211" t="s">
        <v>537</v>
      </c>
      <c r="CS72" s="211" t="s">
        <v>2959</v>
      </c>
      <c r="CT72" s="211" t="s">
        <v>221</v>
      </c>
      <c r="CU72" s="211" t="str">
        <f t="shared" si="72"/>
        <v>N/A</v>
      </c>
      <c r="CV72" s="211" t="str">
        <f t="shared" si="73"/>
        <v>N/A</v>
      </c>
      <c r="CW72" s="211" t="str">
        <f t="shared" si="74"/>
        <v>N/A</v>
      </c>
      <c r="CX72" s="211" t="str">
        <f t="shared" si="75"/>
        <v xml:space="preserve">​Se realizaron 4 auditorías en el cuatrimestre.
 Dos de estas auditorías fueron compartidas con la Delegada de Aseguramiento quien ordenó las mismas, sin embargo, como puede evidenciarse en los autos, funcionarios de la Delegada para Entidades Territoriales trabajaron como auditores en tales auditorías junto con funcionarios de la Delegada de Aseguramiento.
Las auditorías fueron en: * Departamento delQuindío, Secretaría Departamental de Salud
* CAJA DECOMPENSACIÓN FAMILIAR DEL ORIENTE COLOMBIANO “COMFAORIENTE EPSS” (Compartida)
* Municipio de Neiva, Secretaría de Salud.
* Mutual Ser (Compartida)
La meta no se cumplió puesto que desde la delegada para entidades territoriales surgieron otras actividades de Inspección y vigilancia que requirieron atención inmediata.  Además, se tiene planeado realizar en los próximos meses, las auditorías que no se lograron en este cuatrimestre, con lo que la Delegada se pondrá al día en este indicador en próximos períodos.
</v>
      </c>
      <c r="CY72" s="211" t="str">
        <f t="shared" si="76"/>
        <v>N/A</v>
      </c>
      <c r="CZ72" s="211" t="str">
        <f t="shared" si="77"/>
        <v>N/A</v>
      </c>
      <c r="DA72" s="211" t="str">
        <f t="shared" si="78"/>
        <v>N/A</v>
      </c>
      <c r="DB72" s="211" t="str">
        <f t="shared" si="79"/>
        <v>N/A</v>
      </c>
      <c r="DC72" s="211" t="str">
        <f t="shared" si="80"/>
        <v>N/A</v>
      </c>
      <c r="DD72" s="211" t="str">
        <f t="shared" si="81"/>
        <v>N/A</v>
      </c>
      <c r="DE72" s="211" t="str">
        <f t="shared" si="82"/>
        <v>N/A</v>
      </c>
      <c r="DF72" s="211" t="str">
        <f t="shared" si="83"/>
        <v>N/A</v>
      </c>
    </row>
    <row r="73" spans="1:110" s="211" customFormat="1" ht="409.5">
      <c r="A73" s="348" t="s">
        <v>271</v>
      </c>
      <c r="B73" s="211" t="s">
        <v>141</v>
      </c>
      <c r="C73" s="211" t="s">
        <v>225</v>
      </c>
      <c r="D73" s="211" t="s">
        <v>293</v>
      </c>
      <c r="E73" s="211" t="s">
        <v>294</v>
      </c>
      <c r="F73" s="348" t="s">
        <v>295</v>
      </c>
      <c r="G73" s="211" t="s">
        <v>157</v>
      </c>
      <c r="H73" s="211">
        <v>4</v>
      </c>
      <c r="I73" s="323">
        <v>4</v>
      </c>
      <c r="J73" s="323">
        <v>4</v>
      </c>
      <c r="K73" s="288">
        <v>1</v>
      </c>
      <c r="L73" s="211" t="s">
        <v>2960</v>
      </c>
      <c r="M73" s="211" t="b">
        <v>0</v>
      </c>
      <c r="O73" s="209" t="s">
        <v>2832</v>
      </c>
      <c r="P73" s="211" t="s">
        <v>159</v>
      </c>
      <c r="Q73" s="211" t="s">
        <v>160</v>
      </c>
      <c r="T73" s="236" t="s">
        <v>520</v>
      </c>
      <c r="U73" s="269"/>
      <c r="V73" s="269">
        <v>0.97</v>
      </c>
      <c r="W73" s="269"/>
      <c r="X73" s="269"/>
      <c r="Y73" s="269">
        <v>0.97</v>
      </c>
      <c r="Z73" s="269"/>
      <c r="AA73" s="269"/>
      <c r="AB73" s="269">
        <v>0.98</v>
      </c>
      <c r="AC73" s="269"/>
      <c r="AD73" s="269"/>
      <c r="AE73" s="269">
        <v>0.94399999999999995</v>
      </c>
      <c r="AF73" s="269"/>
      <c r="AG73" s="269">
        <v>3.8639999999999999</v>
      </c>
      <c r="AH73"/>
      <c r="AI73"/>
      <c r="AJ73" s="236" t="s">
        <v>520</v>
      </c>
      <c r="AK73" s="269"/>
      <c r="AL73" s="269">
        <v>1</v>
      </c>
      <c r="AM73" s="269"/>
      <c r="AN73" s="269"/>
      <c r="AO73" s="269">
        <v>1</v>
      </c>
      <c r="AP73" s="269"/>
      <c r="AQ73" s="269"/>
      <c r="AR73" s="269">
        <v>1</v>
      </c>
      <c r="AS73" s="269"/>
      <c r="AT73" s="269"/>
      <c r="AU73" s="269">
        <v>1</v>
      </c>
      <c r="AV73" s="269"/>
      <c r="AW73" s="269">
        <v>4</v>
      </c>
      <c r="AX73" s="236"/>
      <c r="AY73" s="236"/>
      <c r="AZ73" s="236"/>
      <c r="BA73" s="239" t="s">
        <v>318</v>
      </c>
      <c r="BB73" s="240">
        <f t="shared" si="90"/>
        <v>1</v>
      </c>
      <c r="BC73" s="240">
        <f t="shared" si="91"/>
        <v>0</v>
      </c>
      <c r="BD73" s="240">
        <f t="shared" si="92"/>
        <v>0</v>
      </c>
      <c r="BE73" s="240">
        <f t="shared" si="93"/>
        <v>0</v>
      </c>
      <c r="BF73" s="240">
        <f t="shared" si="94"/>
        <v>0</v>
      </c>
      <c r="BG73" s="240">
        <f t="shared" si="95"/>
        <v>5</v>
      </c>
      <c r="BH73" s="240">
        <f t="shared" si="96"/>
        <v>0</v>
      </c>
      <c r="BI73" s="240">
        <f t="shared" si="97"/>
        <v>0</v>
      </c>
      <c r="BJ73" s="240">
        <f t="shared" si="98"/>
        <v>0</v>
      </c>
      <c r="BK73" s="240">
        <f t="shared" si="84"/>
        <v>0</v>
      </c>
      <c r="BL73" s="240">
        <f t="shared" si="85"/>
        <v>0</v>
      </c>
      <c r="BM73" s="240">
        <f t="shared" si="86"/>
        <v>4</v>
      </c>
      <c r="BN73" s="211">
        <f t="shared" si="99"/>
        <v>1</v>
      </c>
      <c r="BO73" s="236">
        <f t="shared" si="100"/>
        <v>0</v>
      </c>
      <c r="BP73" s="236">
        <f t="shared" si="101"/>
        <v>0</v>
      </c>
      <c r="BQ73" s="236">
        <f t="shared" si="102"/>
        <v>0</v>
      </c>
      <c r="BR73" s="236">
        <f t="shared" si="103"/>
        <v>0</v>
      </c>
      <c r="BS73" s="236">
        <f t="shared" si="104"/>
        <v>5</v>
      </c>
      <c r="BT73" s="236">
        <f t="shared" si="105"/>
        <v>0</v>
      </c>
      <c r="BU73" s="236">
        <f t="shared" si="106"/>
        <v>0</v>
      </c>
      <c r="BV73" s="236">
        <f t="shared" si="107"/>
        <v>0</v>
      </c>
      <c r="BW73" s="236">
        <f t="shared" si="87"/>
        <v>0</v>
      </c>
      <c r="BX73" s="236">
        <f t="shared" si="88"/>
        <v>0</v>
      </c>
      <c r="BY73" s="236">
        <f t="shared" si="89"/>
        <v>4</v>
      </c>
      <c r="BZ73" s="236"/>
      <c r="CA73" s="275" t="s">
        <v>335</v>
      </c>
      <c r="CB73" s="272" t="str">
        <f t="shared" si="60"/>
        <v>N/A</v>
      </c>
      <c r="CC73" s="272" t="str">
        <f t="shared" si="61"/>
        <v>N/A</v>
      </c>
      <c r="CD73" s="272" t="str">
        <f t="shared" si="62"/>
        <v>N/A</v>
      </c>
      <c r="CE73" s="284" t="str">
        <f t="shared" si="63"/>
        <v>N/A</v>
      </c>
      <c r="CF73" s="284" t="str">
        <f t="shared" si="64"/>
        <v xml:space="preserve">Al 30 de abril de 2025, se registraron un total de 77 solicitudes documentales en el Sistema Integrado de Gestión, correspondientes a los 15 procesos institucionales. De estas solicitudes, el 32.5% (25) correspondieron a la creación de nuevos documentos, el 54.5% (42) a la actualización de documentos existentes y el 9.1% (7) a la eliminación de documentos. Estos datos evidencian que la mayoría de las gestiones se centraron en la actualización documental, seguida por la creación de nuevos documentos y, en menor proporción, la eliminación de documentos.
La información fue obtenida del SharePoint de Formalización Documental, donde los líderes de cada proceso registran sus solicitudes. El acceso a este registro está disponible en el siguiente enlace:https://supersalud.sharepoint.com/sites/SIG/Lists/Formalizacion%20documental/AllItems.aspx
</v>
      </c>
      <c r="CG73" s="284" t="str">
        <f t="shared" si="65"/>
        <v>N/A</v>
      </c>
      <c r="CH73" s="272" t="str">
        <f t="shared" si="66"/>
        <v>N/A</v>
      </c>
      <c r="CI73" s="211" t="str">
        <f t="shared" si="67"/>
        <v>N/A</v>
      </c>
      <c r="CJ73" s="211" t="str">
        <f t="shared" si="68"/>
        <v>N/A</v>
      </c>
      <c r="CK73" s="211" t="str">
        <f t="shared" si="69"/>
        <v>N/A</v>
      </c>
      <c r="CL73" s="211" t="str">
        <f t="shared" si="70"/>
        <v>N/A</v>
      </c>
      <c r="CM73" s="211" t="str">
        <f t="shared" si="71"/>
        <v>N/A</v>
      </c>
      <c r="CO73" s="211" t="s">
        <v>271</v>
      </c>
      <c r="CP73" s="211" t="s">
        <v>141</v>
      </c>
      <c r="CQ73" s="211" t="s">
        <v>225</v>
      </c>
      <c r="CR73" s="211" t="s">
        <v>293</v>
      </c>
      <c r="CS73" s="211" t="s">
        <v>2960</v>
      </c>
      <c r="CT73" s="211" t="s">
        <v>225</v>
      </c>
      <c r="CU73" s="211" t="str">
        <f t="shared" si="72"/>
        <v>N/A</v>
      </c>
      <c r="CV73" s="211" t="str">
        <f t="shared" si="73"/>
        <v>N/A</v>
      </c>
      <c r="CW73" s="211" t="str">
        <f t="shared" si="74"/>
        <v>N/A</v>
      </c>
      <c r="CX73" s="211" t="str">
        <f t="shared" si="75"/>
        <v xml:space="preserve">​
Se realizan los 4 seguimientos programados para el período.  Estos se realizaron a:
* Dosquebradas
* Villavicencio
* Puerto Asís
* Amazonas.  
Se adjuntan los Oficios que se radicaron a los respectivos secretarios de salud.
Frente al Oficio de Amazonas, debe tenerse en cuenta que si bien el asunto es "
"Convocatoria Mesa de Inspección y Vigilancia al Departamento de Amazonas– Secretaría Departamental de Salud.", esta mesa se hace con el propósito de "
hacer seguimiento a los incumplimientos identificados en el marco de auditoría específica y mesa de trabajo realizada frente a los componentes de salud pública, financiamiento, acceso y garantía de la calidad, y análisis y evaluación. "  
Es decir, es una mesa de inspección y vigilancioa cuyo objeto es hacer seguimiento a una auditoría.
Igualmente en los otros oficios también puede evidenciarse que se hacen los respectivos seguimeintos a las auditorías.  
Los oficios muestran que se realizaron los seguimientos.  Si se desea revisar todos los adjuntos de los mismos, esto puede hacerse en super argo con los numeros de radicado.      
</v>
      </c>
      <c r="CY73" s="211" t="str">
        <f t="shared" si="76"/>
        <v>N/A</v>
      </c>
      <c r="CZ73" s="211" t="str">
        <f t="shared" si="77"/>
        <v>N/A</v>
      </c>
      <c r="DA73" s="211" t="str">
        <f t="shared" si="78"/>
        <v>N/A</v>
      </c>
      <c r="DB73" s="211" t="str">
        <f t="shared" si="79"/>
        <v>N/A</v>
      </c>
      <c r="DC73" s="211" t="str">
        <f t="shared" si="80"/>
        <v>N/A</v>
      </c>
      <c r="DD73" s="211" t="str">
        <f t="shared" si="81"/>
        <v>N/A</v>
      </c>
      <c r="DE73" s="211" t="str">
        <f t="shared" si="82"/>
        <v>N/A</v>
      </c>
      <c r="DF73" s="211" t="str">
        <f t="shared" si="83"/>
        <v>N/A</v>
      </c>
    </row>
    <row r="74" spans="1:110" s="211" customFormat="1" ht="357">
      <c r="A74" s="348" t="s">
        <v>271</v>
      </c>
      <c r="B74" s="211" t="s">
        <v>141</v>
      </c>
      <c r="C74" s="211" t="s">
        <v>341</v>
      </c>
      <c r="D74" s="211" t="s">
        <v>544</v>
      </c>
      <c r="E74" s="211" t="s">
        <v>545</v>
      </c>
      <c r="F74" s="348" t="s">
        <v>546</v>
      </c>
      <c r="G74" s="211" t="s">
        <v>157</v>
      </c>
      <c r="H74" s="211">
        <v>4</v>
      </c>
      <c r="I74" s="323">
        <v>4</v>
      </c>
      <c r="J74" s="323">
        <v>4</v>
      </c>
      <c r="K74" s="288">
        <v>1</v>
      </c>
      <c r="L74" s="211" t="s">
        <v>2961</v>
      </c>
      <c r="M74" s="211" t="b">
        <v>0</v>
      </c>
      <c r="O74" s="209" t="s">
        <v>2832</v>
      </c>
      <c r="P74" s="211" t="s">
        <v>159</v>
      </c>
      <c r="Q74" s="211" t="s">
        <v>160</v>
      </c>
      <c r="T74" s="236" t="s">
        <v>525</v>
      </c>
      <c r="U74" s="269"/>
      <c r="V74" s="269"/>
      <c r="W74" s="269"/>
      <c r="X74" s="269">
        <v>9919710465</v>
      </c>
      <c r="Y74" s="269"/>
      <c r="Z74" s="269"/>
      <c r="AA74" s="269"/>
      <c r="AB74" s="269">
        <v>31860537928</v>
      </c>
      <c r="AC74" s="269"/>
      <c r="AD74" s="269"/>
      <c r="AE74" s="269"/>
      <c r="AF74" s="269">
        <v>78459265382</v>
      </c>
      <c r="AG74" s="269">
        <v>120239513775</v>
      </c>
      <c r="AH74"/>
      <c r="AI74"/>
      <c r="AJ74" s="236" t="s">
        <v>525</v>
      </c>
      <c r="AK74" s="269"/>
      <c r="AL74" s="269"/>
      <c r="AM74" s="269"/>
      <c r="AN74" s="269">
        <v>87198844691</v>
      </c>
      <c r="AO74" s="269"/>
      <c r="AP74" s="269"/>
      <c r="AQ74" s="269"/>
      <c r="AR74" s="269">
        <v>87198844691</v>
      </c>
      <c r="AS74" s="269"/>
      <c r="AT74" s="269"/>
      <c r="AU74" s="269"/>
      <c r="AV74" s="269">
        <v>84527452102</v>
      </c>
      <c r="AW74" s="269">
        <v>258925141484</v>
      </c>
      <c r="AX74" s="236"/>
      <c r="AY74" s="236"/>
      <c r="AZ74" s="236"/>
      <c r="BA74" s="239" t="s">
        <v>509</v>
      </c>
      <c r="BB74" s="240">
        <f t="shared" si="90"/>
        <v>0</v>
      </c>
      <c r="BC74" s="240">
        <f t="shared" si="91"/>
        <v>0</v>
      </c>
      <c r="BD74" s="240">
        <f t="shared" si="92"/>
        <v>0</v>
      </c>
      <c r="BE74" s="240">
        <f t="shared" si="93"/>
        <v>0</v>
      </c>
      <c r="BF74" s="240">
        <f t="shared" si="94"/>
        <v>0</v>
      </c>
      <c r="BG74" s="240">
        <f t="shared" si="95"/>
        <v>7</v>
      </c>
      <c r="BH74" s="240">
        <f t="shared" si="96"/>
        <v>0</v>
      </c>
      <c r="BI74" s="240">
        <f t="shared" si="97"/>
        <v>0</v>
      </c>
      <c r="BJ74" s="240">
        <f t="shared" si="98"/>
        <v>0</v>
      </c>
      <c r="BK74" s="240">
        <f t="shared" si="84"/>
        <v>0</v>
      </c>
      <c r="BL74" s="240">
        <f t="shared" si="85"/>
        <v>0</v>
      </c>
      <c r="BM74" s="240">
        <f t="shared" si="86"/>
        <v>21</v>
      </c>
      <c r="BN74" s="211">
        <f t="shared" si="99"/>
        <v>0</v>
      </c>
      <c r="BO74" s="236">
        <f t="shared" si="100"/>
        <v>0</v>
      </c>
      <c r="BP74" s="236">
        <f t="shared" si="101"/>
        <v>0</v>
      </c>
      <c r="BQ74" s="236">
        <f t="shared" si="102"/>
        <v>0</v>
      </c>
      <c r="BR74" s="236">
        <f t="shared" si="103"/>
        <v>0</v>
      </c>
      <c r="BS74" s="236">
        <f t="shared" si="104"/>
        <v>8</v>
      </c>
      <c r="BT74" s="236">
        <f t="shared" si="105"/>
        <v>0</v>
      </c>
      <c r="BU74" s="236">
        <f t="shared" si="106"/>
        <v>0</v>
      </c>
      <c r="BV74" s="236">
        <f t="shared" si="107"/>
        <v>0</v>
      </c>
      <c r="BW74" s="236">
        <f t="shared" si="87"/>
        <v>0</v>
      </c>
      <c r="BX74" s="236">
        <f t="shared" si="88"/>
        <v>0</v>
      </c>
      <c r="BY74" s="236">
        <f t="shared" si="89"/>
        <v>21</v>
      </c>
      <c r="BZ74" s="236"/>
      <c r="CA74" s="275" t="s">
        <v>1229</v>
      </c>
      <c r="CB74" s="272" t="str">
        <f t="shared" si="60"/>
        <v>N/A</v>
      </c>
      <c r="CC74" s="272" t="str">
        <f t="shared" si="61"/>
        <v>N/A</v>
      </c>
      <c r="CD74" s="272" t="str">
        <f t="shared" si="62"/>
        <v>N/A</v>
      </c>
      <c r="CE74" s="284" t="str">
        <f t="shared" si="63"/>
        <v>N/A</v>
      </c>
      <c r="CF74" s="284" t="str">
        <f t="shared" si="64"/>
        <v>N/A</v>
      </c>
      <c r="CG74" s="284" t="str">
        <f t="shared" si="65"/>
        <v>N/A</v>
      </c>
      <c r="CH74" s="272" t="str">
        <f t="shared" si="66"/>
        <v>N/A</v>
      </c>
      <c r="CI74" s="211" t="str">
        <f t="shared" si="67"/>
        <v xml:space="preserve">En el marco de la actividad "Liderar el cumplimiento de los requisitos del Índice de Transparencia y Acceso a la Información Pública – ITA", se logró el cumplimiento total de la meta, obteniendo un resultado de 100 puntos sobre 100 tanto en el reporte de autodiagnóstico como en la auditoría realizada por la Procuraduría General de la Nación. Este resultado evidencia el cumplimiento integral de los criterios evaluados por el índice.
De acuerdo con lo anterior, el indicador se ubica en el rango de "Bueno", con una tendencia ascendente respecto a la línea base de 97 puntos obtenida en la medición de la vigencia anterior. Esto evidencia una mejora sostenida en las acciones implementadas para garantizar el cumplimiento del ITA.
Acciones desarrolladas durante la vigencia:Cierre de brechas identificadas en el Anexo 2, con la participación de la Dirección de Innovación y Desarrollo, la Subdirección de Tecnologías de la Información, la Delegada para la Protección al Usuario y la Oficina de Comunicaciones.Coordinación del proceso de autodiagnóstico.Seguimiento a los requisitos del ITA.Articulación con las áreas responsables de la publicación de información.Revisión y fortalecimiento de los canales institucionales.Atención directa para resolver observaciones y asegurar el cumplimiento.
</v>
      </c>
      <c r="CJ74" s="211" t="str">
        <f t="shared" si="68"/>
        <v>N/A</v>
      </c>
      <c r="CK74" s="211" t="str">
        <f t="shared" si="69"/>
        <v>N/A</v>
      </c>
      <c r="CL74" s="211" t="str">
        <f t="shared" si="70"/>
        <v>N/A</v>
      </c>
      <c r="CM74" s="211" t="str">
        <f t="shared" si="71"/>
        <v>N/A</v>
      </c>
      <c r="CO74" s="211" t="s">
        <v>271</v>
      </c>
      <c r="CP74" s="211" t="s">
        <v>141</v>
      </c>
      <c r="CQ74" s="211" t="s">
        <v>341</v>
      </c>
      <c r="CR74" s="211" t="s">
        <v>544</v>
      </c>
      <c r="CS74" s="211" t="s">
        <v>2961</v>
      </c>
      <c r="CT74" s="211" t="s">
        <v>341</v>
      </c>
      <c r="CU74" s="211" t="str">
        <f t="shared" si="72"/>
        <v>N/A</v>
      </c>
      <c r="CV74" s="211" t="str">
        <f t="shared" si="73"/>
        <v>N/A</v>
      </c>
      <c r="CW74" s="211" t="str">
        <f t="shared" si="74"/>
        <v>N/A</v>
      </c>
      <c r="CX74" s="211" t="str">
        <f t="shared" si="75"/>
        <v xml:space="preserve">​Se realizaron las 4 mesas de apropiación del SIG programadas.
En el marco de las autoevaluaciones generalmente se refuerza la aprehensión del SIG y se diseñan presentaciones especialmente para esto.
Así las cosas, en Febrero, Marzo y Abril, en el marco de las mencionadas reunones, se realizó también apropiación del SIG como consta en las actas y en las presentaciones adjuntas.  Se hizo eénfasis en los procesos , en especial Seguimiento y evaluación al vigilado, y se dieron TIPS sobre gestión de calidad como puede verse en las 3 presentaciones de los menses mencionados.
En el mes de enero también se realizó una mesa de aprehensión del SIG, esta vez dirigida por la Regional Andina, la cual pertenece a nuestra Delegada de acuerdo al decreto 1080 de 2021.  Esta mesa se enfocó en el sistema de gestión ambiental, el cual es un componente muy importante del SIG.
</v>
      </c>
      <c r="CY74" s="211" t="str">
        <f t="shared" si="76"/>
        <v>N/A</v>
      </c>
      <c r="CZ74" s="211" t="str">
        <f t="shared" si="77"/>
        <v>N/A</v>
      </c>
      <c r="DA74" s="211" t="str">
        <f t="shared" si="78"/>
        <v>N/A</v>
      </c>
      <c r="DB74" s="211" t="str">
        <f t="shared" si="79"/>
        <v>N/A</v>
      </c>
      <c r="DC74" s="211" t="str">
        <f t="shared" si="80"/>
        <v>N/A</v>
      </c>
      <c r="DD74" s="211" t="str">
        <f t="shared" si="81"/>
        <v>N/A</v>
      </c>
      <c r="DE74" s="211" t="str">
        <f t="shared" si="82"/>
        <v>N/A</v>
      </c>
      <c r="DF74" s="211" t="str">
        <f t="shared" si="83"/>
        <v>N/A</v>
      </c>
    </row>
    <row r="75" spans="1:110" s="211" customFormat="1" ht="318.75">
      <c r="A75" s="348" t="s">
        <v>271</v>
      </c>
      <c r="B75" s="211" t="s">
        <v>141</v>
      </c>
      <c r="C75" s="211" t="s">
        <v>540</v>
      </c>
      <c r="D75" s="211" t="s">
        <v>541</v>
      </c>
      <c r="E75" s="211" t="s">
        <v>542</v>
      </c>
      <c r="F75" s="348" t="s">
        <v>543</v>
      </c>
      <c r="G75" s="211" t="s">
        <v>157</v>
      </c>
      <c r="H75" s="211">
        <v>6</v>
      </c>
      <c r="I75" s="323">
        <v>6</v>
      </c>
      <c r="J75" s="323">
        <v>6</v>
      </c>
      <c r="K75" s="288">
        <v>1</v>
      </c>
      <c r="L75" s="211" t="s">
        <v>2962</v>
      </c>
      <c r="M75" s="211" t="b">
        <v>0</v>
      </c>
      <c r="O75" s="209" t="s">
        <v>2832</v>
      </c>
      <c r="P75" s="211" t="s">
        <v>159</v>
      </c>
      <c r="Q75" s="211" t="s">
        <v>160</v>
      </c>
      <c r="T75" s="236" t="s">
        <v>529</v>
      </c>
      <c r="U75" s="269"/>
      <c r="V75" s="269"/>
      <c r="W75" s="269"/>
      <c r="X75" s="269"/>
      <c r="Y75" s="269"/>
      <c r="Z75" s="269">
        <v>2</v>
      </c>
      <c r="AA75" s="269"/>
      <c r="AB75" s="269"/>
      <c r="AC75" s="269"/>
      <c r="AD75" s="269"/>
      <c r="AE75" s="269"/>
      <c r="AF75" s="269">
        <v>4</v>
      </c>
      <c r="AG75" s="269">
        <v>6</v>
      </c>
      <c r="AH75"/>
      <c r="AI75"/>
      <c r="AJ75" s="236" t="s">
        <v>529</v>
      </c>
      <c r="AK75" s="269"/>
      <c r="AL75" s="269"/>
      <c r="AM75" s="269"/>
      <c r="AN75" s="269"/>
      <c r="AO75" s="269"/>
      <c r="AP75" s="269">
        <v>4</v>
      </c>
      <c r="AQ75" s="269"/>
      <c r="AR75" s="269"/>
      <c r="AS75" s="269"/>
      <c r="AT75" s="269"/>
      <c r="AU75" s="269"/>
      <c r="AV75" s="269">
        <v>2</v>
      </c>
      <c r="AW75" s="269">
        <v>6</v>
      </c>
      <c r="AX75" s="236"/>
      <c r="AY75" s="236"/>
      <c r="AZ75" s="236"/>
      <c r="BA75" s="239" t="s">
        <v>513</v>
      </c>
      <c r="BB75" s="240">
        <f t="shared" si="90"/>
        <v>0</v>
      </c>
      <c r="BC75" s="240">
        <f t="shared" si="91"/>
        <v>0</v>
      </c>
      <c r="BD75" s="240">
        <f t="shared" si="92"/>
        <v>0</v>
      </c>
      <c r="BE75" s="240">
        <f t="shared" si="93"/>
        <v>0</v>
      </c>
      <c r="BF75" s="240">
        <f t="shared" si="94"/>
        <v>0</v>
      </c>
      <c r="BG75" s="240">
        <f t="shared" si="95"/>
        <v>2</v>
      </c>
      <c r="BH75" s="240">
        <f t="shared" si="96"/>
        <v>0</v>
      </c>
      <c r="BI75" s="240">
        <f t="shared" si="97"/>
        <v>0</v>
      </c>
      <c r="BJ75" s="240">
        <f t="shared" si="98"/>
        <v>0</v>
      </c>
      <c r="BK75" s="240">
        <f t="shared" si="84"/>
        <v>0</v>
      </c>
      <c r="BL75" s="240">
        <f t="shared" si="85"/>
        <v>0</v>
      </c>
      <c r="BM75" s="240">
        <f t="shared" si="86"/>
        <v>2</v>
      </c>
      <c r="BN75" s="211">
        <f t="shared" si="99"/>
        <v>0</v>
      </c>
      <c r="BO75" s="236">
        <f t="shared" si="100"/>
        <v>0</v>
      </c>
      <c r="BP75" s="236">
        <f t="shared" si="101"/>
        <v>0</v>
      </c>
      <c r="BQ75" s="236">
        <f t="shared" si="102"/>
        <v>0</v>
      </c>
      <c r="BR75" s="236">
        <f t="shared" si="103"/>
        <v>0</v>
      </c>
      <c r="BS75" s="236">
        <f t="shared" si="104"/>
        <v>2</v>
      </c>
      <c r="BT75" s="236">
        <f t="shared" si="105"/>
        <v>0</v>
      </c>
      <c r="BU75" s="236">
        <f t="shared" si="106"/>
        <v>0</v>
      </c>
      <c r="BV75" s="236">
        <f t="shared" si="107"/>
        <v>0</v>
      </c>
      <c r="BW75" s="236">
        <f t="shared" si="87"/>
        <v>0</v>
      </c>
      <c r="BX75" s="236">
        <f t="shared" si="88"/>
        <v>0</v>
      </c>
      <c r="BY75" s="236">
        <f t="shared" si="89"/>
        <v>2</v>
      </c>
      <c r="BZ75" s="236"/>
      <c r="CA75" s="275" t="s">
        <v>266</v>
      </c>
      <c r="CB75" s="272" t="str">
        <f t="shared" si="60"/>
        <v>N/A</v>
      </c>
      <c r="CC75" s="272" t="str">
        <f t="shared" si="61"/>
        <v>N/A</v>
      </c>
      <c r="CD75" s="272" t="str">
        <f t="shared" si="62"/>
        <v>N/A</v>
      </c>
      <c r="CE75" s="284" t="str">
        <f t="shared" si="63"/>
        <v xml:space="preserve">​En el link adjunto se evidencia el avance y seguimiento de la gestión digital en nuestros canales de comunicación establecidos. Tal es el caso del aumento de seguidores, visualización de conteenidos e interacción de mensajes institucionales.
</v>
      </c>
      <c r="CF75" s="284" t="str">
        <f t="shared" si="64"/>
        <v>N/A</v>
      </c>
      <c r="CG75" s="284" t="str">
        <f t="shared" si="65"/>
        <v>N/A</v>
      </c>
      <c r="CH75" s="272" t="str">
        <f t="shared" si="66"/>
        <v>N/A</v>
      </c>
      <c r="CI75" s="211" t="str">
        <f t="shared" si="67"/>
        <v>N/A</v>
      </c>
      <c r="CJ75" s="211" t="str">
        <f t="shared" si="68"/>
        <v>N/A</v>
      </c>
      <c r="CK75" s="211" t="str">
        <f t="shared" si="69"/>
        <v>N/A</v>
      </c>
      <c r="CL75" s="211" t="str">
        <f t="shared" si="70"/>
        <v>N/A</v>
      </c>
      <c r="CM75" s="211" t="str">
        <f t="shared" si="71"/>
        <v>N/A</v>
      </c>
      <c r="CO75" s="211" t="s">
        <v>271</v>
      </c>
      <c r="CP75" s="211" t="s">
        <v>141</v>
      </c>
      <c r="CQ75" s="211" t="s">
        <v>540</v>
      </c>
      <c r="CR75" s="211" t="s">
        <v>541</v>
      </c>
      <c r="CS75" s="211" t="s">
        <v>2962</v>
      </c>
      <c r="CT75" s="211" t="s">
        <v>540</v>
      </c>
      <c r="CU75" s="211" t="str">
        <f t="shared" si="72"/>
        <v>N/A</v>
      </c>
      <c r="CV75" s="211" t="str">
        <f t="shared" si="73"/>
        <v>N/A</v>
      </c>
      <c r="CW75" s="211" t="str">
        <f t="shared" si="74"/>
        <v>N/A</v>
      </c>
      <c r="CX75" s="211" t="str">
        <f t="shared" si="75"/>
        <v xml:space="preserve">​Se realizaron las 6 mesas de fortalecimiento de competencias de la siguiente manera:
* 3 Mesas de Fortalecimiento de competencias en el aplicativo / Guía de Auditoría GAUDI a todas las Entidades territoriales Se hacen 3 mesas ya que se dividen las entidades territoriales en 3 grupos como se ve en la evidencia adjunta.
* 1 mesa de fortalecimiento de competencias en circular 030 en el chocó
* 1 mesa de fortalecimiento de competencias en Rentas cedidas en el departamento del quindío.  Se aclara que dentro de la mesa de inspección y vigilancia, también se realizó fortalecimiento de competencias a los vigilados en este tema.
* 1 mesa de fortalecimiento de competencias en Fiscalización de rentas cedidas para el departamento del Vichada.  Se aclara que dentro de la mesa de inspección y vigilancia, también se realizó fortalecimiento de competencias a los vigilados en este tema.
</v>
      </c>
      <c r="CY75" s="211" t="str">
        <f t="shared" si="76"/>
        <v>N/A</v>
      </c>
      <c r="CZ75" s="211" t="str">
        <f t="shared" si="77"/>
        <v>N/A</v>
      </c>
      <c r="DA75" s="211" t="str">
        <f t="shared" si="78"/>
        <v>N/A</v>
      </c>
      <c r="DB75" s="211" t="str">
        <f t="shared" si="79"/>
        <v>N/A</v>
      </c>
      <c r="DC75" s="211" t="str">
        <f t="shared" si="80"/>
        <v>N/A</v>
      </c>
      <c r="DD75" s="211" t="str">
        <f t="shared" si="81"/>
        <v>N/A</v>
      </c>
      <c r="DE75" s="211" t="str">
        <f t="shared" si="82"/>
        <v>N/A</v>
      </c>
      <c r="DF75" s="211" t="str">
        <f t="shared" si="83"/>
        <v>N/A</v>
      </c>
    </row>
    <row r="76" spans="1:110" s="211" customFormat="1" ht="306">
      <c r="A76" s="348" t="s">
        <v>271</v>
      </c>
      <c r="B76" s="211" t="s">
        <v>141</v>
      </c>
      <c r="C76" s="211" t="s">
        <v>563</v>
      </c>
      <c r="D76" s="211" t="s">
        <v>564</v>
      </c>
      <c r="E76" s="211" t="s">
        <v>565</v>
      </c>
      <c r="F76" s="348" t="s">
        <v>566</v>
      </c>
      <c r="G76" s="211" t="s">
        <v>178</v>
      </c>
      <c r="H76" s="211">
        <v>1</v>
      </c>
      <c r="I76" s="323">
        <v>514</v>
      </c>
      <c r="J76" s="323">
        <v>514</v>
      </c>
      <c r="K76" s="288">
        <v>1</v>
      </c>
      <c r="L76" s="211" t="s">
        <v>2963</v>
      </c>
      <c r="M76" s="211" t="b">
        <v>1</v>
      </c>
      <c r="N76" s="211" t="s">
        <v>567</v>
      </c>
      <c r="O76" s="209" t="s">
        <v>2832</v>
      </c>
      <c r="P76" s="211" t="s">
        <v>159</v>
      </c>
      <c r="Q76" s="211" t="s">
        <v>160</v>
      </c>
      <c r="T76" s="236" t="s">
        <v>360</v>
      </c>
      <c r="U76" s="269"/>
      <c r="V76" s="269"/>
      <c r="W76" s="269">
        <v>15</v>
      </c>
      <c r="X76" s="269"/>
      <c r="Y76" s="269"/>
      <c r="Z76" s="269">
        <v>9</v>
      </c>
      <c r="AA76" s="269"/>
      <c r="AB76" s="269"/>
      <c r="AC76" s="269">
        <v>11</v>
      </c>
      <c r="AD76" s="269"/>
      <c r="AE76" s="269"/>
      <c r="AF76" s="269">
        <v>19</v>
      </c>
      <c r="AG76" s="269">
        <v>54</v>
      </c>
      <c r="AH76"/>
      <c r="AI76"/>
      <c r="AJ76" s="236" t="s">
        <v>360</v>
      </c>
      <c r="AK76" s="269"/>
      <c r="AL76" s="269"/>
      <c r="AM76" s="269">
        <v>15</v>
      </c>
      <c r="AN76" s="269"/>
      <c r="AO76" s="269"/>
      <c r="AP76" s="269">
        <v>13</v>
      </c>
      <c r="AQ76" s="269"/>
      <c r="AR76" s="269"/>
      <c r="AS76" s="269">
        <v>13</v>
      </c>
      <c r="AT76" s="269"/>
      <c r="AU76" s="269"/>
      <c r="AV76" s="269">
        <v>13</v>
      </c>
      <c r="AW76" s="269">
        <v>54</v>
      </c>
      <c r="AX76" s="236"/>
      <c r="AY76" s="236"/>
      <c r="AZ76" s="236"/>
      <c r="BA76" s="239" t="s">
        <v>515</v>
      </c>
      <c r="BB76" s="240">
        <f t="shared" si="90"/>
        <v>0</v>
      </c>
      <c r="BC76" s="240">
        <f t="shared" si="91"/>
        <v>0</v>
      </c>
      <c r="BD76" s="240">
        <f t="shared" si="92"/>
        <v>0</v>
      </c>
      <c r="BE76" s="240">
        <f t="shared" si="93"/>
        <v>0</v>
      </c>
      <c r="BF76" s="240">
        <f t="shared" si="94"/>
        <v>0</v>
      </c>
      <c r="BG76" s="240">
        <f t="shared" si="95"/>
        <v>3</v>
      </c>
      <c r="BH76" s="240">
        <f t="shared" si="96"/>
        <v>0</v>
      </c>
      <c r="BI76" s="240">
        <f t="shared" si="97"/>
        <v>0</v>
      </c>
      <c r="BJ76" s="240">
        <f t="shared" si="98"/>
        <v>0</v>
      </c>
      <c r="BK76" s="240">
        <f t="shared" si="84"/>
        <v>0</v>
      </c>
      <c r="BL76" s="240">
        <f t="shared" si="85"/>
        <v>0</v>
      </c>
      <c r="BM76" s="240">
        <f t="shared" si="86"/>
        <v>3</v>
      </c>
      <c r="BN76" s="211">
        <f t="shared" si="99"/>
        <v>0</v>
      </c>
      <c r="BO76" s="236">
        <f t="shared" si="100"/>
        <v>0</v>
      </c>
      <c r="BP76" s="236">
        <f t="shared" si="101"/>
        <v>0</v>
      </c>
      <c r="BQ76" s="236">
        <f t="shared" si="102"/>
        <v>0</v>
      </c>
      <c r="BR76" s="236">
        <f t="shared" si="103"/>
        <v>0</v>
      </c>
      <c r="BS76" s="236">
        <f t="shared" si="104"/>
        <v>3</v>
      </c>
      <c r="BT76" s="236">
        <f t="shared" si="105"/>
        <v>0</v>
      </c>
      <c r="BU76" s="236">
        <f t="shared" si="106"/>
        <v>0</v>
      </c>
      <c r="BV76" s="236">
        <f t="shared" si="107"/>
        <v>0</v>
      </c>
      <c r="BW76" s="236">
        <f t="shared" si="87"/>
        <v>0</v>
      </c>
      <c r="BX76" s="236">
        <f t="shared" si="88"/>
        <v>0</v>
      </c>
      <c r="BY76" s="236">
        <f t="shared" si="89"/>
        <v>3</v>
      </c>
      <c r="BZ76" s="236"/>
      <c r="CA76" s="275" t="s">
        <v>312</v>
      </c>
      <c r="CB76" s="272" t="str">
        <f t="shared" si="60"/>
        <v>N/A</v>
      </c>
      <c r="CC76" s="272" t="str">
        <f t="shared" si="61"/>
        <v>N/A</v>
      </c>
      <c r="CD76" s="272" t="str">
        <f t="shared" si="62"/>
        <v>N/A</v>
      </c>
      <c r="CE76" s="284" t="str">
        <f t="shared" si="63"/>
        <v xml:space="preserve">Se realizaon distintas campañas institucionales en el marco de posicionar la imagen de la Superintendencia Nacional de Salud y mejorar la gestión de la reputación institucional.
</v>
      </c>
      <c r="CF76" s="284" t="str">
        <f t="shared" si="64"/>
        <v>N/A</v>
      </c>
      <c r="CG76" s="284" t="str">
        <f t="shared" si="65"/>
        <v>N/A</v>
      </c>
      <c r="CH76" s="272" t="str">
        <f t="shared" si="66"/>
        <v>N/A</v>
      </c>
      <c r="CI76" s="211" t="str">
        <f t="shared" si="67"/>
        <v>N/A</v>
      </c>
      <c r="CJ76" s="211" t="str">
        <f t="shared" si="68"/>
        <v>N/A</v>
      </c>
      <c r="CK76" s="211" t="str">
        <f t="shared" si="69"/>
        <v>N/A</v>
      </c>
      <c r="CL76" s="211" t="str">
        <f t="shared" si="70"/>
        <v>N/A</v>
      </c>
      <c r="CM76" s="211" t="str">
        <f t="shared" si="71"/>
        <v>N/A</v>
      </c>
      <c r="CO76" s="211" t="s">
        <v>271</v>
      </c>
      <c r="CP76" s="211" t="s">
        <v>141</v>
      </c>
      <c r="CQ76" s="211" t="s">
        <v>563</v>
      </c>
      <c r="CR76" s="211" t="s">
        <v>564</v>
      </c>
      <c r="CS76" s="211" t="s">
        <v>2963</v>
      </c>
      <c r="CT76" s="211" t="s">
        <v>563</v>
      </c>
      <c r="CU76" s="211" t="str">
        <f t="shared" si="72"/>
        <v>N/A</v>
      </c>
      <c r="CV76" s="211" t="str">
        <f t="shared" si="73"/>
        <v>N/A</v>
      </c>
      <c r="CW76" s="211" t="str">
        <f t="shared" si="74"/>
        <v>N/A</v>
      </c>
      <c r="CX76" s="211" t="str">
        <f t="shared" si="75"/>
        <v xml:space="preserve">​En indicador es a demanda de acuerdo a las necesidades de articulación con las delegadas para apoyar el IV con los respectivos actores del sistema.
En este período se realizaron a demanda 514 acciones de apoyo a las Delegadas en territorio, tal como se muestran en la base de datos en excel que se adjunta.
También se adjunta un enlace donde están las evidencias que se listan en el mencionado excel.
Se anexan las evidencias correspondientes dentro del URL adjunto,  ya que hay evidencias de todas las regionales y estas son muy pesadas para ser cargadas aquí.  Se han concedido algunos permisos para este URL. ( Mónica Liliana Salazar, Gloria Rocío PEreira, Peter William VArgas, Johana Patricia Orjuela).  Si Alguien mas de la OAP o de la OCI requiere ingresar al URL, solicitarlo a Rafael Enrique García Cadavid.
</v>
      </c>
      <c r="CY76" s="211" t="str">
        <f t="shared" si="76"/>
        <v>N/A</v>
      </c>
      <c r="CZ76" s="211" t="str">
        <f t="shared" si="77"/>
        <v>N/A</v>
      </c>
      <c r="DA76" s="211" t="str">
        <f t="shared" si="78"/>
        <v>N/A</v>
      </c>
      <c r="DB76" s="211" t="str">
        <f t="shared" si="79"/>
        <v>N/A</v>
      </c>
      <c r="DC76" s="211" t="str">
        <f t="shared" si="80"/>
        <v>N/A</v>
      </c>
      <c r="DD76" s="211" t="str">
        <f t="shared" si="81"/>
        <v>N/A</v>
      </c>
      <c r="DE76" s="211" t="str">
        <f t="shared" si="82"/>
        <v>N/A</v>
      </c>
      <c r="DF76" s="211" t="str">
        <f t="shared" si="83"/>
        <v>N/A</v>
      </c>
    </row>
    <row r="77" spans="1:110" s="211" customFormat="1" ht="267.75">
      <c r="A77" s="348" t="s">
        <v>271</v>
      </c>
      <c r="B77" s="211" t="s">
        <v>141</v>
      </c>
      <c r="C77" s="211" t="s">
        <v>547</v>
      </c>
      <c r="D77" s="211" t="s">
        <v>548</v>
      </c>
      <c r="E77" s="211" t="s">
        <v>549</v>
      </c>
      <c r="F77" s="348" t="s">
        <v>550</v>
      </c>
      <c r="G77" s="211" t="s">
        <v>157</v>
      </c>
      <c r="H77" s="211">
        <v>14</v>
      </c>
      <c r="I77" s="323">
        <v>14</v>
      </c>
      <c r="J77" s="323">
        <v>14</v>
      </c>
      <c r="K77" s="288">
        <v>1</v>
      </c>
      <c r="L77" s="211" t="s">
        <v>2964</v>
      </c>
      <c r="M77" s="211" t="b">
        <v>0</v>
      </c>
      <c r="O77" s="209" t="s">
        <v>2832</v>
      </c>
      <c r="P77" s="211" t="s">
        <v>159</v>
      </c>
      <c r="Q77" s="211" t="s">
        <v>160</v>
      </c>
      <c r="T77" s="236" t="s">
        <v>534</v>
      </c>
      <c r="U77" s="269"/>
      <c r="V77" s="269"/>
      <c r="W77" s="269"/>
      <c r="X77" s="269"/>
      <c r="Y77" s="269"/>
      <c r="Z77" s="269">
        <v>7</v>
      </c>
      <c r="AA77" s="269"/>
      <c r="AB77" s="269"/>
      <c r="AC77" s="269"/>
      <c r="AD77" s="269"/>
      <c r="AE77" s="269"/>
      <c r="AF77" s="269">
        <v>7</v>
      </c>
      <c r="AG77" s="269">
        <v>14</v>
      </c>
      <c r="AH77"/>
      <c r="AI77"/>
      <c r="AJ77" s="236" t="s">
        <v>534</v>
      </c>
      <c r="AK77" s="269"/>
      <c r="AL77" s="269"/>
      <c r="AM77" s="269"/>
      <c r="AN77" s="269"/>
      <c r="AO77" s="269"/>
      <c r="AP77" s="269">
        <v>7</v>
      </c>
      <c r="AQ77" s="269"/>
      <c r="AR77" s="269"/>
      <c r="AS77" s="269"/>
      <c r="AT77" s="269"/>
      <c r="AU77" s="269"/>
      <c r="AV77" s="269">
        <v>7</v>
      </c>
      <c r="AW77" s="269">
        <v>14</v>
      </c>
      <c r="AX77" s="236"/>
      <c r="AY77" s="236"/>
      <c r="AZ77" s="236"/>
      <c r="BA77" s="239" t="s">
        <v>520</v>
      </c>
      <c r="BB77" s="240">
        <f t="shared" si="90"/>
        <v>0</v>
      </c>
      <c r="BC77" s="240">
        <f t="shared" si="91"/>
        <v>0.97</v>
      </c>
      <c r="BD77" s="240">
        <f t="shared" si="92"/>
        <v>0</v>
      </c>
      <c r="BE77" s="240">
        <f t="shared" si="93"/>
        <v>0</v>
      </c>
      <c r="BF77" s="240">
        <f t="shared" si="94"/>
        <v>0.97</v>
      </c>
      <c r="BG77" s="240">
        <f t="shared" si="95"/>
        <v>0</v>
      </c>
      <c r="BH77" s="240">
        <f t="shared" si="96"/>
        <v>0</v>
      </c>
      <c r="BI77" s="240">
        <f t="shared" si="97"/>
        <v>0.98</v>
      </c>
      <c r="BJ77" s="240">
        <f t="shared" si="98"/>
        <v>0</v>
      </c>
      <c r="BK77" s="240">
        <f t="shared" si="84"/>
        <v>0</v>
      </c>
      <c r="BL77" s="240">
        <f t="shared" si="85"/>
        <v>0.94399999999999995</v>
      </c>
      <c r="BM77" s="240">
        <f t="shared" si="86"/>
        <v>0</v>
      </c>
      <c r="BN77" s="211">
        <f t="shared" si="99"/>
        <v>0</v>
      </c>
      <c r="BO77" s="236">
        <f t="shared" si="100"/>
        <v>1</v>
      </c>
      <c r="BP77" s="236">
        <f t="shared" si="101"/>
        <v>0</v>
      </c>
      <c r="BQ77" s="236">
        <f t="shared" si="102"/>
        <v>0</v>
      </c>
      <c r="BR77" s="236">
        <f t="shared" si="103"/>
        <v>1</v>
      </c>
      <c r="BS77" s="236">
        <f t="shared" si="104"/>
        <v>0</v>
      </c>
      <c r="BT77" s="236">
        <f t="shared" si="105"/>
        <v>0</v>
      </c>
      <c r="BU77" s="236">
        <f t="shared" si="106"/>
        <v>1</v>
      </c>
      <c r="BV77" s="236">
        <f t="shared" si="107"/>
        <v>0</v>
      </c>
      <c r="BW77" s="236">
        <f t="shared" si="87"/>
        <v>0</v>
      </c>
      <c r="BX77" s="236">
        <f t="shared" si="88"/>
        <v>1</v>
      </c>
      <c r="BY77" s="236">
        <f t="shared" si="89"/>
        <v>0</v>
      </c>
      <c r="BZ77" s="236"/>
      <c r="CA77" s="275" t="s">
        <v>1245</v>
      </c>
      <c r="CB77" s="272" t="str">
        <f t="shared" si="60"/>
        <v>N/A</v>
      </c>
      <c r="CC77" s="272" t="str">
        <f t="shared" si="61"/>
        <v>N/A</v>
      </c>
      <c r="CD77" s="272" t="str">
        <f t="shared" si="62"/>
        <v>N/A</v>
      </c>
      <c r="CE77" s="284" t="str">
        <f t="shared" si="63"/>
        <v>N/A</v>
      </c>
      <c r="CF77" s="284" t="str">
        <f t="shared" si="64"/>
        <v>N/A</v>
      </c>
      <c r="CG77" s="284" t="str">
        <f t="shared" si="65"/>
        <v>N/A</v>
      </c>
      <c r="CH77" s="272" t="str">
        <f t="shared" si="66"/>
        <v>N/A</v>
      </c>
      <c r="CI77" s="211" t="str">
        <f t="shared" si="67"/>
        <v>N/A</v>
      </c>
      <c r="CJ77" s="211" t="str">
        <f t="shared" si="68"/>
        <v xml:space="preserve">En cumplimiento de las disposiciones establecidas en la Ley 489 de 1998, el Decreto 1081 de 2015 y la Directiva Presidencial 02 de 2022 sobre rendición de cuentas a la ciudadanía, la Superintendencia Nacional de Salud, a través de la Oficina Asesora de Comunicaciones Estratégicas e Imagen Institucional, adelanta el proceso de planeación, producción y difusión de la Audiencia Pública de Rendición de Cuentas correspondiente a la vigencia julio 2024 – junio 2025.
El presente informe consolida los avances en la fase de preparación y divulgación del proceso institucional, destacando las acciones ejecutadas, los productos elaborados y las estrategias implementadas para garantizar la participación ciudadana y la transparencia en la gestión de la Entidad.
</v>
      </c>
      <c r="CK77" s="211" t="str">
        <f t="shared" si="69"/>
        <v>N/A</v>
      </c>
      <c r="CL77" s="211" t="str">
        <f t="shared" si="70"/>
        <v>N/A</v>
      </c>
      <c r="CM77" s="211" t="str">
        <f t="shared" si="71"/>
        <v>N/A</v>
      </c>
      <c r="CO77" s="211" t="s">
        <v>271</v>
      </c>
      <c r="CP77" s="211" t="s">
        <v>141</v>
      </c>
      <c r="CQ77" s="211" t="s">
        <v>547</v>
      </c>
      <c r="CR77" s="211" t="s">
        <v>548</v>
      </c>
      <c r="CS77" s="211" t="s">
        <v>2964</v>
      </c>
      <c r="CT77" s="211" t="s">
        <v>547</v>
      </c>
      <c r="CU77" s="211" t="str">
        <f t="shared" si="72"/>
        <v>N/A</v>
      </c>
      <c r="CV77" s="211" t="str">
        <f t="shared" si="73"/>
        <v>N/A</v>
      </c>
      <c r="CW77" s="211" t="str">
        <f t="shared" si="74"/>
        <v>N/A</v>
      </c>
      <c r="CX77" s="211" t="str">
        <f t="shared" si="75"/>
        <v xml:space="preserve">​Se realizaron las 14 Mesas de Inspección y Vigilancia Programadas.
Estas se desarrollaron en:
* Cáceres
* Marmato
* Neira
* González - Cesar
* Bagadó
* El Tarra Norte de Santander
* Sabanagrande
* Villanueva
* Vichada
* Tolima
* Eje Cafetero
* Huila
* Putumayo
* Dolores
</v>
      </c>
      <c r="CY77" s="211" t="str">
        <f t="shared" si="76"/>
        <v>N/A</v>
      </c>
      <c r="CZ77" s="211" t="str">
        <f t="shared" si="77"/>
        <v>N/A</v>
      </c>
      <c r="DA77" s="211" t="str">
        <f t="shared" si="78"/>
        <v>N/A</v>
      </c>
      <c r="DB77" s="211" t="str">
        <f t="shared" si="79"/>
        <v>N/A</v>
      </c>
      <c r="DC77" s="211" t="str">
        <f t="shared" si="80"/>
        <v>N/A</v>
      </c>
      <c r="DD77" s="211" t="str">
        <f t="shared" si="81"/>
        <v>N/A</v>
      </c>
      <c r="DE77" s="211" t="str">
        <f t="shared" si="82"/>
        <v>N/A</v>
      </c>
      <c r="DF77" s="211" t="str">
        <f t="shared" si="83"/>
        <v>N/A</v>
      </c>
    </row>
    <row r="78" spans="1:110" s="211" customFormat="1" ht="345">
      <c r="A78" s="348" t="s">
        <v>271</v>
      </c>
      <c r="B78" s="211" t="s">
        <v>141</v>
      </c>
      <c r="C78" s="211" t="s">
        <v>568</v>
      </c>
      <c r="D78" s="211" t="s">
        <v>569</v>
      </c>
      <c r="E78" s="211" t="s">
        <v>570</v>
      </c>
      <c r="F78" s="348" t="s">
        <v>571</v>
      </c>
      <c r="G78" s="211" t="s">
        <v>157</v>
      </c>
      <c r="H78" s="211">
        <v>4</v>
      </c>
      <c r="I78" s="323">
        <v>4</v>
      </c>
      <c r="J78" s="323">
        <v>4</v>
      </c>
      <c r="K78" s="288">
        <v>1</v>
      </c>
      <c r="L78" s="211" t="s">
        <v>2965</v>
      </c>
      <c r="M78" s="211" t="b">
        <v>0</v>
      </c>
      <c r="O78" s="209" t="s">
        <v>2832</v>
      </c>
      <c r="P78" s="211" t="s">
        <v>159</v>
      </c>
      <c r="Q78" s="211" t="s">
        <v>160</v>
      </c>
      <c r="T78" s="236" t="s">
        <v>536</v>
      </c>
      <c r="U78" s="269"/>
      <c r="V78" s="269"/>
      <c r="W78" s="269"/>
      <c r="X78" s="269"/>
      <c r="Y78" s="269"/>
      <c r="Z78" s="269">
        <v>7</v>
      </c>
      <c r="AA78" s="269"/>
      <c r="AB78" s="269"/>
      <c r="AC78" s="269"/>
      <c r="AD78" s="269"/>
      <c r="AE78" s="269"/>
      <c r="AF78" s="269">
        <v>7</v>
      </c>
      <c r="AG78" s="269">
        <v>14</v>
      </c>
      <c r="AH78"/>
      <c r="AI78"/>
      <c r="AJ78" s="236" t="s">
        <v>536</v>
      </c>
      <c r="AK78" s="269"/>
      <c r="AL78" s="269"/>
      <c r="AM78" s="269"/>
      <c r="AN78" s="269"/>
      <c r="AO78" s="269"/>
      <c r="AP78" s="269">
        <v>7</v>
      </c>
      <c r="AQ78" s="269"/>
      <c r="AR78" s="269"/>
      <c r="AS78" s="269"/>
      <c r="AT78" s="269"/>
      <c r="AU78" s="269"/>
      <c r="AV78" s="269">
        <v>7</v>
      </c>
      <c r="AW78" s="269">
        <v>14</v>
      </c>
      <c r="AX78" s="236"/>
      <c r="AY78" s="236"/>
      <c r="AZ78" s="236"/>
      <c r="BA78" s="239" t="s">
        <v>525</v>
      </c>
      <c r="BB78" s="240">
        <f t="shared" si="90"/>
        <v>0</v>
      </c>
      <c r="BC78" s="240">
        <f t="shared" si="91"/>
        <v>0</v>
      </c>
      <c r="BD78" s="240">
        <f t="shared" si="92"/>
        <v>0</v>
      </c>
      <c r="BE78" s="240">
        <f t="shared" si="93"/>
        <v>9919710465</v>
      </c>
      <c r="BF78" s="240">
        <f t="shared" si="94"/>
        <v>0</v>
      </c>
      <c r="BG78" s="240">
        <f t="shared" si="95"/>
        <v>0</v>
      </c>
      <c r="BH78" s="240">
        <f t="shared" si="96"/>
        <v>0</v>
      </c>
      <c r="BI78" s="240">
        <f t="shared" si="97"/>
        <v>31860537928</v>
      </c>
      <c r="BJ78" s="240">
        <f t="shared" si="98"/>
        <v>0</v>
      </c>
      <c r="BK78" s="240">
        <f t="shared" si="84"/>
        <v>0</v>
      </c>
      <c r="BL78" s="240">
        <f t="shared" si="85"/>
        <v>0</v>
      </c>
      <c r="BM78" s="240">
        <f t="shared" si="86"/>
        <v>78459265382</v>
      </c>
      <c r="BN78" s="211">
        <f t="shared" si="99"/>
        <v>0</v>
      </c>
      <c r="BO78" s="236">
        <f t="shared" si="100"/>
        <v>0</v>
      </c>
      <c r="BP78" s="236">
        <f t="shared" si="101"/>
        <v>0</v>
      </c>
      <c r="BQ78" s="236">
        <f t="shared" si="102"/>
        <v>87198844691</v>
      </c>
      <c r="BR78" s="236">
        <f t="shared" si="103"/>
        <v>0</v>
      </c>
      <c r="BS78" s="236">
        <f t="shared" si="104"/>
        <v>0</v>
      </c>
      <c r="BT78" s="236">
        <f t="shared" si="105"/>
        <v>0</v>
      </c>
      <c r="BU78" s="236">
        <f t="shared" si="106"/>
        <v>87198844691</v>
      </c>
      <c r="BV78" s="236">
        <f t="shared" si="107"/>
        <v>0</v>
      </c>
      <c r="BW78" s="236">
        <f t="shared" si="87"/>
        <v>0</v>
      </c>
      <c r="BX78" s="236">
        <f t="shared" si="88"/>
        <v>0</v>
      </c>
      <c r="BY78" s="236">
        <f t="shared" si="89"/>
        <v>84527452102</v>
      </c>
      <c r="BZ78" s="236"/>
      <c r="CA78" s="275" t="s">
        <v>529</v>
      </c>
      <c r="CB78" s="272" t="str">
        <f t="shared" si="60"/>
        <v>N/A</v>
      </c>
      <c r="CC78" s="272" t="str">
        <f t="shared" si="61"/>
        <v>N/A</v>
      </c>
      <c r="CD78" s="272" t="str">
        <f t="shared" si="62"/>
        <v>N/A</v>
      </c>
      <c r="CE78" s="284" t="str">
        <f t="shared" si="63"/>
        <v>N/A</v>
      </c>
      <c r="CF78" s="284" t="str">
        <f t="shared" si="64"/>
        <v>N/A</v>
      </c>
      <c r="CG78" s="284" t="str">
        <f t="shared" si="65"/>
        <v xml:space="preserve">De conformidad a la programación establecida en el PAAS para la vigencia 2025 y en atención a la actividad "Ejecutar Programa Anual Seguimiento a la Gestión Institucional", alusiva al indicador "Auditorías realizadas de acuerdo con el Plan Anual de Auditorías", la Oficina de Control Interno definió reportar en el mes de julio el cumplimiento correspondiente al primer semestre de la presente anualidad; de ello, se puede precisar, que fueron presentadas ante el CICCI dos (2) de las cuatro (4) auditorías programadas.
De las 2 (dos) restantes, la referente al proceso "Gestión Financiera" fue presentada el 01 de julio de 2025 ante el CICCI y la segunda alusiva al proceso "Gestión de Bienes y Servicios" se encuentra en ejecución, concluyéndose que las auditorías en mención serán reportadas en el segundo semestre de la presente anualidad.
Por lo anteriormente señalado, el porcentaje de cumplimiento para el período ahora reportado obedece al 50% de ejecución de acuerdo con lo definido en el Plan Anual de Auditorías.
</v>
      </c>
      <c r="CH78" s="272" t="str">
        <f t="shared" si="66"/>
        <v>N/A</v>
      </c>
      <c r="CI78" s="211" t="str">
        <f t="shared" si="67"/>
        <v>N/A</v>
      </c>
      <c r="CJ78" s="211" t="str">
        <f t="shared" si="68"/>
        <v>N/A</v>
      </c>
      <c r="CK78" s="211" t="str">
        <f t="shared" si="69"/>
        <v>N/A</v>
      </c>
      <c r="CL78" s="211" t="str">
        <f t="shared" si="70"/>
        <v>N/A</v>
      </c>
      <c r="CM78" s="211" t="str">
        <f t="shared" si="71"/>
        <v>N/A</v>
      </c>
      <c r="CO78" s="211" t="s">
        <v>271</v>
      </c>
      <c r="CP78" s="211" t="s">
        <v>141</v>
      </c>
      <c r="CQ78" s="211" t="s">
        <v>568</v>
      </c>
      <c r="CR78" s="211" t="s">
        <v>569</v>
      </c>
      <c r="CS78" s="211" t="s">
        <v>2965</v>
      </c>
      <c r="CT78" s="211" t="s">
        <v>568</v>
      </c>
      <c r="CU78" s="211" t="str">
        <f t="shared" si="72"/>
        <v>N/A</v>
      </c>
      <c r="CV78" s="211" t="str">
        <f t="shared" si="73"/>
        <v>N/A</v>
      </c>
      <c r="CW78" s="211" t="str">
        <f t="shared" si="74"/>
        <v>N/A</v>
      </c>
      <c r="CX78" s="211" t="str">
        <f t="shared" si="75"/>
        <v xml:space="preserve">​Se realizan las 4 acciones integrales en territorio programadas.
Estas se ejecutaron en:
* Amazonas
* Cáceres
* Huila
* Territorios de la Regional Andina
Tener en cuenta que la Acción integral en territorio de Amazonas (AIT) Comienza con un acta de inspección y vigilancia para la acción integral en territorio como se puede constatar en el cuerpo de la misma.
</v>
      </c>
      <c r="CY78" s="211" t="str">
        <f t="shared" si="76"/>
        <v>N/A</v>
      </c>
      <c r="CZ78" s="211" t="str">
        <f t="shared" si="77"/>
        <v>N/A</v>
      </c>
      <c r="DA78" s="211" t="str">
        <f t="shared" si="78"/>
        <v>N/A</v>
      </c>
      <c r="DB78" s="211" t="str">
        <f t="shared" si="79"/>
        <v>N/A</v>
      </c>
      <c r="DC78" s="211" t="str">
        <f t="shared" si="80"/>
        <v>N/A</v>
      </c>
      <c r="DD78" s="211" t="str">
        <f t="shared" si="81"/>
        <v>N/A</v>
      </c>
      <c r="DE78" s="211" t="str">
        <f t="shared" si="82"/>
        <v>N/A</v>
      </c>
      <c r="DF78" s="211" t="str">
        <f t="shared" si="83"/>
        <v>N/A</v>
      </c>
    </row>
    <row r="79" spans="1:110" s="211" customFormat="1" ht="342">
      <c r="A79" s="348" t="s">
        <v>271</v>
      </c>
      <c r="B79" s="211" t="s">
        <v>141</v>
      </c>
      <c r="C79" s="211" t="s">
        <v>307</v>
      </c>
      <c r="D79" s="211" t="s">
        <v>308</v>
      </c>
      <c r="E79" s="211" t="s">
        <v>309</v>
      </c>
      <c r="F79" s="348" t="s">
        <v>310</v>
      </c>
      <c r="G79" s="211" t="s">
        <v>157</v>
      </c>
      <c r="H79" s="211">
        <v>6</v>
      </c>
      <c r="I79" s="323">
        <v>6</v>
      </c>
      <c r="J79" s="323">
        <v>6</v>
      </c>
      <c r="K79" s="288">
        <v>1</v>
      </c>
      <c r="L79" s="211" t="s">
        <v>2966</v>
      </c>
      <c r="M79" s="211" t="b">
        <v>0</v>
      </c>
      <c r="O79" s="209" t="s">
        <v>2832</v>
      </c>
      <c r="P79" s="211" t="s">
        <v>159</v>
      </c>
      <c r="Q79" s="211" t="s">
        <v>160</v>
      </c>
      <c r="T79" s="236" t="s">
        <v>174</v>
      </c>
      <c r="U79" s="269"/>
      <c r="V79" s="269"/>
      <c r="W79" s="269">
        <v>2195</v>
      </c>
      <c r="X79" s="269"/>
      <c r="Y79" s="269"/>
      <c r="Z79" s="269">
        <v>2125</v>
      </c>
      <c r="AA79" s="269"/>
      <c r="AB79" s="269"/>
      <c r="AC79" s="269">
        <v>166</v>
      </c>
      <c r="AD79" s="269"/>
      <c r="AE79" s="269"/>
      <c r="AF79" s="269">
        <v>2737</v>
      </c>
      <c r="AG79" s="269">
        <v>7223</v>
      </c>
      <c r="AH79"/>
      <c r="AI79"/>
      <c r="AJ79" s="236" t="s">
        <v>174</v>
      </c>
      <c r="AK79" s="269"/>
      <c r="AL79" s="269"/>
      <c r="AM79" s="269">
        <v>2195</v>
      </c>
      <c r="AN79" s="269"/>
      <c r="AO79" s="269"/>
      <c r="AP79" s="269">
        <v>2125</v>
      </c>
      <c r="AQ79" s="269"/>
      <c r="AR79" s="269"/>
      <c r="AS79" s="269">
        <v>166</v>
      </c>
      <c r="AT79" s="269"/>
      <c r="AU79" s="269"/>
      <c r="AV79" s="269">
        <v>2737</v>
      </c>
      <c r="AW79" s="269">
        <v>7223</v>
      </c>
      <c r="AX79" s="236"/>
      <c r="AY79" s="236"/>
      <c r="AZ79" s="236"/>
      <c r="BA79" s="239" t="s">
        <v>529</v>
      </c>
      <c r="BB79" s="240">
        <f t="shared" si="90"/>
        <v>0</v>
      </c>
      <c r="BC79" s="240">
        <f t="shared" si="91"/>
        <v>0</v>
      </c>
      <c r="BD79" s="240">
        <f t="shared" si="92"/>
        <v>0</v>
      </c>
      <c r="BE79" s="240">
        <f t="shared" si="93"/>
        <v>0</v>
      </c>
      <c r="BF79" s="240">
        <f t="shared" si="94"/>
        <v>0</v>
      </c>
      <c r="BG79" s="240">
        <f t="shared" si="95"/>
        <v>2</v>
      </c>
      <c r="BH79" s="240">
        <f t="shared" si="96"/>
        <v>0</v>
      </c>
      <c r="BI79" s="240">
        <f t="shared" si="97"/>
        <v>0</v>
      </c>
      <c r="BJ79" s="240">
        <f t="shared" si="98"/>
        <v>0</v>
      </c>
      <c r="BK79" s="240">
        <f t="shared" si="84"/>
        <v>0</v>
      </c>
      <c r="BL79" s="240">
        <f t="shared" si="85"/>
        <v>0</v>
      </c>
      <c r="BM79" s="240">
        <f t="shared" si="86"/>
        <v>4</v>
      </c>
      <c r="BN79" s="211">
        <f t="shared" si="99"/>
        <v>0</v>
      </c>
      <c r="BO79" s="236">
        <f t="shared" si="100"/>
        <v>0</v>
      </c>
      <c r="BP79" s="236">
        <f t="shared" si="101"/>
        <v>0</v>
      </c>
      <c r="BQ79" s="236">
        <f t="shared" si="102"/>
        <v>0</v>
      </c>
      <c r="BR79" s="236">
        <f t="shared" si="103"/>
        <v>0</v>
      </c>
      <c r="BS79" s="236">
        <f t="shared" si="104"/>
        <v>4</v>
      </c>
      <c r="BT79" s="236">
        <f t="shared" si="105"/>
        <v>0</v>
      </c>
      <c r="BU79" s="236">
        <f t="shared" si="106"/>
        <v>0</v>
      </c>
      <c r="BV79" s="236">
        <f t="shared" si="107"/>
        <v>0</v>
      </c>
      <c r="BW79" s="236">
        <f t="shared" si="87"/>
        <v>0</v>
      </c>
      <c r="BX79" s="236">
        <f t="shared" si="88"/>
        <v>0</v>
      </c>
      <c r="BY79" s="236">
        <f t="shared" si="89"/>
        <v>2</v>
      </c>
      <c r="BZ79" s="236"/>
      <c r="CA79" s="275" t="s">
        <v>360</v>
      </c>
      <c r="CB79" s="272" t="str">
        <f t="shared" si="60"/>
        <v>N/A</v>
      </c>
      <c r="CC79" s="272" t="str">
        <f t="shared" si="61"/>
        <v>N/A</v>
      </c>
      <c r="CD79" s="272" t="str">
        <f t="shared" si="62"/>
        <v xml:space="preserve">De conformidad a la programación establecida en el PAAS para la vigencia 2025 y en atención a la actividad "Ejecutar Programa Anual Seguimiento a la Gestión Institucional", alusiva al indicador "Seguimientos y evaluaciones efectuadas al control institucional", la Oficina de Control Interno definió reportar en el mes de abril el cumplimiento correspondiente al primer trimestre de la presente anualidad; de ello, se puede precisar, que fueron ejecutadas las quince (15) actividades programadas.
Por lo anteriormente señalado, el porcentaje de cumplimiento para el período ahora reportado obedece al 100% de ejecución de acuerdo con lo definido en el Plan Anual de Seguimientos de Ley a la Gestión Institucional.
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
</v>
      </c>
      <c r="CE79" s="284" t="str">
        <f t="shared" si="63"/>
        <v>N/A</v>
      </c>
      <c r="CF79" s="284" t="str">
        <f t="shared" si="64"/>
        <v>N/A</v>
      </c>
      <c r="CG79" s="284" t="str">
        <f t="shared" si="65"/>
        <v>N/A</v>
      </c>
      <c r="CH79" s="272" t="str">
        <f t="shared" si="66"/>
        <v>N/A</v>
      </c>
      <c r="CI79" s="211" t="str">
        <f t="shared" si="67"/>
        <v>N/A</v>
      </c>
      <c r="CJ79" s="211" t="str">
        <f t="shared" si="68"/>
        <v>N/A</v>
      </c>
      <c r="CK79" s="211" t="str">
        <f t="shared" si="69"/>
        <v>N/A</v>
      </c>
      <c r="CL79" s="211" t="str">
        <f t="shared" si="70"/>
        <v>N/A</v>
      </c>
      <c r="CM79" s="211" t="str">
        <f t="shared" si="71"/>
        <v>N/A</v>
      </c>
      <c r="CO79" s="211" t="s">
        <v>271</v>
      </c>
      <c r="CP79" s="211" t="s">
        <v>141</v>
      </c>
      <c r="CQ79" s="211" t="s">
        <v>307</v>
      </c>
      <c r="CR79" s="211" t="s">
        <v>308</v>
      </c>
      <c r="CS79" s="211" t="s">
        <v>2966</v>
      </c>
      <c r="CT79" s="211" t="s">
        <v>307</v>
      </c>
      <c r="CU79" s="211" t="str">
        <f t="shared" si="72"/>
        <v>N/A</v>
      </c>
      <c r="CV79" s="211" t="str">
        <f t="shared" si="73"/>
        <v>N/A</v>
      </c>
      <c r="CW79" s="211" t="str">
        <f t="shared" si="74"/>
        <v>N/A</v>
      </c>
      <c r="CX79" s="211" t="str">
        <f t="shared" si="75"/>
        <v xml:space="preserve">​Se realizan actividades derivadas de mesas de Gobernanza en las siguientes Entidades Territoriales:
* Chiquinquirá
* Villa de Leyva
* Garagoa
* Tunja
* Soatá
* Sogamoso
En los exceles adjuntos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
</v>
      </c>
      <c r="CY79" s="211" t="str">
        <f t="shared" si="76"/>
        <v>N/A</v>
      </c>
      <c r="CZ79" s="211" t="str">
        <f t="shared" si="77"/>
        <v>N/A</v>
      </c>
      <c r="DA79" s="211" t="str">
        <f t="shared" si="78"/>
        <v>N/A</v>
      </c>
      <c r="DB79" s="211" t="str">
        <f t="shared" si="79"/>
        <v>N/A</v>
      </c>
      <c r="DC79" s="211" t="str">
        <f t="shared" si="80"/>
        <v>N/A</v>
      </c>
      <c r="DD79" s="211" t="str">
        <f t="shared" si="81"/>
        <v>N/A</v>
      </c>
      <c r="DE79" s="211" t="str">
        <f t="shared" si="82"/>
        <v>N/A</v>
      </c>
      <c r="DF79" s="211" t="str">
        <f t="shared" si="83"/>
        <v>N/A</v>
      </c>
    </row>
    <row r="80" spans="1:110" s="211" customFormat="1" ht="409.5">
      <c r="A80" s="348" t="s">
        <v>454</v>
      </c>
      <c r="B80" s="211" t="s">
        <v>141</v>
      </c>
      <c r="C80" s="211" t="s">
        <v>584</v>
      </c>
      <c r="D80" s="211" t="s">
        <v>585</v>
      </c>
      <c r="E80" s="211" t="s">
        <v>586</v>
      </c>
      <c r="F80" s="348" t="s">
        <v>587</v>
      </c>
      <c r="G80" s="211" t="s">
        <v>178</v>
      </c>
      <c r="H80" s="211">
        <v>0.96</v>
      </c>
      <c r="I80" s="323">
        <v>155</v>
      </c>
      <c r="J80" s="323">
        <v>160</v>
      </c>
      <c r="K80" s="288">
        <v>0.96875</v>
      </c>
      <c r="L80" s="211" t="s">
        <v>588</v>
      </c>
      <c r="M80" s="211" t="b">
        <v>0</v>
      </c>
      <c r="O80" s="209" t="s">
        <v>2832</v>
      </c>
      <c r="P80" s="211" t="s">
        <v>159</v>
      </c>
      <c r="Q80" s="211" t="s">
        <v>160</v>
      </c>
      <c r="T80" s="236" t="s">
        <v>183</v>
      </c>
      <c r="U80" s="269"/>
      <c r="V80" s="269"/>
      <c r="W80" s="269">
        <v>377</v>
      </c>
      <c r="X80" s="269"/>
      <c r="Y80" s="269"/>
      <c r="Z80" s="269">
        <v>87</v>
      </c>
      <c r="AA80" s="269"/>
      <c r="AB80" s="269"/>
      <c r="AC80" s="269">
        <v>166</v>
      </c>
      <c r="AD80" s="269"/>
      <c r="AE80" s="269"/>
      <c r="AF80" s="269">
        <v>0</v>
      </c>
      <c r="AG80" s="269">
        <v>630</v>
      </c>
      <c r="AH80"/>
      <c r="AI80"/>
      <c r="AJ80" s="236" t="s">
        <v>183</v>
      </c>
      <c r="AK80" s="269"/>
      <c r="AL80" s="269"/>
      <c r="AM80" s="269">
        <v>377</v>
      </c>
      <c r="AN80" s="269"/>
      <c r="AO80" s="269"/>
      <c r="AP80" s="269">
        <v>87</v>
      </c>
      <c r="AQ80" s="269"/>
      <c r="AR80" s="269"/>
      <c r="AS80" s="269">
        <v>166</v>
      </c>
      <c r="AT80" s="269"/>
      <c r="AU80" s="269"/>
      <c r="AV80" s="269">
        <v>0</v>
      </c>
      <c r="AW80" s="269">
        <v>630</v>
      </c>
      <c r="AX80" s="236"/>
      <c r="AY80" s="236"/>
      <c r="AZ80" s="236"/>
      <c r="BA80" s="239" t="s">
        <v>360</v>
      </c>
      <c r="BB80" s="240">
        <f t="shared" si="90"/>
        <v>0</v>
      </c>
      <c r="BC80" s="240">
        <f t="shared" si="91"/>
        <v>0</v>
      </c>
      <c r="BD80" s="240">
        <f t="shared" si="92"/>
        <v>15</v>
      </c>
      <c r="BE80" s="240">
        <f t="shared" si="93"/>
        <v>0</v>
      </c>
      <c r="BF80" s="240">
        <f t="shared" si="94"/>
        <v>0</v>
      </c>
      <c r="BG80" s="240">
        <f t="shared" si="95"/>
        <v>9</v>
      </c>
      <c r="BH80" s="240">
        <f t="shared" si="96"/>
        <v>0</v>
      </c>
      <c r="BI80" s="240">
        <f t="shared" si="97"/>
        <v>0</v>
      </c>
      <c r="BJ80" s="240">
        <f t="shared" si="98"/>
        <v>11</v>
      </c>
      <c r="BK80" s="240">
        <f t="shared" si="84"/>
        <v>0</v>
      </c>
      <c r="BL80" s="240">
        <f t="shared" si="85"/>
        <v>0</v>
      </c>
      <c r="BM80" s="240">
        <f t="shared" si="86"/>
        <v>19</v>
      </c>
      <c r="BN80" s="211">
        <f t="shared" si="99"/>
        <v>0</v>
      </c>
      <c r="BO80" s="236">
        <f t="shared" si="100"/>
        <v>0</v>
      </c>
      <c r="BP80" s="236">
        <f t="shared" si="101"/>
        <v>15</v>
      </c>
      <c r="BQ80" s="236">
        <f t="shared" si="102"/>
        <v>0</v>
      </c>
      <c r="BR80" s="236">
        <f t="shared" si="103"/>
        <v>0</v>
      </c>
      <c r="BS80" s="236">
        <f t="shared" si="104"/>
        <v>13</v>
      </c>
      <c r="BT80" s="236">
        <f t="shared" si="105"/>
        <v>0</v>
      </c>
      <c r="BU80" s="236">
        <f t="shared" si="106"/>
        <v>0</v>
      </c>
      <c r="BV80" s="236">
        <f t="shared" si="107"/>
        <v>13</v>
      </c>
      <c r="BW80" s="236">
        <f t="shared" si="87"/>
        <v>0</v>
      </c>
      <c r="BX80" s="236">
        <f t="shared" si="88"/>
        <v>0</v>
      </c>
      <c r="BY80" s="236">
        <f t="shared" si="89"/>
        <v>13</v>
      </c>
      <c r="BZ80" s="236"/>
      <c r="CA80" s="275" t="s">
        <v>371</v>
      </c>
      <c r="CB80" s="272" t="str">
        <f t="shared" si="60"/>
        <v>N/A</v>
      </c>
      <c r="CC80" s="272" t="str">
        <f t="shared" si="61"/>
        <v>N/A</v>
      </c>
      <c r="CD80" s="272" t="str">
        <f t="shared" si="62"/>
        <v>Porcentaje de avance en el cumplimiento del Plan Estratégico de Tecnologías de la Información y las Comunicaciones PETI.
Para el primer trimestre se tenían programadas 8 actividades de las cuales se cumplieron las 8 actividades. 
Fortalecimiento de los sistemas de información misionales, con un enfoque en la integración e interoperabilidad de datos e informaciónImpulsar la Seguridad digital a través de la adopción del modelo de seguridad y privacidad de la información y de la implementación de un SGSI para la entidad.Fortalecer la seguridad de la información a través de la implementación de controles de seguridad informática y ciberseguridad.Fortalecer la implementación de los controles de protección de datos personales a través de un programa de protección y la adopción de las políticas PDP y privacidad.Fortalecer las funciones de IVC de la SNS a través de la implementación de procedimientos y controles de auditoría a sistemas de información, cadena de custodia y Laboratorio ForenseOptimización de la gestión de la infraestructura tecnológicaFortalecer las capacidades para consolidar iniciativas y alianzas en la Política de Gobierno DigitalImplementación del Plan de formación y capacitación de Tecnologías de la Información y Comunicación (TIC).</v>
      </c>
      <c r="CE80" s="284" t="str">
        <f t="shared" si="63"/>
        <v>N/A</v>
      </c>
      <c r="CF80" s="284" t="str">
        <f t="shared" si="64"/>
        <v>N/A</v>
      </c>
      <c r="CG80" s="284" t="str">
        <f t="shared" si="65"/>
        <v>N/A</v>
      </c>
      <c r="CH80" s="272" t="str">
        <f t="shared" si="66"/>
        <v>N/A</v>
      </c>
      <c r="CI80" s="211" t="str">
        <f t="shared" si="67"/>
        <v>N/A</v>
      </c>
      <c r="CJ80" s="211" t="str">
        <f t="shared" si="68"/>
        <v>N/A</v>
      </c>
      <c r="CK80" s="211" t="str">
        <f t="shared" si="69"/>
        <v>N/A</v>
      </c>
      <c r="CL80" s="211" t="str">
        <f t="shared" si="70"/>
        <v>N/A</v>
      </c>
      <c r="CM80" s="211" t="str">
        <f t="shared" si="71"/>
        <v>N/A</v>
      </c>
      <c r="CO80" s="211" t="s">
        <v>454</v>
      </c>
      <c r="CP80" s="211" t="s">
        <v>141</v>
      </c>
      <c r="CQ80" s="211" t="s">
        <v>584</v>
      </c>
      <c r="CR80" s="211" t="s">
        <v>585</v>
      </c>
      <c r="CS80" s="211" t="s">
        <v>588</v>
      </c>
      <c r="CT80" s="211" t="s">
        <v>584</v>
      </c>
      <c r="CU80" s="211" t="str">
        <f t="shared" si="72"/>
        <v>N/A</v>
      </c>
      <c r="CV80" s="211" t="str">
        <f t="shared" si="73"/>
        <v>N/A</v>
      </c>
      <c r="CW80" s="211" t="str">
        <f t="shared" si="74"/>
        <v>N/A</v>
      </c>
      <c r="CX80" s="211" t="str">
        <f t="shared" si="75"/>
        <v xml:space="preserve">​En  el periodo de enero a   abril del 2025, el 96,88% (155) de los     reclamos en salud que fueron trasladados por la Delegada de Protección   al Usuario a la Delegada para Operadores Logísticos de Tecnologías en Salud y   Gestores Farmacéuticos  fueron   tramitados y finalizados y el 3,12% (5)    se encuentran en desarrollo.   
</v>
      </c>
      <c r="CY80" s="211" t="str">
        <f t="shared" si="76"/>
        <v>N/A</v>
      </c>
      <c r="CZ80" s="211" t="str">
        <f t="shared" si="77"/>
        <v>N/A</v>
      </c>
      <c r="DA80" s="211" t="str">
        <f t="shared" si="78"/>
        <v>N/A</v>
      </c>
      <c r="DB80" s="211" t="str">
        <f t="shared" si="79"/>
        <v>N/A</v>
      </c>
      <c r="DC80" s="211" t="str">
        <f t="shared" si="80"/>
        <v>N/A</v>
      </c>
      <c r="DD80" s="211" t="str">
        <f t="shared" si="81"/>
        <v>N/A</v>
      </c>
      <c r="DE80" s="211" t="str">
        <f t="shared" si="82"/>
        <v>N/A</v>
      </c>
      <c r="DF80" s="211" t="str">
        <f t="shared" si="83"/>
        <v>N/A</v>
      </c>
    </row>
    <row r="81" spans="1:110" s="211" customFormat="1" ht="229.5">
      <c r="A81" s="348" t="s">
        <v>454</v>
      </c>
      <c r="B81" s="211" t="s">
        <v>141</v>
      </c>
      <c r="C81" s="211" t="s">
        <v>575</v>
      </c>
      <c r="D81" s="211" t="s">
        <v>576</v>
      </c>
      <c r="E81" s="211" t="s">
        <v>577</v>
      </c>
      <c r="F81" s="348" t="s">
        <v>578</v>
      </c>
      <c r="G81" s="211" t="s">
        <v>178</v>
      </c>
      <c r="H81" s="211">
        <v>0.96</v>
      </c>
      <c r="I81" s="323">
        <v>828</v>
      </c>
      <c r="J81" s="323">
        <v>919</v>
      </c>
      <c r="K81" s="288">
        <v>0.900979325353645</v>
      </c>
      <c r="L81" s="211" t="s">
        <v>2967</v>
      </c>
      <c r="M81" s="211" t="b">
        <v>0</v>
      </c>
      <c r="O81" s="209" t="s">
        <v>2832</v>
      </c>
      <c r="P81" s="211" t="s">
        <v>159</v>
      </c>
      <c r="Q81" s="211" t="s">
        <v>160</v>
      </c>
      <c r="T81" s="236" t="s">
        <v>153</v>
      </c>
      <c r="U81" s="269"/>
      <c r="V81" s="269"/>
      <c r="W81" s="269">
        <v>44</v>
      </c>
      <c r="X81" s="269"/>
      <c r="Y81" s="269"/>
      <c r="Z81" s="269">
        <v>45</v>
      </c>
      <c r="AA81" s="269"/>
      <c r="AB81" s="269"/>
      <c r="AC81" s="269">
        <v>54</v>
      </c>
      <c r="AD81" s="269"/>
      <c r="AE81" s="269"/>
      <c r="AF81" s="269">
        <v>30</v>
      </c>
      <c r="AG81" s="269">
        <v>173</v>
      </c>
      <c r="AH81"/>
      <c r="AI81"/>
      <c r="AJ81" s="236" t="s">
        <v>153</v>
      </c>
      <c r="AK81" s="269"/>
      <c r="AL81" s="269"/>
      <c r="AM81" s="269">
        <v>44</v>
      </c>
      <c r="AN81" s="269"/>
      <c r="AO81" s="269"/>
      <c r="AP81" s="269">
        <v>45</v>
      </c>
      <c r="AQ81" s="269"/>
      <c r="AR81" s="269"/>
      <c r="AS81" s="269">
        <v>54</v>
      </c>
      <c r="AT81" s="269"/>
      <c r="AU81" s="269"/>
      <c r="AV81" s="269">
        <v>30</v>
      </c>
      <c r="AW81" s="269">
        <v>173</v>
      </c>
      <c r="AX81" s="236"/>
      <c r="AY81" s="236"/>
      <c r="AZ81" s="236"/>
      <c r="BA81" s="239" t="s">
        <v>1205</v>
      </c>
      <c r="BB81" s="240">
        <f t="shared" si="90"/>
        <v>0</v>
      </c>
      <c r="BC81" s="240">
        <f t="shared" si="91"/>
        <v>0</v>
      </c>
      <c r="BD81" s="240">
        <f t="shared" si="92"/>
        <v>0</v>
      </c>
      <c r="BE81" s="240">
        <f t="shared" si="93"/>
        <v>0</v>
      </c>
      <c r="BF81" s="240">
        <f t="shared" si="94"/>
        <v>0</v>
      </c>
      <c r="BG81" s="240">
        <f t="shared" si="95"/>
        <v>0</v>
      </c>
      <c r="BH81" s="240">
        <f t="shared" si="96"/>
        <v>0</v>
      </c>
      <c r="BI81" s="240">
        <f t="shared" si="97"/>
        <v>0</v>
      </c>
      <c r="BJ81" s="240">
        <f t="shared" si="98"/>
        <v>0</v>
      </c>
      <c r="BK81" s="240">
        <f t="shared" si="84"/>
        <v>39</v>
      </c>
      <c r="BL81" s="240">
        <f t="shared" si="85"/>
        <v>0</v>
      </c>
      <c r="BM81" s="240">
        <f t="shared" si="86"/>
        <v>71</v>
      </c>
      <c r="BN81" s="211">
        <f t="shared" si="99"/>
        <v>0</v>
      </c>
      <c r="BO81" s="236">
        <f t="shared" si="100"/>
        <v>0</v>
      </c>
      <c r="BP81" s="236">
        <f t="shared" si="101"/>
        <v>0</v>
      </c>
      <c r="BQ81" s="236">
        <f t="shared" si="102"/>
        <v>0</v>
      </c>
      <c r="BR81" s="236">
        <f t="shared" si="103"/>
        <v>0</v>
      </c>
      <c r="BS81" s="236">
        <f t="shared" si="104"/>
        <v>0</v>
      </c>
      <c r="BT81" s="236">
        <f t="shared" si="105"/>
        <v>0</v>
      </c>
      <c r="BU81" s="236">
        <f t="shared" si="106"/>
        <v>0</v>
      </c>
      <c r="BV81" s="236">
        <f t="shared" si="107"/>
        <v>0</v>
      </c>
      <c r="BW81" s="236">
        <f t="shared" si="87"/>
        <v>73</v>
      </c>
      <c r="BX81" s="236">
        <f t="shared" si="88"/>
        <v>0</v>
      </c>
      <c r="BY81" s="236">
        <f t="shared" si="89"/>
        <v>73</v>
      </c>
      <c r="BZ81" s="236"/>
      <c r="CA81" s="275" t="s">
        <v>375</v>
      </c>
      <c r="CB81" s="272" t="str">
        <f t="shared" si="60"/>
        <v>N/A</v>
      </c>
      <c r="CC81" s="272" t="str">
        <f t="shared" si="61"/>
        <v>N/A</v>
      </c>
      <c r="CD81" s="272" t="str">
        <f t="shared" si="62"/>
        <v>Porcentaje de actividades ejecutadas en cumplimiento del Plan de Seguridad y Privacidad de la Información y Seguridad Digital
Para el primer trimestre se tenía programada 1 actividad la cual se cumplió. 
Socialización de lineamientos y Herramienta - Gestión de Riesgos de Seguridad y privacidad de la Información y Seguridad Digital
Evidencia: Se adjunta formato DEFT04 con la gestión realizada y los link con los informes realizados para cada actividad</v>
      </c>
      <c r="CE81" s="284" t="str">
        <f t="shared" si="63"/>
        <v>N/A</v>
      </c>
      <c r="CF81" s="284" t="str">
        <f t="shared" si="64"/>
        <v>N/A</v>
      </c>
      <c r="CG81" s="284" t="str">
        <f t="shared" si="65"/>
        <v>N/A</v>
      </c>
      <c r="CH81" s="272" t="str">
        <f t="shared" si="66"/>
        <v>N/A</v>
      </c>
      <c r="CI81" s="211" t="str">
        <f t="shared" si="67"/>
        <v>N/A</v>
      </c>
      <c r="CJ81" s="211" t="str">
        <f t="shared" si="68"/>
        <v>N/A</v>
      </c>
      <c r="CK81" s="211" t="str">
        <f t="shared" si="69"/>
        <v>N/A</v>
      </c>
      <c r="CL81" s="211" t="str">
        <f t="shared" si="70"/>
        <v>N/A</v>
      </c>
      <c r="CM81" s="211" t="str">
        <f>+VLOOKUP(CA81,CT:DF,13,FALSE)</f>
        <v>N/A</v>
      </c>
      <c r="CO81" s="211" t="s">
        <v>454</v>
      </c>
      <c r="CP81" s="211" t="s">
        <v>141</v>
      </c>
      <c r="CQ81" s="211" t="s">
        <v>575</v>
      </c>
      <c r="CR81" s="211" t="s">
        <v>576</v>
      </c>
      <c r="CS81" s="211" t="s">
        <v>2967</v>
      </c>
      <c r="CT81" s="211" t="s">
        <v>575</v>
      </c>
      <c r="CU81" s="211" t="str">
        <f t="shared" si="72"/>
        <v>N/A</v>
      </c>
      <c r="CV81" s="211" t="str">
        <f t="shared" si="73"/>
        <v>N/A</v>
      </c>
      <c r="CW81" s="211" t="str">
        <f t="shared" si="74"/>
        <v>N/A</v>
      </c>
      <c r="CX81" s="211" t="str">
        <f t="shared" si="75"/>
        <v xml:space="preserve">​En  el periodo de enero a   abril del 2025, el  90,10% (828)  de los tramites presentados por los grupos   de valor o de interés a la Delegada para Operadores Logísticos de Tecnologías   en Salud y Gestores Farmacéuticos    fueron tramitados  y  finalizados y  el    9,9 % (91)  se encuentran en   desarrollo.
     Es importante indicar que aunque no se cumplio con el objetivo, la   DOLTS_GF, para el primer cuatrimestres del 2025 presento un incremento de 439   reclamos en comparación con el año anterior    y  asi mismo el número de   funcioarios se encuentra disminuido con respecto al año anterior
</v>
      </c>
      <c r="CY81" s="211" t="str">
        <f t="shared" si="76"/>
        <v>N/A</v>
      </c>
      <c r="CZ81" s="211" t="str">
        <f t="shared" si="77"/>
        <v>N/A</v>
      </c>
      <c r="DA81" s="211" t="str">
        <f t="shared" si="78"/>
        <v>N/A</v>
      </c>
      <c r="DB81" s="211" t="str">
        <f t="shared" si="79"/>
        <v>N/A</v>
      </c>
      <c r="DC81" s="211" t="str">
        <f t="shared" si="80"/>
        <v>N/A</v>
      </c>
      <c r="DD81" s="211" t="str">
        <f t="shared" si="81"/>
        <v>N/A</v>
      </c>
      <c r="DE81" s="211" t="str">
        <f t="shared" si="82"/>
        <v>N/A</v>
      </c>
      <c r="DF81" s="211" t="str">
        <f t="shared" si="83"/>
        <v>N/A</v>
      </c>
    </row>
    <row r="82" spans="1:110" s="211" customFormat="1" ht="178.5">
      <c r="A82" s="348" t="s">
        <v>454</v>
      </c>
      <c r="B82" s="211" t="s">
        <v>141</v>
      </c>
      <c r="C82" s="211" t="s">
        <v>579</v>
      </c>
      <c r="D82" s="211" t="s">
        <v>580</v>
      </c>
      <c r="E82" s="211" t="s">
        <v>581</v>
      </c>
      <c r="F82" s="348" t="s">
        <v>582</v>
      </c>
      <c r="G82" s="211" t="s">
        <v>178</v>
      </c>
      <c r="H82" s="211">
        <v>0.96</v>
      </c>
      <c r="I82" s="323">
        <v>102</v>
      </c>
      <c r="J82" s="323">
        <v>106</v>
      </c>
      <c r="K82" s="288">
        <v>0.96226415094339601</v>
      </c>
      <c r="L82" s="211" t="s">
        <v>583</v>
      </c>
      <c r="M82" s="211" t="b">
        <v>0</v>
      </c>
      <c r="O82" s="209" t="s">
        <v>2832</v>
      </c>
      <c r="P82" s="211" t="s">
        <v>159</v>
      </c>
      <c r="Q82" s="211" t="s">
        <v>160</v>
      </c>
      <c r="T82" s="236" t="s">
        <v>165</v>
      </c>
      <c r="U82" s="269"/>
      <c r="V82" s="269"/>
      <c r="W82" s="269">
        <v>120</v>
      </c>
      <c r="X82" s="269"/>
      <c r="Y82" s="269"/>
      <c r="Z82" s="269">
        <v>140</v>
      </c>
      <c r="AA82" s="269"/>
      <c r="AB82" s="269"/>
      <c r="AC82" s="269">
        <v>140</v>
      </c>
      <c r="AD82" s="269"/>
      <c r="AE82" s="269"/>
      <c r="AF82" s="269">
        <v>120</v>
      </c>
      <c r="AG82" s="269">
        <v>520</v>
      </c>
      <c r="AH82"/>
      <c r="AI82"/>
      <c r="AJ82" s="236" t="s">
        <v>165</v>
      </c>
      <c r="AK82" s="269"/>
      <c r="AL82" s="269"/>
      <c r="AM82" s="269">
        <v>120</v>
      </c>
      <c r="AN82" s="269"/>
      <c r="AO82" s="269"/>
      <c r="AP82" s="269">
        <v>140</v>
      </c>
      <c r="AQ82" s="269"/>
      <c r="AR82" s="269"/>
      <c r="AS82" s="269">
        <v>140</v>
      </c>
      <c r="AT82" s="269"/>
      <c r="AU82" s="269"/>
      <c r="AV82" s="269">
        <v>120</v>
      </c>
      <c r="AW82" s="269">
        <v>520</v>
      </c>
      <c r="AX82" s="236"/>
      <c r="AY82" s="236"/>
      <c r="AZ82" s="236"/>
      <c r="BA82" s="239" t="s">
        <v>1218</v>
      </c>
      <c r="BB82" s="240">
        <f t="shared" si="90"/>
        <v>0</v>
      </c>
      <c r="BC82" s="240">
        <f t="shared" si="91"/>
        <v>0</v>
      </c>
      <c r="BD82" s="240">
        <f t="shared" si="92"/>
        <v>0</v>
      </c>
      <c r="BE82" s="240">
        <f t="shared" si="93"/>
        <v>0</v>
      </c>
      <c r="BF82" s="240">
        <f t="shared" si="94"/>
        <v>0</v>
      </c>
      <c r="BG82" s="240">
        <f t="shared" si="95"/>
        <v>0</v>
      </c>
      <c r="BH82" s="240">
        <f t="shared" si="96"/>
        <v>0</v>
      </c>
      <c r="BI82" s="240">
        <f t="shared" si="97"/>
        <v>0</v>
      </c>
      <c r="BJ82" s="240">
        <f t="shared" si="98"/>
        <v>13</v>
      </c>
      <c r="BK82" s="240">
        <f t="shared" si="84"/>
        <v>0</v>
      </c>
      <c r="BL82" s="240">
        <f t="shared" si="85"/>
        <v>0</v>
      </c>
      <c r="BM82" s="240">
        <f t="shared" si="86"/>
        <v>68</v>
      </c>
      <c r="BN82" s="211">
        <f t="shared" si="99"/>
        <v>0</v>
      </c>
      <c r="BO82" s="236">
        <f t="shared" si="100"/>
        <v>0</v>
      </c>
      <c r="BP82" s="236">
        <f t="shared" si="101"/>
        <v>0</v>
      </c>
      <c r="BQ82" s="236">
        <f t="shared" si="102"/>
        <v>0</v>
      </c>
      <c r="BR82" s="236">
        <f t="shared" si="103"/>
        <v>0</v>
      </c>
      <c r="BS82" s="236">
        <f t="shared" si="104"/>
        <v>0</v>
      </c>
      <c r="BT82" s="236">
        <f t="shared" si="105"/>
        <v>0</v>
      </c>
      <c r="BU82" s="236">
        <f t="shared" si="106"/>
        <v>0</v>
      </c>
      <c r="BV82" s="236">
        <f t="shared" si="107"/>
        <v>77</v>
      </c>
      <c r="BW82" s="236">
        <f t="shared" si="87"/>
        <v>0</v>
      </c>
      <c r="BX82" s="236">
        <f t="shared" si="88"/>
        <v>0</v>
      </c>
      <c r="BY82" s="236">
        <f t="shared" si="89"/>
        <v>77</v>
      </c>
      <c r="BZ82" s="236"/>
      <c r="CA82" s="275" t="s">
        <v>380</v>
      </c>
      <c r="CB82" s="272" t="str">
        <f t="shared" si="60"/>
        <v>N/A</v>
      </c>
      <c r="CC82" s="272" t="str">
        <f t="shared" si="61"/>
        <v>N/A</v>
      </c>
      <c r="CD82" s="272" t="str">
        <f t="shared" si="62"/>
        <v>Porcentaje de actividades ejecutadas en cumplimiento del Plan de Tratamiento de Riesgos de Seguridad y Privacidad de la Información
Para el primer trimestre se tenía programada 1 actividad la cual se cumplió. 
Avanzar en la identificación de activos de información
Evidencia: Se adjunta formato DEFT04 con la gestión realizada y los link con los informes realizados para cada actividad. </v>
      </c>
      <c r="CE82" s="284" t="str">
        <f t="shared" si="63"/>
        <v>N/A</v>
      </c>
      <c r="CF82" s="284" t="str">
        <f t="shared" si="64"/>
        <v>N/A</v>
      </c>
      <c r="CG82" s="284" t="str">
        <f t="shared" si="65"/>
        <v>N/A</v>
      </c>
      <c r="CH82" s="272" t="str">
        <f t="shared" si="66"/>
        <v>N/A</v>
      </c>
      <c r="CI82" s="211" t="str">
        <f t="shared" si="67"/>
        <v>N/A</v>
      </c>
      <c r="CJ82" s="211" t="str">
        <f t="shared" si="68"/>
        <v>N/A</v>
      </c>
      <c r="CK82" s="211" t="str">
        <f t="shared" si="69"/>
        <v>N/A</v>
      </c>
      <c r="CL82" s="211" t="str">
        <f t="shared" si="70"/>
        <v>N/A</v>
      </c>
      <c r="CM82" s="211" t="str">
        <f t="shared" si="71"/>
        <v>N/A</v>
      </c>
      <c r="CO82" s="211" t="s">
        <v>454</v>
      </c>
      <c r="CP82" s="211" t="s">
        <v>141</v>
      </c>
      <c r="CQ82" s="211" t="s">
        <v>579</v>
      </c>
      <c r="CR82" s="211" t="s">
        <v>580</v>
      </c>
      <c r="CS82" s="211" t="s">
        <v>583</v>
      </c>
      <c r="CT82" s="211" t="s">
        <v>579</v>
      </c>
      <c r="CU82" s="211" t="str">
        <f t="shared" si="72"/>
        <v>N/A</v>
      </c>
      <c r="CV82" s="211" t="str">
        <f t="shared" si="73"/>
        <v>N/A</v>
      </c>
      <c r="CW82" s="211" t="str">
        <f t="shared" si="74"/>
        <v>N/A</v>
      </c>
      <c r="CX82" s="211" t="str">
        <f t="shared" si="75"/>
        <v xml:space="preserve">​En  el periodo de enero a   abril del 2025,  el 96,23% (102) de   los   reclamos en salud relacionados   con  falta de oportunidad en la entrega   o entrega incompleta de Tecnologías en salud    fueron  tramitados y  finalizados y el 3,77% (4)  se encuentran en desarrollo.   
</v>
      </c>
      <c r="CY82" s="211" t="str">
        <f t="shared" si="76"/>
        <v>N/A</v>
      </c>
      <c r="CZ82" s="211" t="str">
        <f t="shared" si="77"/>
        <v>N/A</v>
      </c>
      <c r="DA82" s="211" t="str">
        <f t="shared" si="78"/>
        <v>N/A</v>
      </c>
      <c r="DB82" s="211" t="str">
        <f t="shared" si="79"/>
        <v>N/A</v>
      </c>
      <c r="DC82" s="211" t="str">
        <f t="shared" si="80"/>
        <v>N/A</v>
      </c>
      <c r="DD82" s="211" t="str">
        <f t="shared" si="81"/>
        <v>N/A</v>
      </c>
      <c r="DE82" s="211" t="str">
        <f t="shared" si="82"/>
        <v>N/A</v>
      </c>
      <c r="DF82" s="211" t="str">
        <f t="shared" si="83"/>
        <v>N/A</v>
      </c>
    </row>
    <row r="83" spans="1:110" s="211" customFormat="1" ht="409.5">
      <c r="A83" s="348" t="s">
        <v>454</v>
      </c>
      <c r="B83" s="211" t="s">
        <v>141</v>
      </c>
      <c r="C83" s="211" t="s">
        <v>460</v>
      </c>
      <c r="D83" s="211" t="s">
        <v>461</v>
      </c>
      <c r="E83" s="211" t="s">
        <v>462</v>
      </c>
      <c r="F83" s="348" t="s">
        <v>463</v>
      </c>
      <c r="G83" s="211" t="s">
        <v>157</v>
      </c>
      <c r="H83" s="211">
        <v>1</v>
      </c>
      <c r="I83" s="323">
        <v>1</v>
      </c>
      <c r="J83" s="323">
        <v>1</v>
      </c>
      <c r="K83" s="288">
        <v>1</v>
      </c>
      <c r="L83" s="211" t="s">
        <v>574</v>
      </c>
      <c r="M83" s="211" t="b">
        <v>0</v>
      </c>
      <c r="O83" s="209" t="s">
        <v>2832</v>
      </c>
      <c r="P83" s="211" t="s">
        <v>159</v>
      </c>
      <c r="Q83" s="211" t="s">
        <v>160</v>
      </c>
      <c r="T83" s="236" t="s">
        <v>551</v>
      </c>
      <c r="U83" s="269"/>
      <c r="V83" s="269"/>
      <c r="W83" s="269"/>
      <c r="X83" s="269"/>
      <c r="Y83" s="269"/>
      <c r="Z83" s="269">
        <v>643</v>
      </c>
      <c r="AA83" s="269"/>
      <c r="AB83" s="269"/>
      <c r="AC83" s="269"/>
      <c r="AD83" s="269"/>
      <c r="AE83" s="269"/>
      <c r="AF83" s="269">
        <v>531</v>
      </c>
      <c r="AG83" s="269">
        <v>1174</v>
      </c>
      <c r="AH83"/>
      <c r="AI83"/>
      <c r="AJ83" s="236" t="s">
        <v>551</v>
      </c>
      <c r="AK83" s="269"/>
      <c r="AL83" s="269"/>
      <c r="AM83" s="269"/>
      <c r="AN83" s="269"/>
      <c r="AO83" s="269"/>
      <c r="AP83" s="269">
        <v>643</v>
      </c>
      <c r="AQ83" s="269"/>
      <c r="AR83" s="269"/>
      <c r="AS83" s="269"/>
      <c r="AT83" s="269"/>
      <c r="AU83" s="269"/>
      <c r="AV83" s="269">
        <v>531</v>
      </c>
      <c r="AW83" s="269">
        <v>1174</v>
      </c>
      <c r="AX83" s="236"/>
      <c r="AY83" s="236"/>
      <c r="AZ83" s="236"/>
      <c r="BA83" s="239" t="s">
        <v>534</v>
      </c>
      <c r="BB83" s="240">
        <f t="shared" si="90"/>
        <v>0</v>
      </c>
      <c r="BC83" s="240">
        <f t="shared" si="91"/>
        <v>0</v>
      </c>
      <c r="BD83" s="240">
        <f t="shared" si="92"/>
        <v>0</v>
      </c>
      <c r="BE83" s="240">
        <f t="shared" si="93"/>
        <v>0</v>
      </c>
      <c r="BF83" s="240">
        <f t="shared" si="94"/>
        <v>0</v>
      </c>
      <c r="BG83" s="240">
        <f t="shared" si="95"/>
        <v>7</v>
      </c>
      <c r="BH83" s="240">
        <f t="shared" si="96"/>
        <v>0</v>
      </c>
      <c r="BI83" s="240">
        <f t="shared" si="97"/>
        <v>0</v>
      </c>
      <c r="BJ83" s="240">
        <f t="shared" si="98"/>
        <v>0</v>
      </c>
      <c r="BK83" s="240">
        <f t="shared" si="84"/>
        <v>0</v>
      </c>
      <c r="BL83" s="240">
        <f t="shared" si="85"/>
        <v>0</v>
      </c>
      <c r="BM83" s="240">
        <f t="shared" si="86"/>
        <v>7</v>
      </c>
      <c r="BN83" s="211">
        <f t="shared" si="99"/>
        <v>0</v>
      </c>
      <c r="BO83" s="236">
        <f t="shared" si="100"/>
        <v>0</v>
      </c>
      <c r="BP83" s="236">
        <f t="shared" si="101"/>
        <v>0</v>
      </c>
      <c r="BQ83" s="236">
        <f t="shared" si="102"/>
        <v>0</v>
      </c>
      <c r="BR83" s="236">
        <f t="shared" si="103"/>
        <v>0</v>
      </c>
      <c r="BS83" s="236">
        <f t="shared" si="104"/>
        <v>7</v>
      </c>
      <c r="BT83" s="236">
        <f t="shared" si="105"/>
        <v>0</v>
      </c>
      <c r="BU83" s="236">
        <f t="shared" si="106"/>
        <v>0</v>
      </c>
      <c r="BV83" s="236">
        <f t="shared" si="107"/>
        <v>0</v>
      </c>
      <c r="BW83" s="236">
        <f t="shared" si="87"/>
        <v>0</v>
      </c>
      <c r="BX83" s="236">
        <f t="shared" si="88"/>
        <v>0</v>
      </c>
      <c r="BY83" s="236">
        <f t="shared" si="89"/>
        <v>7</v>
      </c>
      <c r="BZ83" s="236"/>
      <c r="CA83" s="275" t="s">
        <v>239</v>
      </c>
      <c r="CB83" s="272" t="str">
        <f t="shared" si="60"/>
        <v>N/A</v>
      </c>
      <c r="CC83" s="272" t="str">
        <f t="shared" si="61"/>
        <v>N/A</v>
      </c>
      <c r="CD83" s="272" t="str">
        <f t="shared" si="62"/>
        <v xml:space="preserve">​
Como resultado de la gestión adelantada durante el primer trimestre de la vigencia en curso, y tenieno en cuenta los compromisos adquiridos por la Subdirección de Analítica, se avanzó en: 
1. Diseño, exposición y aprobación por parte del Comité Directivo de la estrategia de transferencia del conocimiento, la cual tiene como objetivo mitigar la fuga del conocimiento con la transición del personal de la entidad; para ser implementada durante este periodo de tiempo de evaluación. 
2. Primera sesión del Equipo Técnico de Apoyo a la Gestión de Inovación y del Conocimiento. 
3. Implementación del formato PEFT52 Transferencia del Conocimiento, para ser diligenciado por parte de todos los colaboradores de la entidad: https://docs.supersalud.gov.co/PortalWeb/planeacion/AdministracionSIG/PEFT52.docx 
4. Elaboración de tablero de control para el análisis de los resultados obtenidos a partir del ejercicio de diligenciamiento del formulario de Transferencia de Conocimiento. 
5. Estructuración de los repositorios de información para cada una de las dependencias y grupos de trabajo, con el fin de consignar los productos finales en éstos. 
</v>
      </c>
      <c r="CE83" s="284" t="str">
        <f t="shared" si="63"/>
        <v>N/A</v>
      </c>
      <c r="CF83" s="284" t="str">
        <f t="shared" si="64"/>
        <v>N/A</v>
      </c>
      <c r="CG83" s="284" t="str">
        <f t="shared" si="65"/>
        <v>N/A</v>
      </c>
      <c r="CH83" s="272" t="str">
        <f t="shared" si="66"/>
        <v>N/A</v>
      </c>
      <c r="CI83" s="211" t="str">
        <f t="shared" si="67"/>
        <v>N/A</v>
      </c>
      <c r="CJ83" s="211" t="str">
        <f t="shared" si="68"/>
        <v>N/A</v>
      </c>
      <c r="CK83" s="211" t="str">
        <f t="shared" si="69"/>
        <v>N/A</v>
      </c>
      <c r="CL83" s="211" t="str">
        <f t="shared" si="70"/>
        <v>N/A</v>
      </c>
      <c r="CM83" s="211" t="str">
        <f t="shared" si="71"/>
        <v>N/A</v>
      </c>
      <c r="CO83" s="211" t="s">
        <v>454</v>
      </c>
      <c r="CP83" s="211" t="s">
        <v>141</v>
      </c>
      <c r="CQ83" s="211" t="s">
        <v>460</v>
      </c>
      <c r="CR83" s="211" t="s">
        <v>461</v>
      </c>
      <c r="CS83" s="211" t="s">
        <v>574</v>
      </c>
      <c r="CT83" s="211" t="s">
        <v>460</v>
      </c>
      <c r="CU83" s="211" t="str">
        <f t="shared" si="72"/>
        <v>N/A</v>
      </c>
      <c r="CV83" s="211" t="str">
        <f t="shared" si="73"/>
        <v>N/A</v>
      </c>
      <c r="CW83" s="211" t="str">
        <f t="shared" si="74"/>
        <v>N/A</v>
      </c>
      <c r="CX83" s="211" t="str">
        <f t="shared" si="75"/>
        <v xml:space="preserve">​En el marco  PMU sobre medicamentos que lidera la Defensoria del Pueblo para el Departamento de Caldas, se desarrollo socialización y participación por parte del Grupo Tecnico cientifico de la Delegada para Operadores Logisticos de Tecnologias en Salud y Gestores Farmaceuticos, en la actividad participaron 15 asistentes y se desarrollo en la ciudad de Manizalez, de esta manera se da cumplimiento al 100% de lo propuesto en el PAG para el mes de abril 2025
</v>
      </c>
      <c r="CY83" s="211" t="str">
        <f t="shared" si="76"/>
        <v>N/A</v>
      </c>
      <c r="CZ83" s="211" t="str">
        <f t="shared" si="77"/>
        <v>N/A</v>
      </c>
      <c r="DA83" s="211" t="str">
        <f t="shared" si="78"/>
        <v>N/A</v>
      </c>
      <c r="DB83" s="211" t="str">
        <f t="shared" si="79"/>
        <v>N/A</v>
      </c>
      <c r="DC83" s="211" t="str">
        <f t="shared" si="80"/>
        <v>N/A</v>
      </c>
      <c r="DD83" s="211" t="str">
        <f t="shared" si="81"/>
        <v>N/A</v>
      </c>
      <c r="DE83" s="211" t="str">
        <f t="shared" si="82"/>
        <v>N/A</v>
      </c>
      <c r="DF83" s="211" t="str">
        <f t="shared" si="83"/>
        <v>N/A</v>
      </c>
    </row>
    <row r="84" spans="1:110" s="211" customFormat="1" ht="356.25">
      <c r="A84" s="348" t="s">
        <v>454</v>
      </c>
      <c r="B84" s="211" t="s">
        <v>141</v>
      </c>
      <c r="C84" s="211" t="s">
        <v>466</v>
      </c>
      <c r="D84" s="211" t="s">
        <v>467</v>
      </c>
      <c r="E84" s="211" t="s">
        <v>468</v>
      </c>
      <c r="F84" s="348" t="s">
        <v>469</v>
      </c>
      <c r="G84" s="211" t="s">
        <v>157</v>
      </c>
      <c r="H84" s="211">
        <v>2</v>
      </c>
      <c r="I84" s="323">
        <v>2</v>
      </c>
      <c r="J84" s="323">
        <v>2</v>
      </c>
      <c r="K84" s="288">
        <v>1</v>
      </c>
      <c r="L84" s="211" t="s">
        <v>589</v>
      </c>
      <c r="M84" s="211" t="b">
        <v>1</v>
      </c>
      <c r="N84" s="211" t="s">
        <v>590</v>
      </c>
      <c r="O84" s="209" t="s">
        <v>2832</v>
      </c>
      <c r="P84" s="211" t="s">
        <v>159</v>
      </c>
      <c r="Q84" s="211" t="s">
        <v>160</v>
      </c>
      <c r="T84" s="236" t="s">
        <v>556</v>
      </c>
      <c r="U84" s="269"/>
      <c r="V84" s="269"/>
      <c r="W84" s="269"/>
      <c r="X84" s="269"/>
      <c r="Y84" s="269"/>
      <c r="Z84" s="269">
        <v>7</v>
      </c>
      <c r="AA84" s="269"/>
      <c r="AB84" s="269"/>
      <c r="AC84" s="269"/>
      <c r="AD84" s="269"/>
      <c r="AE84" s="269"/>
      <c r="AF84" s="269">
        <v>7</v>
      </c>
      <c r="AG84" s="269">
        <v>14</v>
      </c>
      <c r="AH84"/>
      <c r="AI84"/>
      <c r="AJ84" s="236" t="s">
        <v>556</v>
      </c>
      <c r="AK84" s="269"/>
      <c r="AL84" s="269"/>
      <c r="AM84" s="269"/>
      <c r="AN84" s="269"/>
      <c r="AO84" s="269"/>
      <c r="AP84" s="269">
        <v>7</v>
      </c>
      <c r="AQ84" s="269"/>
      <c r="AR84" s="269"/>
      <c r="AS84" s="269"/>
      <c r="AT84" s="269"/>
      <c r="AU84" s="269"/>
      <c r="AV84" s="269">
        <v>7</v>
      </c>
      <c r="AW84" s="269">
        <v>14</v>
      </c>
      <c r="AX84" s="236"/>
      <c r="AY84" s="236"/>
      <c r="AZ84" s="236"/>
      <c r="BA84" s="239" t="s">
        <v>536</v>
      </c>
      <c r="BB84" s="240">
        <f t="shared" si="90"/>
        <v>0</v>
      </c>
      <c r="BC84" s="240">
        <f t="shared" si="91"/>
        <v>0</v>
      </c>
      <c r="BD84" s="240">
        <f t="shared" si="92"/>
        <v>0</v>
      </c>
      <c r="BE84" s="240">
        <f t="shared" si="93"/>
        <v>0</v>
      </c>
      <c r="BF84" s="240">
        <f t="shared" si="94"/>
        <v>0</v>
      </c>
      <c r="BG84" s="240">
        <f t="shared" si="95"/>
        <v>7</v>
      </c>
      <c r="BH84" s="240">
        <f t="shared" si="96"/>
        <v>0</v>
      </c>
      <c r="BI84" s="240">
        <f t="shared" si="97"/>
        <v>0</v>
      </c>
      <c r="BJ84" s="240">
        <f t="shared" si="98"/>
        <v>0</v>
      </c>
      <c r="BK84" s="240">
        <f t="shared" si="84"/>
        <v>0</v>
      </c>
      <c r="BL84" s="240">
        <f t="shared" si="85"/>
        <v>0</v>
      </c>
      <c r="BM84" s="240">
        <f t="shared" si="86"/>
        <v>7</v>
      </c>
      <c r="BN84" s="211">
        <f t="shared" si="99"/>
        <v>0</v>
      </c>
      <c r="BO84" s="236">
        <f t="shared" si="100"/>
        <v>0</v>
      </c>
      <c r="BP84" s="236">
        <f t="shared" si="101"/>
        <v>0</v>
      </c>
      <c r="BQ84" s="236">
        <f t="shared" si="102"/>
        <v>0</v>
      </c>
      <c r="BR84" s="236">
        <f t="shared" si="103"/>
        <v>0</v>
      </c>
      <c r="BS84" s="236">
        <f t="shared" si="104"/>
        <v>7</v>
      </c>
      <c r="BT84" s="236">
        <f t="shared" si="105"/>
        <v>0</v>
      </c>
      <c r="BU84" s="236">
        <f t="shared" si="106"/>
        <v>0</v>
      </c>
      <c r="BV84" s="236">
        <f t="shared" si="107"/>
        <v>0</v>
      </c>
      <c r="BW84" s="236">
        <f t="shared" si="87"/>
        <v>0</v>
      </c>
      <c r="BX84" s="236">
        <f t="shared" si="88"/>
        <v>0</v>
      </c>
      <c r="BY84" s="236">
        <f t="shared" si="89"/>
        <v>7</v>
      </c>
      <c r="BZ84" s="236"/>
      <c r="CA84" s="275" t="s">
        <v>358</v>
      </c>
      <c r="CB84" s="272" t="str">
        <f t="shared" si="60"/>
        <v>N/A</v>
      </c>
      <c r="CC84" s="272" t="str">
        <f t="shared" si="61"/>
        <v>N/A</v>
      </c>
      <c r="CD84" s="272" t="str">
        <f t="shared" si="62"/>
        <v xml:space="preserve">Durante el periodo reportado, se avanzó significativamente en el diseño del Programa de Gestión del Conocimiento y de la Innovación para la vigencia 2025, el cual constituye uno de los componentes estratégicos de la Superintendencia Nacional de Salud. Este instrumento articula de manera estructurada las acciones orientadas a la implementación y sostenibilidad de la política de gestión y desempeño institucional en materia de conocimiento e innovación.
Este programa incluye líneas de acción concretas relacionadas con procesos de capacitación técnica y misional, estrategias orientadas al fortalecimiento del desempeño institucional en el marco de la medición FURAG, la formulación y seguimiento de indicadores de innovación, así como el desarrollo de actividades para la articulación interdependencias. Además, se han identificado temáticas prioritarias para la formulación de proyectos que permitan movilizar capacidades internas y aprovechar el conocimiento existente, contribuyendo de forma directa a la mejora continua de la gestión pública en salud.
</v>
      </c>
      <c r="CE84" s="284" t="str">
        <f t="shared" si="63"/>
        <v>N/A</v>
      </c>
      <c r="CF84" s="284" t="str">
        <f t="shared" si="64"/>
        <v>N/A</v>
      </c>
      <c r="CG84" s="284" t="str">
        <f t="shared" si="65"/>
        <v>N/A</v>
      </c>
      <c r="CH84" s="272" t="str">
        <f t="shared" si="66"/>
        <v>N/A</v>
      </c>
      <c r="CI84" s="211" t="str">
        <f t="shared" si="67"/>
        <v>N/A</v>
      </c>
      <c r="CJ84" s="211" t="str">
        <f t="shared" si="68"/>
        <v>N/A</v>
      </c>
      <c r="CK84" s="211" t="str">
        <f t="shared" si="69"/>
        <v>N/A</v>
      </c>
      <c r="CL84" s="211" t="str">
        <f t="shared" si="70"/>
        <v>N/A</v>
      </c>
      <c r="CM84" s="211" t="str">
        <f t="shared" si="71"/>
        <v>N/A</v>
      </c>
      <c r="CO84" s="211" t="s">
        <v>454</v>
      </c>
      <c r="CP84" s="211" t="s">
        <v>141</v>
      </c>
      <c r="CQ84" s="211" t="s">
        <v>466</v>
      </c>
      <c r="CR84" s="211" t="s">
        <v>467</v>
      </c>
      <c r="CS84" s="211" t="s">
        <v>589</v>
      </c>
      <c r="CT84" s="211" t="s">
        <v>466</v>
      </c>
      <c r="CU84" s="211" t="str">
        <f t="shared" si="72"/>
        <v>N/A</v>
      </c>
      <c r="CV84" s="211" t="str">
        <f t="shared" si="73"/>
        <v>N/A</v>
      </c>
      <c r="CW84" s="211" t="str">
        <f t="shared" si="74"/>
        <v>N/A</v>
      </c>
      <c r="CX84" s="211" t="str">
        <f t="shared" si="75"/>
        <v xml:space="preserve">​Se realizaron 2 actividades de acompañamiento a las Direcciones Regionales en actividades de IVC a los Gestores Farmacéuticos  Discolmets y Audifarma en la ciudad de Duitama, perteneciente a la regional Nororiental   estas acciones son fundamentales en el cumplimiento de las funciones de IVC de nuestra Delegada, se da cumplimiento al 100% de lo planteado en el PAG para abril 2025.
</v>
      </c>
      <c r="CY84" s="211" t="str">
        <f t="shared" si="76"/>
        <v>N/A</v>
      </c>
      <c r="CZ84" s="211" t="str">
        <f t="shared" si="77"/>
        <v>N/A</v>
      </c>
      <c r="DA84" s="211" t="str">
        <f t="shared" si="78"/>
        <v>N/A</v>
      </c>
      <c r="DB84" s="211" t="str">
        <f t="shared" si="79"/>
        <v>N/A</v>
      </c>
      <c r="DC84" s="211" t="str">
        <f t="shared" si="80"/>
        <v>N/A</v>
      </c>
      <c r="DD84" s="211" t="str">
        <f t="shared" si="81"/>
        <v>N/A</v>
      </c>
      <c r="DE84" s="211" t="str">
        <f t="shared" si="82"/>
        <v>N/A</v>
      </c>
      <c r="DF84" s="211" t="str">
        <f t="shared" si="83"/>
        <v>N/A</v>
      </c>
    </row>
    <row r="85" spans="1:110" s="211" customFormat="1" ht="204">
      <c r="A85" s="348" t="s">
        <v>238</v>
      </c>
      <c r="B85" s="211" t="s">
        <v>141</v>
      </c>
      <c r="C85" s="211" t="s">
        <v>1320</v>
      </c>
      <c r="D85" s="211" t="s">
        <v>1325</v>
      </c>
      <c r="E85" s="211" t="s">
        <v>1326</v>
      </c>
      <c r="F85" s="348" t="s">
        <v>2808</v>
      </c>
      <c r="G85" s="211" t="s">
        <v>178</v>
      </c>
      <c r="H85" s="211">
        <v>0.33300000000000002</v>
      </c>
      <c r="I85" s="434">
        <v>0.33</v>
      </c>
      <c r="J85" s="434">
        <v>1</v>
      </c>
      <c r="K85" s="288">
        <v>0.33</v>
      </c>
      <c r="L85" s="211" t="s">
        <v>2968</v>
      </c>
      <c r="M85" s="211" t="b">
        <v>0</v>
      </c>
      <c r="O85" s="209" t="s">
        <v>2832</v>
      </c>
      <c r="P85" s="211" t="s">
        <v>159</v>
      </c>
      <c r="Q85" s="211" t="s">
        <v>160</v>
      </c>
      <c r="T85" s="236" t="s">
        <v>480</v>
      </c>
      <c r="U85" s="269"/>
      <c r="V85" s="269"/>
      <c r="W85" s="269">
        <v>11</v>
      </c>
      <c r="X85" s="269"/>
      <c r="Y85" s="269"/>
      <c r="Z85" s="269">
        <v>19</v>
      </c>
      <c r="AA85" s="269"/>
      <c r="AB85" s="269"/>
      <c r="AC85" s="269">
        <v>11</v>
      </c>
      <c r="AD85" s="269"/>
      <c r="AE85" s="269"/>
      <c r="AF85" s="269">
        <v>22</v>
      </c>
      <c r="AG85" s="269">
        <v>63</v>
      </c>
      <c r="AH85"/>
      <c r="AI85"/>
      <c r="AJ85" s="236" t="s">
        <v>480</v>
      </c>
      <c r="AK85" s="269"/>
      <c r="AL85" s="269"/>
      <c r="AM85" s="269">
        <v>11</v>
      </c>
      <c r="AN85" s="269"/>
      <c r="AO85" s="269"/>
      <c r="AP85" s="269">
        <v>19</v>
      </c>
      <c r="AQ85" s="269"/>
      <c r="AR85" s="269"/>
      <c r="AS85" s="269">
        <v>11</v>
      </c>
      <c r="AT85" s="269"/>
      <c r="AU85" s="269"/>
      <c r="AV85" s="269">
        <v>22</v>
      </c>
      <c r="AW85" s="269">
        <v>63</v>
      </c>
      <c r="AX85" s="236"/>
      <c r="AY85" s="236"/>
      <c r="AZ85" s="236"/>
      <c r="BA85" s="239" t="s">
        <v>174</v>
      </c>
      <c r="BB85" s="240">
        <f t="shared" si="90"/>
        <v>0</v>
      </c>
      <c r="BC85" s="240">
        <f t="shared" si="91"/>
        <v>0</v>
      </c>
      <c r="BD85" s="240">
        <f t="shared" si="92"/>
        <v>2195</v>
      </c>
      <c r="BE85" s="240">
        <f t="shared" si="93"/>
        <v>0</v>
      </c>
      <c r="BF85" s="240">
        <f t="shared" si="94"/>
        <v>0</v>
      </c>
      <c r="BG85" s="240">
        <f t="shared" si="95"/>
        <v>2125</v>
      </c>
      <c r="BH85" s="240">
        <f t="shared" si="96"/>
        <v>0</v>
      </c>
      <c r="BI85" s="240">
        <f t="shared" si="97"/>
        <v>0</v>
      </c>
      <c r="BJ85" s="240">
        <f t="shared" si="98"/>
        <v>166</v>
      </c>
      <c r="BK85" s="240">
        <f t="shared" si="84"/>
        <v>0</v>
      </c>
      <c r="BL85" s="240">
        <f t="shared" si="85"/>
        <v>0</v>
      </c>
      <c r="BM85" s="240">
        <f t="shared" si="86"/>
        <v>2737</v>
      </c>
      <c r="BN85" s="211">
        <f t="shared" si="99"/>
        <v>0</v>
      </c>
      <c r="BO85" s="236">
        <f t="shared" si="100"/>
        <v>0</v>
      </c>
      <c r="BP85" s="236">
        <f t="shared" si="101"/>
        <v>2195</v>
      </c>
      <c r="BQ85" s="236">
        <f t="shared" si="102"/>
        <v>0</v>
      </c>
      <c r="BR85" s="236">
        <f t="shared" si="103"/>
        <v>0</v>
      </c>
      <c r="BS85" s="236">
        <f t="shared" si="104"/>
        <v>2125</v>
      </c>
      <c r="BT85" s="236">
        <f t="shared" si="105"/>
        <v>0</v>
      </c>
      <c r="BU85" s="236">
        <f t="shared" si="106"/>
        <v>0</v>
      </c>
      <c r="BV85" s="236">
        <f t="shared" si="107"/>
        <v>166</v>
      </c>
      <c r="BW85" s="236">
        <f t="shared" si="87"/>
        <v>0</v>
      </c>
      <c r="BX85" s="236">
        <f t="shared" si="88"/>
        <v>0</v>
      </c>
      <c r="BY85" s="236">
        <f t="shared" si="89"/>
        <v>2737</v>
      </c>
      <c r="BZ85" s="236"/>
      <c r="CA85" s="275" t="s">
        <v>1306</v>
      </c>
      <c r="CB85" s="272" t="str">
        <f t="shared" si="60"/>
        <v>N/A</v>
      </c>
      <c r="CC85" s="272" t="str">
        <f t="shared" si="61"/>
        <v>N/A</v>
      </c>
      <c r="CD85" s="272" t="str">
        <f t="shared" si="62"/>
        <v>N/A</v>
      </c>
      <c r="CE85" s="284" t="str">
        <f t="shared" si="63"/>
        <v>N/A</v>
      </c>
      <c r="CF85" s="284" t="str">
        <f t="shared" si="64"/>
        <v>N/A</v>
      </c>
      <c r="CG85" s="284" t="str">
        <f t="shared" si="65"/>
        <v>N/A</v>
      </c>
      <c r="CH85" s="272" t="str">
        <f t="shared" si="66"/>
        <v>N/A</v>
      </c>
      <c r="CI85" s="211" t="str">
        <f t="shared" si="67"/>
        <v>N/A</v>
      </c>
      <c r="CJ85" s="211" t="str">
        <f t="shared" si="68"/>
        <v xml:space="preserve">​Para la implementación del Programa de Gestión del Conocimiento, se avanzó en el envío a la Oficina Asesora de Planeación de una serie de documentos para formalizar este proceso. En el correo adjunto se puede evidenciar las solicitudes y documentos anexados.
</v>
      </c>
      <c r="CK85" s="211" t="str">
        <f t="shared" si="69"/>
        <v>N/A</v>
      </c>
      <c r="CL85" s="211" t="str">
        <f t="shared" si="70"/>
        <v>N/A</v>
      </c>
      <c r="CM85" s="211" t="str">
        <f t="shared" si="71"/>
        <v>N/A</v>
      </c>
      <c r="CO85" s="211" t="s">
        <v>238</v>
      </c>
      <c r="CP85" s="211" t="s">
        <v>141</v>
      </c>
      <c r="CQ85" s="211" t="s">
        <v>1320</v>
      </c>
      <c r="CR85" s="211" t="s">
        <v>1325</v>
      </c>
      <c r="CS85" s="211" t="s">
        <v>2968</v>
      </c>
      <c r="CT85" s="211" t="s">
        <v>1320</v>
      </c>
      <c r="CU85" s="211" t="str">
        <f t="shared" si="72"/>
        <v>N/A</v>
      </c>
      <c r="CV85" s="211" t="str">
        <f t="shared" si="73"/>
        <v>N/A</v>
      </c>
      <c r="CW85" s="211" t="str">
        <f t="shared" si="74"/>
        <v>N/A</v>
      </c>
      <c r="CX85" s="211" t="str">
        <f t="shared" si="75"/>
        <v xml:space="preserve">En el marco de las acciones orientadas al fortalecimiento de la caracterización de los grupos de interés y de valor, y en concordancia con las funciones asignadas a la Dirección de Innovación y Desarrollo, se adjudicó un contrato al señor Jaiver Estupiñán. Esta contratación es resultado de la hackatón realizada en 2024, y tiene como objeto la actualización y automatización de las fichas de caracterización de tres grupos de vigilados.
El contrato inició su ejecución en la vigencia actual, y se anexa a este reporte el acta de inicio, el plan de trabajo y el acta del evento de kick-off, como evidencia del avance en la implementación.
</v>
      </c>
      <c r="CY85" s="211" t="str">
        <f t="shared" si="76"/>
        <v>N/A</v>
      </c>
      <c r="CZ85" s="211" t="str">
        <f t="shared" si="77"/>
        <v>N/A</v>
      </c>
      <c r="DA85" s="211" t="str">
        <f t="shared" si="78"/>
        <v>N/A</v>
      </c>
      <c r="DB85" s="211" t="str">
        <f t="shared" si="79"/>
        <v>N/A</v>
      </c>
      <c r="DC85" s="211" t="str">
        <f t="shared" si="80"/>
        <v>N/A</v>
      </c>
      <c r="DD85" s="211" t="str">
        <f t="shared" si="81"/>
        <v>N/A</v>
      </c>
      <c r="DE85" s="211" t="str">
        <f t="shared" si="82"/>
        <v>N/A</v>
      </c>
      <c r="DF85" s="211" t="str">
        <f t="shared" si="83"/>
        <v>N/A</v>
      </c>
    </row>
    <row r="86" spans="1:110" s="211" customFormat="1" ht="199.5">
      <c r="A86" s="348" t="s">
        <v>317</v>
      </c>
      <c r="B86" s="211" t="s">
        <v>141</v>
      </c>
      <c r="C86" s="211" t="s">
        <v>324</v>
      </c>
      <c r="D86" s="211" t="s">
        <v>325</v>
      </c>
      <c r="E86" s="211" t="s">
        <v>326</v>
      </c>
      <c r="F86" s="348" t="s">
        <v>327</v>
      </c>
      <c r="G86" s="211" t="s">
        <v>157</v>
      </c>
      <c r="H86" s="211">
        <v>1</v>
      </c>
      <c r="I86" s="323">
        <v>1</v>
      </c>
      <c r="J86" s="323">
        <v>1</v>
      </c>
      <c r="K86" s="288">
        <v>1</v>
      </c>
      <c r="L86" s="211" t="s">
        <v>533</v>
      </c>
      <c r="M86" s="211" t="b">
        <v>0</v>
      </c>
      <c r="O86" s="209" t="s">
        <v>2832</v>
      </c>
      <c r="P86" s="211" t="s">
        <v>159</v>
      </c>
      <c r="Q86" s="211" t="s">
        <v>160</v>
      </c>
      <c r="T86" s="236" t="s">
        <v>486</v>
      </c>
      <c r="U86" s="269"/>
      <c r="V86" s="269"/>
      <c r="W86" s="269">
        <v>1</v>
      </c>
      <c r="X86" s="269"/>
      <c r="Y86" s="269"/>
      <c r="Z86" s="269">
        <v>1</v>
      </c>
      <c r="AA86" s="269"/>
      <c r="AB86" s="269"/>
      <c r="AC86" s="269">
        <v>1</v>
      </c>
      <c r="AD86" s="269"/>
      <c r="AE86" s="269"/>
      <c r="AF86" s="269">
        <v>52</v>
      </c>
      <c r="AG86" s="269">
        <v>55</v>
      </c>
      <c r="AH86"/>
      <c r="AI86"/>
      <c r="AJ86" s="236" t="s">
        <v>486</v>
      </c>
      <c r="AK86" s="269"/>
      <c r="AL86" s="269"/>
      <c r="AM86" s="269">
        <v>1</v>
      </c>
      <c r="AN86" s="269"/>
      <c r="AO86" s="269"/>
      <c r="AP86" s="269">
        <v>1</v>
      </c>
      <c r="AQ86" s="269"/>
      <c r="AR86" s="269"/>
      <c r="AS86" s="269">
        <v>1</v>
      </c>
      <c r="AT86" s="269"/>
      <c r="AU86" s="269"/>
      <c r="AV86" s="269">
        <v>52</v>
      </c>
      <c r="AW86" s="269">
        <v>55</v>
      </c>
      <c r="AX86" s="236"/>
      <c r="AY86" s="236"/>
      <c r="AZ86" s="236"/>
      <c r="BA86" s="239" t="s">
        <v>183</v>
      </c>
      <c r="BB86" s="240">
        <f t="shared" si="90"/>
        <v>0</v>
      </c>
      <c r="BC86" s="240">
        <f t="shared" si="91"/>
        <v>0</v>
      </c>
      <c r="BD86" s="240">
        <f t="shared" si="92"/>
        <v>377</v>
      </c>
      <c r="BE86" s="240">
        <f t="shared" si="93"/>
        <v>0</v>
      </c>
      <c r="BF86" s="240">
        <f t="shared" si="94"/>
        <v>0</v>
      </c>
      <c r="BG86" s="240">
        <f t="shared" si="95"/>
        <v>87</v>
      </c>
      <c r="BH86" s="240">
        <f t="shared" si="96"/>
        <v>0</v>
      </c>
      <c r="BI86" s="240">
        <f t="shared" si="97"/>
        <v>0</v>
      </c>
      <c r="BJ86" s="240">
        <f t="shared" si="98"/>
        <v>166</v>
      </c>
      <c r="BK86" s="240">
        <f t="shared" si="84"/>
        <v>0</v>
      </c>
      <c r="BL86" s="240">
        <f t="shared" si="85"/>
        <v>0</v>
      </c>
      <c r="BM86" s="240">
        <f t="shared" si="86"/>
        <v>0</v>
      </c>
      <c r="BN86" s="211">
        <f t="shared" si="99"/>
        <v>0</v>
      </c>
      <c r="BO86" s="236">
        <f t="shared" si="100"/>
        <v>0</v>
      </c>
      <c r="BP86" s="236">
        <f t="shared" si="101"/>
        <v>377</v>
      </c>
      <c r="BQ86" s="236">
        <f t="shared" si="102"/>
        <v>0</v>
      </c>
      <c r="BR86" s="236">
        <f t="shared" si="103"/>
        <v>0</v>
      </c>
      <c r="BS86" s="236">
        <f t="shared" si="104"/>
        <v>87</v>
      </c>
      <c r="BT86" s="236">
        <f t="shared" si="105"/>
        <v>0</v>
      </c>
      <c r="BU86" s="236">
        <f t="shared" si="106"/>
        <v>0</v>
      </c>
      <c r="BV86" s="236">
        <f t="shared" si="107"/>
        <v>166</v>
      </c>
      <c r="BW86" s="236">
        <f t="shared" si="87"/>
        <v>0</v>
      </c>
      <c r="BX86" s="236">
        <f t="shared" si="88"/>
        <v>0</v>
      </c>
      <c r="BY86" s="236">
        <f t="shared" si="89"/>
        <v>0</v>
      </c>
      <c r="BZ86" s="236"/>
      <c r="CA86" s="275" t="s">
        <v>1313</v>
      </c>
      <c r="CB86" s="272" t="str">
        <f t="shared" si="60"/>
        <v>N/A</v>
      </c>
      <c r="CC86" s="272" t="str">
        <f t="shared" si="61"/>
        <v>N/A</v>
      </c>
      <c r="CD86" s="272" t="str">
        <f t="shared" si="62"/>
        <v>N/A</v>
      </c>
      <c r="CE86" s="284" t="str">
        <f t="shared" si="63"/>
        <v>N/A</v>
      </c>
      <c r="CF86" s="284" t="str">
        <f t="shared" si="64"/>
        <v>N/A</v>
      </c>
      <c r="CG86" s="284" t="str">
        <f t="shared" si="65"/>
        <v>N/A</v>
      </c>
      <c r="CH86" s="272" t="str">
        <f t="shared" si="66"/>
        <v xml:space="preserve">​ El proyecto Rilco para el 2025 tiene la particularidad que se contrató un tercero externo la Universidad Nacional de Colombia y que se encargará de adelantaran todas las fases del proceso. Anteriormente la Universidad Nacional solo se encargaba de la prueba de conocimiento. El acta de inicio se firmó el 1 de mayo. Una I fase es la Verificación de Requisitos Mínimos- VRM durante el periodo de mayo a junio y se inició con el proceso y divulgación de la inscripción de los participantes a la convocatoria en la pagina web de la supersalud.
</v>
      </c>
      <c r="CI86" s="211" t="str">
        <f t="shared" si="67"/>
        <v>N/A</v>
      </c>
      <c r="CJ86" s="211" t="str">
        <f t="shared" si="68"/>
        <v>N/A</v>
      </c>
      <c r="CK86" s="211" t="str">
        <f t="shared" si="69"/>
        <v>N/A</v>
      </c>
      <c r="CL86" s="211" t="str">
        <f t="shared" si="70"/>
        <v>N/A</v>
      </c>
      <c r="CM86" s="211" t="str">
        <f t="shared" si="71"/>
        <v>N/A</v>
      </c>
      <c r="CO86" s="211" t="s">
        <v>317</v>
      </c>
      <c r="CP86" s="211" t="s">
        <v>141</v>
      </c>
      <c r="CQ86" s="211" t="s">
        <v>324</v>
      </c>
      <c r="CR86" s="211" t="s">
        <v>325</v>
      </c>
      <c r="CS86" s="211" t="s">
        <v>533</v>
      </c>
      <c r="CT86" s="211" t="s">
        <v>324</v>
      </c>
      <c r="CU86" s="211" t="str">
        <f t="shared" si="72"/>
        <v>N/A</v>
      </c>
      <c r="CV86" s="211" t="str">
        <f t="shared" si="73"/>
        <v>N/A</v>
      </c>
      <c r="CW86" s="211" t="str">
        <f t="shared" si="74"/>
        <v>N/A</v>
      </c>
      <c r="CX86" s="211" t="str">
        <f t="shared" si="75"/>
        <v xml:space="preserve">​En el boletín jurídico del primer trimestre del año 2025, se realizó una publicación de conceptos de interés para el publico en general como las oficinas de atención al usuario, la cobertura del SOAT y el manual de identidad de la Superintendencia 
</v>
      </c>
      <c r="CY86" s="211" t="str">
        <f t="shared" si="76"/>
        <v>N/A</v>
      </c>
      <c r="CZ86" s="211" t="str">
        <f t="shared" si="77"/>
        <v>N/A</v>
      </c>
      <c r="DA86" s="211" t="str">
        <f t="shared" si="78"/>
        <v>N/A</v>
      </c>
      <c r="DB86" s="211" t="str">
        <f t="shared" si="79"/>
        <v>N/A</v>
      </c>
      <c r="DC86" s="211" t="str">
        <f t="shared" si="80"/>
        <v>N/A</v>
      </c>
      <c r="DD86" s="211" t="str">
        <f t="shared" si="81"/>
        <v>N/A</v>
      </c>
      <c r="DE86" s="211" t="str">
        <f t="shared" si="82"/>
        <v>N/A</v>
      </c>
      <c r="DF86" s="211" t="str">
        <f t="shared" si="83"/>
        <v>N/A</v>
      </c>
    </row>
    <row r="87" spans="1:110" s="211" customFormat="1" ht="210">
      <c r="A87" s="348" t="s">
        <v>317</v>
      </c>
      <c r="B87" s="211" t="s">
        <v>141</v>
      </c>
      <c r="C87" s="211" t="s">
        <v>330</v>
      </c>
      <c r="D87" s="211" t="s">
        <v>331</v>
      </c>
      <c r="E87" s="211" t="s">
        <v>332</v>
      </c>
      <c r="F87" s="348" t="s">
        <v>333</v>
      </c>
      <c r="G87" s="211" t="s">
        <v>157</v>
      </c>
      <c r="H87" s="211">
        <v>1</v>
      </c>
      <c r="I87" s="323">
        <v>1</v>
      </c>
      <c r="J87" s="323">
        <v>1</v>
      </c>
      <c r="K87" s="288">
        <f>+I87/J87</f>
        <v>1</v>
      </c>
      <c r="L87" s="211" t="s">
        <v>535</v>
      </c>
      <c r="M87" s="211" t="b">
        <v>0</v>
      </c>
      <c r="O87" s="209" t="s">
        <v>2832</v>
      </c>
      <c r="P87" s="211" t="s">
        <v>159</v>
      </c>
      <c r="Q87" s="211" t="s">
        <v>160</v>
      </c>
      <c r="T87" s="236" t="s">
        <v>492</v>
      </c>
      <c r="U87" s="269"/>
      <c r="V87" s="269"/>
      <c r="W87" s="269">
        <v>14</v>
      </c>
      <c r="X87" s="269"/>
      <c r="Y87" s="269"/>
      <c r="Z87" s="269">
        <v>27</v>
      </c>
      <c r="AA87" s="269"/>
      <c r="AB87" s="269"/>
      <c r="AC87" s="269">
        <v>11</v>
      </c>
      <c r="AD87" s="269"/>
      <c r="AE87" s="269"/>
      <c r="AF87" s="269">
        <v>35</v>
      </c>
      <c r="AG87" s="269">
        <v>87</v>
      </c>
      <c r="AH87"/>
      <c r="AI87"/>
      <c r="AJ87" s="236" t="s">
        <v>492</v>
      </c>
      <c r="AK87" s="269"/>
      <c r="AL87" s="269"/>
      <c r="AM87" s="269">
        <v>14</v>
      </c>
      <c r="AN87" s="269"/>
      <c r="AO87" s="269"/>
      <c r="AP87" s="269">
        <v>27</v>
      </c>
      <c r="AQ87" s="269"/>
      <c r="AR87" s="269"/>
      <c r="AS87" s="269">
        <v>11</v>
      </c>
      <c r="AT87" s="269"/>
      <c r="AU87" s="269"/>
      <c r="AV87" s="269">
        <v>35</v>
      </c>
      <c r="AW87" s="269">
        <v>87</v>
      </c>
      <c r="AX87" s="236"/>
      <c r="AY87" s="236"/>
      <c r="AZ87" s="236"/>
      <c r="BA87" s="239" t="s">
        <v>153</v>
      </c>
      <c r="BB87" s="240">
        <f t="shared" si="90"/>
        <v>0</v>
      </c>
      <c r="BC87" s="240">
        <f t="shared" si="91"/>
        <v>0</v>
      </c>
      <c r="BD87" s="240">
        <f t="shared" si="92"/>
        <v>44</v>
      </c>
      <c r="BE87" s="240">
        <f t="shared" si="93"/>
        <v>0</v>
      </c>
      <c r="BF87" s="240">
        <f t="shared" si="94"/>
        <v>0</v>
      </c>
      <c r="BG87" s="240">
        <f t="shared" si="95"/>
        <v>45</v>
      </c>
      <c r="BH87" s="240">
        <f t="shared" si="96"/>
        <v>0</v>
      </c>
      <c r="BI87" s="240">
        <f t="shared" si="97"/>
        <v>0</v>
      </c>
      <c r="BJ87" s="240">
        <f t="shared" si="98"/>
        <v>54</v>
      </c>
      <c r="BK87" s="240">
        <f t="shared" si="84"/>
        <v>0</v>
      </c>
      <c r="BL87" s="240">
        <f t="shared" si="85"/>
        <v>0</v>
      </c>
      <c r="BM87" s="240">
        <f t="shared" si="86"/>
        <v>30</v>
      </c>
      <c r="BN87" s="211">
        <f t="shared" si="99"/>
        <v>0</v>
      </c>
      <c r="BO87" s="236">
        <f t="shared" si="100"/>
        <v>0</v>
      </c>
      <c r="BP87" s="236">
        <f t="shared" si="101"/>
        <v>44</v>
      </c>
      <c r="BQ87" s="236">
        <f t="shared" si="102"/>
        <v>0</v>
      </c>
      <c r="BR87" s="236">
        <f t="shared" si="103"/>
        <v>0</v>
      </c>
      <c r="BS87" s="236">
        <f t="shared" si="104"/>
        <v>45</v>
      </c>
      <c r="BT87" s="236">
        <f t="shared" si="105"/>
        <v>0</v>
      </c>
      <c r="BU87" s="236">
        <f t="shared" si="106"/>
        <v>0</v>
      </c>
      <c r="BV87" s="236">
        <f t="shared" si="107"/>
        <v>54</v>
      </c>
      <c r="BW87" s="236">
        <f t="shared" si="87"/>
        <v>0</v>
      </c>
      <c r="BX87" s="236">
        <f t="shared" si="88"/>
        <v>0</v>
      </c>
      <c r="BY87" s="236">
        <f t="shared" si="89"/>
        <v>30</v>
      </c>
      <c r="BZ87" s="236"/>
      <c r="CA87" s="275" t="s">
        <v>1320</v>
      </c>
      <c r="CB87" s="272" t="str">
        <f t="shared" si="60"/>
        <v>N/A</v>
      </c>
      <c r="CC87" s="272" t="str">
        <f t="shared" si="61"/>
        <v>N/A</v>
      </c>
      <c r="CD87" s="272" t="str">
        <f t="shared" si="62"/>
        <v>N/A</v>
      </c>
      <c r="CE87" s="284" t="str">
        <f t="shared" si="63"/>
        <v xml:space="preserve">En el marco de las acciones orientadas al fortalecimiento de la caracterización de los grupos de interés y de valor, y en concordancia con las funciones asignadas a la Dirección de Innovación y Desarrollo, se adjudicó un contrato al señor Jaiver Estupiñán. Esta contratación es resultado de la hackatón realizada en 2024, y tiene como objeto la actualización y automatización de las fichas de caracterización de tres grupos de vigilados.
El contrato inició su ejecución en la vigencia actual, y se anexa a este reporte el acta de inicio, el plan de trabajo y el acta del evento de kick-off, como evidencia del avance en la implementación.
</v>
      </c>
      <c r="CF87" s="284" t="str">
        <f t="shared" si="64"/>
        <v>N/A</v>
      </c>
      <c r="CG87" s="284" t="str">
        <f t="shared" si="65"/>
        <v>N/A</v>
      </c>
      <c r="CH87" s="272" t="str">
        <f t="shared" si="66"/>
        <v>N/A</v>
      </c>
      <c r="CI87" s="211" t="str">
        <f t="shared" si="67"/>
        <v>N/A</v>
      </c>
      <c r="CJ87" s="211" t="str">
        <f t="shared" si="68"/>
        <v>N/A</v>
      </c>
      <c r="CK87" s="211" t="str">
        <f t="shared" si="69"/>
        <v>N/A</v>
      </c>
      <c r="CL87" s="211" t="str">
        <f t="shared" si="70"/>
        <v>N/A</v>
      </c>
      <c r="CM87" s="211" t="str">
        <f t="shared" si="71"/>
        <v>N/A</v>
      </c>
      <c r="CO87" s="211" t="s">
        <v>317</v>
      </c>
      <c r="CP87" s="211" t="s">
        <v>141</v>
      </c>
      <c r="CQ87" s="211" t="s">
        <v>330</v>
      </c>
      <c r="CR87" s="211" t="s">
        <v>331</v>
      </c>
      <c r="CS87" s="211" t="s">
        <v>535</v>
      </c>
      <c r="CT87" s="211" t="s">
        <v>330</v>
      </c>
      <c r="CU87" s="211" t="str">
        <f t="shared" si="72"/>
        <v>N/A</v>
      </c>
      <c r="CV87" s="211" t="str">
        <f t="shared" si="73"/>
        <v>N/A</v>
      </c>
      <c r="CW87" s="211" t="str">
        <f t="shared" si="74"/>
        <v>N/A</v>
      </c>
      <c r="CX87" s="211" t="str">
        <f t="shared" si="75"/>
        <v xml:space="preserve">​Para el mes de abril de 2025 se llevo a cabo 1 reunió entre la Dirección Jurídica y la Dirección de Innovación y Desarrollo respecto de la implementación de la politica de mejora normativa al interior de la Superintendencia, en la cual se continuo abordando el tema del ciclo de gobernanza relacionado, entre otras, con la emisión de una circular conjunta con el MSPS sobre la prohibición de intermediación del paciente  o usuario en la autorización de servicios
</v>
      </c>
      <c r="CY87" s="211" t="str">
        <f t="shared" si="76"/>
        <v>N/A</v>
      </c>
      <c r="CZ87" s="211" t="str">
        <f t="shared" si="77"/>
        <v>N/A</v>
      </c>
      <c r="DA87" s="211" t="str">
        <f t="shared" si="78"/>
        <v>N/A</v>
      </c>
      <c r="DB87" s="211" t="str">
        <f t="shared" si="79"/>
        <v>N/A</v>
      </c>
      <c r="DC87" s="211" t="str">
        <f t="shared" si="80"/>
        <v>N/A</v>
      </c>
      <c r="DD87" s="211" t="str">
        <f t="shared" si="81"/>
        <v>N/A</v>
      </c>
      <c r="DE87" s="211" t="str">
        <f t="shared" si="82"/>
        <v>N/A</v>
      </c>
      <c r="DF87" s="211" t="str">
        <f t="shared" si="83"/>
        <v>N/A</v>
      </c>
    </row>
    <row r="88" spans="1:110" s="211" customFormat="1" ht="171">
      <c r="A88" s="348" t="s">
        <v>265</v>
      </c>
      <c r="B88" s="211" t="s">
        <v>141</v>
      </c>
      <c r="C88" s="211" t="s">
        <v>266</v>
      </c>
      <c r="D88" s="211" t="s">
        <v>267</v>
      </c>
      <c r="E88" s="211" t="s">
        <v>268</v>
      </c>
      <c r="F88" s="348" t="s">
        <v>269</v>
      </c>
      <c r="G88" s="211" t="s">
        <v>157</v>
      </c>
      <c r="H88" s="211">
        <v>1</v>
      </c>
      <c r="I88" s="323">
        <v>1</v>
      </c>
      <c r="J88" s="323">
        <v>1</v>
      </c>
      <c r="K88" s="288">
        <v>1</v>
      </c>
      <c r="L88" s="211" t="s">
        <v>2818</v>
      </c>
      <c r="M88" s="211" t="b">
        <v>1</v>
      </c>
      <c r="N88" s="211" t="s">
        <v>572</v>
      </c>
      <c r="O88" s="209" t="s">
        <v>2832</v>
      </c>
      <c r="P88" s="211" t="s">
        <v>159</v>
      </c>
      <c r="Q88" s="211" t="s">
        <v>160</v>
      </c>
      <c r="T88" s="236" t="s">
        <v>498</v>
      </c>
      <c r="U88" s="269"/>
      <c r="V88" s="269"/>
      <c r="W88" s="269">
        <v>10</v>
      </c>
      <c r="X88" s="269"/>
      <c r="Y88" s="269"/>
      <c r="Z88" s="269">
        <v>18</v>
      </c>
      <c r="AA88" s="269"/>
      <c r="AB88" s="269"/>
      <c r="AC88" s="269">
        <v>10</v>
      </c>
      <c r="AD88" s="269"/>
      <c r="AE88" s="269"/>
      <c r="AF88" s="269">
        <v>18</v>
      </c>
      <c r="AG88" s="269">
        <v>56</v>
      </c>
      <c r="AH88"/>
      <c r="AI88"/>
      <c r="AJ88" s="236" t="s">
        <v>498</v>
      </c>
      <c r="AK88" s="269"/>
      <c r="AL88" s="269"/>
      <c r="AM88" s="269">
        <v>10</v>
      </c>
      <c r="AN88" s="269"/>
      <c r="AO88" s="269"/>
      <c r="AP88" s="269">
        <v>18</v>
      </c>
      <c r="AQ88" s="269"/>
      <c r="AR88" s="269"/>
      <c r="AS88" s="269">
        <v>12</v>
      </c>
      <c r="AT88" s="269"/>
      <c r="AU88" s="269"/>
      <c r="AV88" s="269">
        <v>18</v>
      </c>
      <c r="AW88" s="269">
        <v>58</v>
      </c>
      <c r="AX88" s="236"/>
      <c r="AY88" s="236"/>
      <c r="AZ88" s="236"/>
      <c r="BA88" s="239" t="s">
        <v>165</v>
      </c>
      <c r="BB88" s="240">
        <f t="shared" si="90"/>
        <v>0</v>
      </c>
      <c r="BC88" s="240">
        <f t="shared" si="91"/>
        <v>0</v>
      </c>
      <c r="BD88" s="240">
        <f t="shared" si="92"/>
        <v>120</v>
      </c>
      <c r="BE88" s="240">
        <f t="shared" si="93"/>
        <v>0</v>
      </c>
      <c r="BF88" s="240">
        <f t="shared" si="94"/>
        <v>0</v>
      </c>
      <c r="BG88" s="240">
        <f t="shared" si="95"/>
        <v>140</v>
      </c>
      <c r="BH88" s="240">
        <f t="shared" si="96"/>
        <v>0</v>
      </c>
      <c r="BI88" s="240">
        <f t="shared" si="97"/>
        <v>0</v>
      </c>
      <c r="BJ88" s="240">
        <f t="shared" si="98"/>
        <v>140</v>
      </c>
      <c r="BK88" s="240">
        <f t="shared" si="84"/>
        <v>0</v>
      </c>
      <c r="BL88" s="240">
        <f t="shared" si="85"/>
        <v>0</v>
      </c>
      <c r="BM88" s="240">
        <f t="shared" si="86"/>
        <v>120</v>
      </c>
      <c r="BN88" s="211">
        <f t="shared" si="99"/>
        <v>0</v>
      </c>
      <c r="BO88" s="236">
        <f t="shared" si="100"/>
        <v>0</v>
      </c>
      <c r="BP88" s="236">
        <f t="shared" si="101"/>
        <v>120</v>
      </c>
      <c r="BQ88" s="236">
        <f t="shared" si="102"/>
        <v>0</v>
      </c>
      <c r="BR88" s="236">
        <f t="shared" si="103"/>
        <v>0</v>
      </c>
      <c r="BS88" s="236">
        <f t="shared" si="104"/>
        <v>140</v>
      </c>
      <c r="BT88" s="236">
        <f t="shared" si="105"/>
        <v>0</v>
      </c>
      <c r="BU88" s="236">
        <f t="shared" si="106"/>
        <v>0</v>
      </c>
      <c r="BV88" s="236">
        <f t="shared" si="107"/>
        <v>140</v>
      </c>
      <c r="BW88" s="236">
        <f t="shared" si="87"/>
        <v>0</v>
      </c>
      <c r="BX88" s="236">
        <f t="shared" si="88"/>
        <v>0</v>
      </c>
      <c r="BY88" s="236">
        <f t="shared" si="89"/>
        <v>120</v>
      </c>
      <c r="BZ88" s="236"/>
      <c r="CA88" s="275" t="s">
        <v>252</v>
      </c>
      <c r="CB88" s="272" t="str">
        <f t="shared" si="60"/>
        <v>N/A</v>
      </c>
      <c r="CC88" s="272" t="str">
        <f t="shared" si="61"/>
        <v>N/A</v>
      </c>
      <c r="CD88" s="272" t="str">
        <f t="shared" si="62"/>
        <v xml:space="preserve">Se hace el respectivo cargue que soporta los avances frente al Flujos de Información de la actividad clave de éxito, Gestionar Analítica de Datos e Información.
Igualmente se cargan evidencias frente a la Base única de vigilados, Catálogo de datos abiertos, Medición Indicadores de Calidad,
Mallas de validación,  Informe UIAF,
Scripts vigilados, Tablero de salud pública,
Tablero Fenix, Tableros de cartera actualizados.
</v>
      </c>
      <c r="CE88" s="284" t="str">
        <f t="shared" si="63"/>
        <v>N/A</v>
      </c>
      <c r="CF88" s="284" t="str">
        <f t="shared" si="64"/>
        <v>N/A</v>
      </c>
      <c r="CG88" s="284" t="str">
        <f t="shared" si="65"/>
        <v>N/A</v>
      </c>
      <c r="CH88" s="272" t="str">
        <f t="shared" si="66"/>
        <v>N/A</v>
      </c>
      <c r="CI88" s="211" t="str">
        <f t="shared" si="67"/>
        <v>N/A</v>
      </c>
      <c r="CJ88" s="211" t="str">
        <f t="shared" si="68"/>
        <v>N/A</v>
      </c>
      <c r="CK88" s="211" t="str">
        <f t="shared" si="69"/>
        <v>N/A</v>
      </c>
      <c r="CL88" s="211" t="str">
        <f t="shared" si="70"/>
        <v>N/A</v>
      </c>
      <c r="CM88" s="211" t="str">
        <f t="shared" si="71"/>
        <v>N/A</v>
      </c>
      <c r="CO88" s="211" t="s">
        <v>265</v>
      </c>
      <c r="CP88" s="211" t="s">
        <v>141</v>
      </c>
      <c r="CQ88" s="211" t="s">
        <v>266</v>
      </c>
      <c r="CR88" s="211" t="s">
        <v>267</v>
      </c>
      <c r="CS88" s="211" t="s">
        <v>2818</v>
      </c>
      <c r="CT88" s="211" t="s">
        <v>266</v>
      </c>
      <c r="CU88" s="211" t="str">
        <f t="shared" si="72"/>
        <v>N/A</v>
      </c>
      <c r="CV88" s="211" t="str">
        <f t="shared" si="73"/>
        <v>N/A</v>
      </c>
      <c r="CW88" s="211" t="str">
        <f t="shared" si="74"/>
        <v>N/A</v>
      </c>
      <c r="CX88" s="211" t="str">
        <f t="shared" si="75"/>
        <v xml:space="preserve">​En el link adjunto se evidencia el avance y seguimiento de la gestión digital en nuestros canales de comunicación establecidos. Tal es el caso del aumento de seguidores, visualización de conteenidos e interacción de mensajes institucionales.
</v>
      </c>
      <c r="CY88" s="211" t="str">
        <f t="shared" si="76"/>
        <v>N/A</v>
      </c>
      <c r="CZ88" s="211" t="str">
        <f t="shared" si="77"/>
        <v>N/A</v>
      </c>
      <c r="DA88" s="211" t="str">
        <f t="shared" si="78"/>
        <v>N/A</v>
      </c>
      <c r="DB88" s="211" t="str">
        <f t="shared" si="79"/>
        <v>N/A</v>
      </c>
      <c r="DC88" s="211" t="str">
        <f t="shared" si="80"/>
        <v>N/A</v>
      </c>
      <c r="DD88" s="211" t="str">
        <f t="shared" si="81"/>
        <v>N/A</v>
      </c>
      <c r="DE88" s="211" t="str">
        <f t="shared" si="82"/>
        <v>N/A</v>
      </c>
      <c r="DF88" s="211" t="str">
        <f t="shared" si="83"/>
        <v>N/A</v>
      </c>
    </row>
    <row r="89" spans="1:110" s="211" customFormat="1" ht="114">
      <c r="A89" s="348" t="s">
        <v>265</v>
      </c>
      <c r="B89" s="211" t="s">
        <v>141</v>
      </c>
      <c r="C89" s="211" t="s">
        <v>312</v>
      </c>
      <c r="D89" s="211" t="s">
        <v>313</v>
      </c>
      <c r="E89" s="211" t="s">
        <v>314</v>
      </c>
      <c r="F89" s="348" t="s">
        <v>315</v>
      </c>
      <c r="G89" s="211" t="s">
        <v>157</v>
      </c>
      <c r="H89" s="211">
        <v>1</v>
      </c>
      <c r="I89" s="323">
        <v>1</v>
      </c>
      <c r="J89" s="323">
        <v>1</v>
      </c>
      <c r="K89" s="288">
        <v>1</v>
      </c>
      <c r="L89" s="211" t="s">
        <v>2969</v>
      </c>
      <c r="M89" s="211" t="b">
        <v>0</v>
      </c>
      <c r="O89" s="209" t="s">
        <v>2832</v>
      </c>
      <c r="P89" s="211" t="s">
        <v>159</v>
      </c>
      <c r="Q89" s="211" t="s">
        <v>160</v>
      </c>
      <c r="T89" s="236" t="s">
        <v>503</v>
      </c>
      <c r="U89" s="269"/>
      <c r="V89" s="269"/>
      <c r="W89" s="269">
        <v>1</v>
      </c>
      <c r="X89" s="269"/>
      <c r="Y89" s="269"/>
      <c r="Z89" s="269">
        <v>5</v>
      </c>
      <c r="AA89" s="269"/>
      <c r="AB89" s="269"/>
      <c r="AC89" s="269">
        <v>2</v>
      </c>
      <c r="AD89" s="269"/>
      <c r="AE89" s="269"/>
      <c r="AF89" s="269">
        <v>8</v>
      </c>
      <c r="AG89" s="269">
        <v>16</v>
      </c>
      <c r="AH89"/>
      <c r="AI89"/>
      <c r="AJ89" s="236" t="s">
        <v>503</v>
      </c>
      <c r="AK89" s="269"/>
      <c r="AL89" s="269"/>
      <c r="AM89" s="269">
        <v>1</v>
      </c>
      <c r="AN89" s="269"/>
      <c r="AO89" s="269"/>
      <c r="AP89" s="269">
        <v>5</v>
      </c>
      <c r="AQ89" s="269"/>
      <c r="AR89" s="269"/>
      <c r="AS89" s="269">
        <v>2</v>
      </c>
      <c r="AT89" s="269"/>
      <c r="AU89" s="269"/>
      <c r="AV89" s="269">
        <v>8</v>
      </c>
      <c r="AW89" s="269">
        <v>16</v>
      </c>
      <c r="AX89" s="236"/>
      <c r="AY89" s="236"/>
      <c r="AZ89" s="236"/>
      <c r="BA89" s="239" t="s">
        <v>551</v>
      </c>
      <c r="BB89" s="240">
        <f t="shared" si="90"/>
        <v>0</v>
      </c>
      <c r="BC89" s="240">
        <f t="shared" si="91"/>
        <v>0</v>
      </c>
      <c r="BD89" s="240">
        <f t="shared" si="92"/>
        <v>0</v>
      </c>
      <c r="BE89" s="240">
        <f t="shared" si="93"/>
        <v>0</v>
      </c>
      <c r="BF89" s="240">
        <f t="shared" si="94"/>
        <v>0</v>
      </c>
      <c r="BG89" s="240">
        <f t="shared" si="95"/>
        <v>643</v>
      </c>
      <c r="BH89" s="240">
        <f t="shared" si="96"/>
        <v>0</v>
      </c>
      <c r="BI89" s="240">
        <f t="shared" si="97"/>
        <v>0</v>
      </c>
      <c r="BJ89" s="240">
        <f t="shared" si="98"/>
        <v>0</v>
      </c>
      <c r="BK89" s="240">
        <f t="shared" si="84"/>
        <v>0</v>
      </c>
      <c r="BL89" s="240">
        <f t="shared" si="85"/>
        <v>0</v>
      </c>
      <c r="BM89" s="240">
        <f t="shared" si="86"/>
        <v>531</v>
      </c>
      <c r="BN89" s="211">
        <f t="shared" si="99"/>
        <v>0</v>
      </c>
      <c r="BO89" s="236">
        <f t="shared" si="100"/>
        <v>0</v>
      </c>
      <c r="BP89" s="236">
        <f t="shared" si="101"/>
        <v>0</v>
      </c>
      <c r="BQ89" s="236">
        <f t="shared" si="102"/>
        <v>0</v>
      </c>
      <c r="BR89" s="236">
        <f t="shared" si="103"/>
        <v>0</v>
      </c>
      <c r="BS89" s="236">
        <f t="shared" si="104"/>
        <v>643</v>
      </c>
      <c r="BT89" s="236">
        <f t="shared" si="105"/>
        <v>0</v>
      </c>
      <c r="BU89" s="236">
        <f t="shared" si="106"/>
        <v>0</v>
      </c>
      <c r="BV89" s="236">
        <f t="shared" si="107"/>
        <v>0</v>
      </c>
      <c r="BW89" s="236">
        <f t="shared" si="87"/>
        <v>0</v>
      </c>
      <c r="BX89" s="236">
        <f t="shared" si="88"/>
        <v>0</v>
      </c>
      <c r="BY89" s="236">
        <f t="shared" si="89"/>
        <v>531</v>
      </c>
      <c r="BZ89" s="236"/>
      <c r="CA89" s="275" t="s">
        <v>245</v>
      </c>
      <c r="CB89" s="272" t="str">
        <f t="shared" si="60"/>
        <v>N/A</v>
      </c>
      <c r="CC89" s="272" t="str">
        <f t="shared" si="61"/>
        <v>N/A</v>
      </c>
      <c r="CD89" s="272" t="str">
        <f t="shared" si="62"/>
        <v xml:space="preserve">​Se procede con el cargue de evidencias frente a la política de Gestión de Información Estadística, es decir, flujo de actividades versión 1, modelo institucional para el desarrollo de producción estadística, manual para el desarrollo del plan estadístico versión en construcción, que dan cuenta de los avances.
</v>
      </c>
      <c r="CE89" s="284" t="str">
        <f t="shared" si="63"/>
        <v>N/A</v>
      </c>
      <c r="CF89" s="284" t="str">
        <f t="shared" si="64"/>
        <v>N/A</v>
      </c>
      <c r="CG89" s="284" t="str">
        <f t="shared" si="65"/>
        <v>N/A</v>
      </c>
      <c r="CH89" s="272" t="str">
        <f t="shared" si="66"/>
        <v>N/A</v>
      </c>
      <c r="CI89" s="211" t="str">
        <f t="shared" si="67"/>
        <v>N/A</v>
      </c>
      <c r="CJ89" s="211" t="str">
        <f t="shared" si="68"/>
        <v>N/A</v>
      </c>
      <c r="CK89" s="211" t="str">
        <f t="shared" si="69"/>
        <v>N/A</v>
      </c>
      <c r="CL89" s="211" t="str">
        <f t="shared" si="70"/>
        <v>N/A</v>
      </c>
      <c r="CM89" s="211" t="str">
        <f t="shared" si="71"/>
        <v>N/A</v>
      </c>
      <c r="CO89" s="211" t="s">
        <v>265</v>
      </c>
      <c r="CP89" s="211" t="s">
        <v>141</v>
      </c>
      <c r="CQ89" s="211" t="s">
        <v>312</v>
      </c>
      <c r="CR89" s="211" t="s">
        <v>313</v>
      </c>
      <c r="CS89" s="211" t="s">
        <v>2969</v>
      </c>
      <c r="CT89" s="211" t="s">
        <v>312</v>
      </c>
      <c r="CU89" s="211" t="str">
        <f t="shared" si="72"/>
        <v>N/A</v>
      </c>
      <c r="CV89" s="211" t="str">
        <f t="shared" si="73"/>
        <v>N/A</v>
      </c>
      <c r="CW89" s="211" t="str">
        <f t="shared" si="74"/>
        <v>N/A</v>
      </c>
      <c r="CX89" s="211" t="str">
        <f t="shared" si="75"/>
        <v xml:space="preserve">Se realizaon distintas campañas institucionales en el marco de posicionar la imagen de la Superintendencia Nacional de Salud y mejorar la gestión de la reputación institucional.
</v>
      </c>
      <c r="CY89" s="211" t="str">
        <f t="shared" si="76"/>
        <v>N/A</v>
      </c>
      <c r="CZ89" s="211" t="str">
        <f t="shared" si="77"/>
        <v>N/A</v>
      </c>
      <c r="DA89" s="211" t="str">
        <f t="shared" si="78"/>
        <v>N/A</v>
      </c>
      <c r="DB89" s="211" t="str">
        <f t="shared" si="79"/>
        <v>N/A</v>
      </c>
      <c r="DC89" s="211" t="str">
        <f t="shared" si="80"/>
        <v>N/A</v>
      </c>
      <c r="DD89" s="211" t="str">
        <f t="shared" si="81"/>
        <v>N/A</v>
      </c>
      <c r="DE89" s="211" t="str">
        <f t="shared" si="82"/>
        <v>N/A</v>
      </c>
      <c r="DF89" s="211" t="str">
        <f t="shared" si="83"/>
        <v>N/A</v>
      </c>
    </row>
    <row r="90" spans="1:110" s="211" customFormat="1" ht="360">
      <c r="A90" s="348" t="s">
        <v>265</v>
      </c>
      <c r="B90" s="211" t="s">
        <v>141</v>
      </c>
      <c r="C90" s="211" t="s">
        <v>312</v>
      </c>
      <c r="D90" s="211" t="s">
        <v>313</v>
      </c>
      <c r="E90" s="211" t="s">
        <v>314</v>
      </c>
      <c r="F90" s="348" t="s">
        <v>315</v>
      </c>
      <c r="G90" s="211" t="s">
        <v>157</v>
      </c>
      <c r="H90" s="211">
        <v>1</v>
      </c>
      <c r="I90" s="323">
        <v>1</v>
      </c>
      <c r="J90" s="323">
        <v>1</v>
      </c>
      <c r="K90" s="288">
        <v>1</v>
      </c>
      <c r="L90" s="211" t="s">
        <v>2970</v>
      </c>
      <c r="M90" s="211" t="b">
        <v>0</v>
      </c>
      <c r="O90" s="209" t="s">
        <v>2832</v>
      </c>
      <c r="P90" s="211" t="s">
        <v>159</v>
      </c>
      <c r="Q90" s="211" t="s">
        <v>160</v>
      </c>
      <c r="T90" s="236" t="s">
        <v>573</v>
      </c>
      <c r="U90" s="269"/>
      <c r="V90" s="269"/>
      <c r="W90" s="269"/>
      <c r="X90" s="269"/>
      <c r="Y90" s="269"/>
      <c r="Z90" s="269">
        <v>7</v>
      </c>
      <c r="AA90" s="269"/>
      <c r="AB90" s="269"/>
      <c r="AC90" s="269"/>
      <c r="AD90" s="269"/>
      <c r="AE90" s="269"/>
      <c r="AF90" s="269">
        <v>16</v>
      </c>
      <c r="AG90" s="269">
        <v>23</v>
      </c>
      <c r="AH90"/>
      <c r="AI90"/>
      <c r="AJ90" s="236" t="s">
        <v>573</v>
      </c>
      <c r="AK90" s="269"/>
      <c r="AL90" s="269"/>
      <c r="AM90" s="269"/>
      <c r="AN90" s="269"/>
      <c r="AO90" s="269"/>
      <c r="AP90" s="269">
        <v>7</v>
      </c>
      <c r="AQ90" s="269"/>
      <c r="AR90" s="269"/>
      <c r="AS90" s="269"/>
      <c r="AT90" s="269"/>
      <c r="AU90" s="269"/>
      <c r="AV90" s="269">
        <v>7</v>
      </c>
      <c r="AW90" s="269">
        <v>14</v>
      </c>
      <c r="AX90" s="236"/>
      <c r="AY90" s="236"/>
      <c r="AZ90" s="236"/>
      <c r="BA90" s="239" t="s">
        <v>556</v>
      </c>
      <c r="BB90" s="240">
        <f t="shared" si="90"/>
        <v>0</v>
      </c>
      <c r="BC90" s="240">
        <f t="shared" si="91"/>
        <v>0</v>
      </c>
      <c r="BD90" s="240">
        <f t="shared" si="92"/>
        <v>0</v>
      </c>
      <c r="BE90" s="240">
        <f t="shared" si="93"/>
        <v>0</v>
      </c>
      <c r="BF90" s="240">
        <f t="shared" si="94"/>
        <v>0</v>
      </c>
      <c r="BG90" s="240">
        <f t="shared" si="95"/>
        <v>7</v>
      </c>
      <c r="BH90" s="240">
        <f t="shared" si="96"/>
        <v>0</v>
      </c>
      <c r="BI90" s="240">
        <f t="shared" si="97"/>
        <v>0</v>
      </c>
      <c r="BJ90" s="240">
        <f t="shared" si="98"/>
        <v>0</v>
      </c>
      <c r="BK90" s="240">
        <f t="shared" si="84"/>
        <v>0</v>
      </c>
      <c r="BL90" s="240">
        <f t="shared" si="85"/>
        <v>0</v>
      </c>
      <c r="BM90" s="240">
        <f t="shared" si="86"/>
        <v>7</v>
      </c>
      <c r="BN90" s="211">
        <f t="shared" si="99"/>
        <v>0</v>
      </c>
      <c r="BO90" s="236">
        <f t="shared" si="100"/>
        <v>0</v>
      </c>
      <c r="BP90" s="236">
        <f t="shared" si="101"/>
        <v>0</v>
      </c>
      <c r="BQ90" s="236">
        <f t="shared" si="102"/>
        <v>0</v>
      </c>
      <c r="BR90" s="236">
        <f t="shared" si="103"/>
        <v>0</v>
      </c>
      <c r="BS90" s="236">
        <f t="shared" si="104"/>
        <v>7</v>
      </c>
      <c r="BT90" s="236">
        <f t="shared" si="105"/>
        <v>0</v>
      </c>
      <c r="BU90" s="236">
        <f t="shared" si="106"/>
        <v>0</v>
      </c>
      <c r="BV90" s="236">
        <f t="shared" si="107"/>
        <v>0</v>
      </c>
      <c r="BW90" s="236">
        <f t="shared" si="87"/>
        <v>0</v>
      </c>
      <c r="BX90" s="236">
        <f t="shared" si="88"/>
        <v>0</v>
      </c>
      <c r="BY90" s="236">
        <f t="shared" si="89"/>
        <v>7</v>
      </c>
      <c r="BZ90" s="236"/>
      <c r="CA90" s="275" t="s">
        <v>353</v>
      </c>
      <c r="CB90" s="272" t="str">
        <f t="shared" si="60"/>
        <v>N/A</v>
      </c>
      <c r="CC90" s="272" t="str">
        <f t="shared" si="61"/>
        <v>N/A</v>
      </c>
      <c r="CD90" s="272" t="str">
        <f t="shared" si="62"/>
        <v>N/A</v>
      </c>
      <c r="CE90" s="284" t="str">
        <f t="shared" si="63"/>
        <v>N/A</v>
      </c>
      <c r="CF90" s="284" t="str">
        <f t="shared" si="64"/>
        <v>N/A</v>
      </c>
      <c r="CG90" s="284" t="str">
        <f t="shared" si="65"/>
        <v xml:space="preserve">​
En cumplimiento del objetivo de diseñar el Marco Integral de Supervisión y promover su apropiación institucional, durante el periodo reportado se llevaron a cabo mesas de trabajo con las diferentes áreas de la Superintendencia Nacional de Salud. Estos espacios de articulación permitieron avanzar en la validación técnica y conceptual del marco, realizar los ajustes necesarios y dar respuesta a los comentarios y observaciones emitidos por las dependencias involucradas.
Las mesas de trabajo no solo facilitaron la retroalimentación oportuna, sino que también contribuyeron a generar sentido de pertenencia y compromiso institucional con el instrumento, sentando las bases para la implementación gradual de estrategias de uso y apropiación en los distintos niveles de la entidad. Esta fase participativa garantiza que el Marco responda a las necesidades reales del ejercicio de la supervisión, fortaleciendo su aplicabilidad y sostenibilidad en el tiempo.
Se adjunta documento del MIS ajustado. 
</v>
      </c>
      <c r="CH90" s="272" t="str">
        <f t="shared" si="66"/>
        <v>N/A</v>
      </c>
      <c r="CI90" s="211" t="str">
        <f t="shared" si="67"/>
        <v>N/A</v>
      </c>
      <c r="CJ90" s="211" t="str">
        <f t="shared" si="68"/>
        <v>N/A</v>
      </c>
      <c r="CK90" s="211" t="str">
        <f t="shared" si="69"/>
        <v>N/A</v>
      </c>
      <c r="CL90" s="211" t="str">
        <f t="shared" si="70"/>
        <v>N/A</v>
      </c>
      <c r="CM90" s="211" t="str">
        <f t="shared" si="71"/>
        <v>N/A</v>
      </c>
      <c r="CO90" s="211" t="s">
        <v>265</v>
      </c>
      <c r="CP90" s="211" t="s">
        <v>141</v>
      </c>
      <c r="CQ90" s="211" t="s">
        <v>312</v>
      </c>
      <c r="CR90" s="211" t="s">
        <v>313</v>
      </c>
      <c r="CS90" s="211" t="s">
        <v>2970</v>
      </c>
      <c r="CT90" s="211" t="s">
        <v>312</v>
      </c>
      <c r="CU90" s="211" t="str">
        <f t="shared" si="72"/>
        <v>N/A</v>
      </c>
      <c r="CV90" s="211" t="str">
        <f t="shared" si="73"/>
        <v>N/A</v>
      </c>
      <c r="CW90" s="211" t="str">
        <f t="shared" si="74"/>
        <v>N/A</v>
      </c>
      <c r="CX90" s="211" t="str">
        <f t="shared" si="75"/>
        <v xml:space="preserve">​Ante la emergencia sanitaria generada por el brote de fiebre amarilla en Colombia, la Superintendencia Nacional de Salud, en articulación con el Ministerio de Salud y Protección Social, desarrolló una campaña comunicacional orientada a informar y orientar a la ciudadanía, y a reforzar las acciones del sector salud para contener la propagación del virus en las zonas afectadas.
</v>
      </c>
      <c r="CY90" s="211" t="str">
        <f t="shared" si="76"/>
        <v>N/A</v>
      </c>
      <c r="CZ90" s="211" t="str">
        <f t="shared" si="77"/>
        <v>N/A</v>
      </c>
      <c r="DA90" s="211" t="str">
        <f t="shared" si="78"/>
        <v>N/A</v>
      </c>
      <c r="DB90" s="211" t="str">
        <f t="shared" si="79"/>
        <v>N/A</v>
      </c>
      <c r="DC90" s="211" t="str">
        <f t="shared" si="80"/>
        <v>N/A</v>
      </c>
      <c r="DD90" s="211" t="str">
        <f t="shared" si="81"/>
        <v>N/A</v>
      </c>
      <c r="DE90" s="211" t="str">
        <f t="shared" si="82"/>
        <v>N/A</v>
      </c>
      <c r="DF90" s="211" t="str">
        <f t="shared" si="83"/>
        <v>N/A</v>
      </c>
    </row>
    <row r="91" spans="1:110" s="211" customFormat="1" ht="409.5">
      <c r="A91" s="348" t="s">
        <v>607</v>
      </c>
      <c r="B91" s="211" t="s">
        <v>141</v>
      </c>
      <c r="C91" s="211" t="s">
        <v>525</v>
      </c>
      <c r="D91" s="211" t="s">
        <v>613</v>
      </c>
      <c r="E91" s="211" t="s">
        <v>614</v>
      </c>
      <c r="F91" s="348" t="s">
        <v>615</v>
      </c>
      <c r="G91" s="211" t="s">
        <v>178</v>
      </c>
      <c r="H91" s="211">
        <v>0.1</v>
      </c>
      <c r="I91" s="323">
        <v>9919710465</v>
      </c>
      <c r="J91" s="323">
        <v>87198844691</v>
      </c>
      <c r="K91" s="288">
        <v>0.11375965473111201</v>
      </c>
      <c r="L91" s="211" t="s">
        <v>2971</v>
      </c>
      <c r="M91" s="211" t="b">
        <v>1</v>
      </c>
      <c r="N91" s="211" t="s">
        <v>616</v>
      </c>
      <c r="O91" s="209" t="s">
        <v>2832</v>
      </c>
      <c r="P91" s="211" t="s">
        <v>159</v>
      </c>
      <c r="Q91" s="211" t="s">
        <v>160</v>
      </c>
      <c r="T91" s="236" t="s">
        <v>418</v>
      </c>
      <c r="U91" s="269"/>
      <c r="V91" s="269"/>
      <c r="W91" s="269">
        <v>134953</v>
      </c>
      <c r="X91" s="269"/>
      <c r="Y91" s="269"/>
      <c r="Z91" s="269">
        <v>96046</v>
      </c>
      <c r="AA91" s="269"/>
      <c r="AB91" s="269"/>
      <c r="AC91" s="269">
        <v>80680</v>
      </c>
      <c r="AD91" s="269"/>
      <c r="AE91" s="269"/>
      <c r="AF91" s="269">
        <v>181062</v>
      </c>
      <c r="AG91" s="269">
        <v>492741</v>
      </c>
      <c r="AH91"/>
      <c r="AI91"/>
      <c r="AJ91" s="236" t="s">
        <v>418</v>
      </c>
      <c r="AK91" s="269"/>
      <c r="AL91" s="269"/>
      <c r="AM91" s="269">
        <v>156221</v>
      </c>
      <c r="AN91" s="269"/>
      <c r="AO91" s="269"/>
      <c r="AP91" s="269">
        <v>111133</v>
      </c>
      <c r="AQ91" s="269"/>
      <c r="AR91" s="269"/>
      <c r="AS91" s="269">
        <v>99341</v>
      </c>
      <c r="AT91" s="269"/>
      <c r="AU91" s="269"/>
      <c r="AV91" s="269">
        <v>202681</v>
      </c>
      <c r="AW91" s="269">
        <v>569376</v>
      </c>
      <c r="AX91" s="236"/>
      <c r="AY91" s="236"/>
      <c r="AZ91" s="236"/>
      <c r="BA91" s="239" t="s">
        <v>480</v>
      </c>
      <c r="BB91" s="240">
        <f t="shared" si="90"/>
        <v>0</v>
      </c>
      <c r="BC91" s="240">
        <f t="shared" si="91"/>
        <v>0</v>
      </c>
      <c r="BD91" s="240">
        <f t="shared" si="92"/>
        <v>11</v>
      </c>
      <c r="BE91" s="240">
        <f t="shared" si="93"/>
        <v>0</v>
      </c>
      <c r="BF91" s="240">
        <f t="shared" si="94"/>
        <v>0</v>
      </c>
      <c r="BG91" s="240">
        <f t="shared" si="95"/>
        <v>19</v>
      </c>
      <c r="BH91" s="240">
        <f t="shared" si="96"/>
        <v>0</v>
      </c>
      <c r="BI91" s="240">
        <f t="shared" si="97"/>
        <v>0</v>
      </c>
      <c r="BJ91" s="240">
        <f t="shared" si="98"/>
        <v>11</v>
      </c>
      <c r="BK91" s="240">
        <f t="shared" si="84"/>
        <v>0</v>
      </c>
      <c r="BL91" s="240">
        <f t="shared" si="85"/>
        <v>0</v>
      </c>
      <c r="BM91" s="240">
        <f t="shared" si="86"/>
        <v>22</v>
      </c>
      <c r="BN91" s="211">
        <f t="shared" si="99"/>
        <v>0</v>
      </c>
      <c r="BO91" s="236">
        <f t="shared" si="100"/>
        <v>0</v>
      </c>
      <c r="BP91" s="236">
        <f t="shared" si="101"/>
        <v>11</v>
      </c>
      <c r="BQ91" s="236">
        <f t="shared" si="102"/>
        <v>0</v>
      </c>
      <c r="BR91" s="236">
        <f t="shared" si="103"/>
        <v>0</v>
      </c>
      <c r="BS91" s="236">
        <f t="shared" si="104"/>
        <v>19</v>
      </c>
      <c r="BT91" s="236">
        <f t="shared" si="105"/>
        <v>0</v>
      </c>
      <c r="BU91" s="236">
        <f t="shared" si="106"/>
        <v>0</v>
      </c>
      <c r="BV91" s="236">
        <f t="shared" si="107"/>
        <v>11</v>
      </c>
      <c r="BW91" s="236">
        <f t="shared" si="87"/>
        <v>0</v>
      </c>
      <c r="BX91" s="236">
        <f t="shared" si="88"/>
        <v>0</v>
      </c>
      <c r="BY91" s="236">
        <f t="shared" si="89"/>
        <v>22</v>
      </c>
      <c r="BZ91" s="236"/>
      <c r="CA91" s="275" t="s">
        <v>259</v>
      </c>
      <c r="CB91" s="272" t="str">
        <f t="shared" si="60"/>
        <v>N/A</v>
      </c>
      <c r="CC91" s="272" t="str">
        <f t="shared" si="61"/>
        <v>N/A</v>
      </c>
      <c r="CD91" s="272" t="str">
        <f t="shared" si="62"/>
        <v xml:space="preserve">Durante el primer trimestre del año se adelantaron mesas de trabajo orientadas a la construcción y ajuste de metodologías, lineamientos y proyectos de circular. Estas acciones buscan fortalecer la gestión institucional y brindar herramientas claras a los vigilados para el cumplimiento de sus obligaciones. A continuación, se relacionan los documentos que se encuentran en desarrollo o en proceso de ajuste:Expedición Circular de Datos GeneralesExpedición Circular 001 Proyecto Circular FT015Proyecto Circular 011Proyecto Circular ADRESProyecto Circular de AutorizacionesProyecto Circular GAUDIProyecto Circular SIARCMetodologías de Reclamos en SaludPolítica de Vejez - acciones SNS
Cabe resaltar que estos documentos continúan en proceso de trabajo y ajustes.
</v>
      </c>
      <c r="CE91" s="284" t="str">
        <f t="shared" si="63"/>
        <v>N/A</v>
      </c>
      <c r="CF91" s="284" t="str">
        <f t="shared" si="64"/>
        <v>N/A</v>
      </c>
      <c r="CG91" s="284" t="str">
        <f t="shared" si="65"/>
        <v>N/A</v>
      </c>
      <c r="CH91" s="272" t="str">
        <f t="shared" si="66"/>
        <v>N/A</v>
      </c>
      <c r="CI91" s="211" t="str">
        <f t="shared" si="67"/>
        <v>N/A</v>
      </c>
      <c r="CJ91" s="211" t="str">
        <f t="shared" si="68"/>
        <v>N/A</v>
      </c>
      <c r="CK91" s="211" t="str">
        <f t="shared" si="69"/>
        <v>N/A</v>
      </c>
      <c r="CL91" s="211" t="str">
        <f t="shared" si="70"/>
        <v>N/A</v>
      </c>
      <c r="CM91" s="211" t="str">
        <f t="shared" si="71"/>
        <v>N/A</v>
      </c>
      <c r="CO91" s="211" t="s">
        <v>607</v>
      </c>
      <c r="CP91" s="211" t="s">
        <v>141</v>
      </c>
      <c r="CQ91" s="211" t="s">
        <v>525</v>
      </c>
      <c r="CR91" s="211" t="s">
        <v>613</v>
      </c>
      <c r="CS91" s="211" t="s">
        <v>2971</v>
      </c>
      <c r="CT91" s="211" t="s">
        <v>525</v>
      </c>
      <c r="CU91" s="211" t="str">
        <f t="shared" si="72"/>
        <v>N/A</v>
      </c>
      <c r="CV91" s="211" t="str">
        <f t="shared" si="73"/>
        <v>N/A</v>
      </c>
      <c r="CW91" s="211" t="str">
        <f t="shared" si="74"/>
        <v>N/A</v>
      </c>
      <c r="CX91" s="211" t="str">
        <f t="shared" si="75"/>
        <v xml:space="preserve">​
A 30 de abril la ejecución (obligaciones) de los recursos de inversión de la entidad fue del 11,38%:
Obligaciones:       $9.919.710.465
Total inversión:  $87.198.844.691
Evidencia: Reporte SIIF nación a 30 de abril de 2025;
A 30 de abril, del total de los recursos de inversión asignados para la presente vigencia, se han comprometido $34.211.236.392 equivalente al 39,23%, de los cuales se han generado obligaciones por un total de $9.919.710.465 lo que equivale al 11,38% del total de los recursos asignados. De las 18 dependencias ejecutoras de los proyectos de inversión,  8  lograron o superaron la meta planteada del 10% de ejecución sobre las obligaciones: Delegada para la Protección al Usuario, Delegada para Operadores Logísticos, Delegada para la Función Jurisdiccional  y de Conciliación, Delegada para Prestadores de Servicios de Salud, Delegada para Entidades Territoriales, Delegada para Entidades de Aseguramiento en Salud,  Dirección Jurídica, y la Dirección Administrativa-Grupo de Gestión Documental.
Desde la Oficina Asesora de Planeación y la Secretaria General, se han planteado acciones conjuntas que permitan realizar un seguimiento estricto a la ejecución de los gastos de la entidad, que permita generar alertas y la toma de decisiones oportunas para mejorar el nivel de ejecución de las apropiaciones de la presente vigencia fiscal.  Dentro de las acciones encontramos:Seguimiento periodo a la ejecución del Plan Anual de Adquisiciones y generación de alertas por parte de la Dirección de ContrataciónSeguimiento periódico a la ejecución presupuestal de la entidad a través de Comité Institucional de Gestión y DesempeñoSeguimiento a la ejecución presupuestal a través del Comité Directivo.
De igual manera se coloca a disposición de los ejecutores de los proyectos de inversión, y de los funcionarios de la entidad, la ejecución presupuestal desagregada a nivel de proyecto, dependencia, y actividad (formato powerBI.  A la fecha del presente reporte, se encuentra actualizada la información a 31 de marzo, la cual puede ser consultada a trabes de:
Página web, en la siguiente ruta: Nuestra entidad, Planeación, Proyectos de inversión, Seguimiento
Intranet, en la siguiente ruta: Tramites y Servicios – Reportes (Ejecución de recursos de inversión)
</v>
      </c>
      <c r="CY91" s="211" t="str">
        <f t="shared" si="76"/>
        <v>N/A</v>
      </c>
      <c r="CZ91" s="211" t="str">
        <f t="shared" si="77"/>
        <v>N/A</v>
      </c>
      <c r="DA91" s="211" t="str">
        <f t="shared" si="78"/>
        <v>N/A</v>
      </c>
      <c r="DB91" s="211" t="str">
        <f t="shared" si="79"/>
        <v>N/A</v>
      </c>
      <c r="DC91" s="211" t="str">
        <f t="shared" si="80"/>
        <v>N/A</v>
      </c>
      <c r="DD91" s="211" t="str">
        <f t="shared" si="81"/>
        <v>N/A</v>
      </c>
      <c r="DE91" s="211" t="str">
        <f t="shared" si="82"/>
        <v>N/A</v>
      </c>
      <c r="DF91" s="211" t="str">
        <f t="shared" si="83"/>
        <v>N/A</v>
      </c>
    </row>
    <row r="92" spans="1:110" s="211" customFormat="1" ht="102">
      <c r="A92" s="348" t="s">
        <v>592</v>
      </c>
      <c r="B92" s="211" t="s">
        <v>141</v>
      </c>
      <c r="C92" s="211" t="s">
        <v>288</v>
      </c>
      <c r="D92" s="211" t="s">
        <v>593</v>
      </c>
      <c r="E92" s="211" t="s">
        <v>594</v>
      </c>
      <c r="F92" s="348" t="s">
        <v>595</v>
      </c>
      <c r="G92" s="211" t="s">
        <v>157</v>
      </c>
      <c r="H92" s="211">
        <v>1</v>
      </c>
      <c r="I92" s="323">
        <v>1</v>
      </c>
      <c r="J92" s="323">
        <v>1</v>
      </c>
      <c r="K92" s="288">
        <v>1</v>
      </c>
      <c r="L92" s="211" t="s">
        <v>596</v>
      </c>
      <c r="M92" s="211" t="b">
        <v>0</v>
      </c>
      <c r="O92" s="209" t="s">
        <v>2832</v>
      </c>
      <c r="P92" s="211" t="s">
        <v>159</v>
      </c>
      <c r="Q92" s="211" t="s">
        <v>160</v>
      </c>
      <c r="T92" s="236" t="s">
        <v>444</v>
      </c>
      <c r="U92" s="269"/>
      <c r="V92" s="269"/>
      <c r="W92" s="269">
        <v>427884</v>
      </c>
      <c r="X92" s="269"/>
      <c r="Y92" s="269"/>
      <c r="Z92" s="269">
        <v>432616</v>
      </c>
      <c r="AA92" s="269"/>
      <c r="AB92" s="269"/>
      <c r="AC92" s="269">
        <v>504428</v>
      </c>
      <c r="AD92" s="269"/>
      <c r="AE92" s="269"/>
      <c r="AF92" s="269">
        <v>458199</v>
      </c>
      <c r="AG92" s="269">
        <v>1823127</v>
      </c>
      <c r="AH92"/>
      <c r="AI92"/>
      <c r="AJ92" s="236" t="s">
        <v>444</v>
      </c>
      <c r="AK92" s="269"/>
      <c r="AL92" s="269"/>
      <c r="AM92" s="269">
        <v>427884</v>
      </c>
      <c r="AN92" s="269"/>
      <c r="AO92" s="269"/>
      <c r="AP92" s="269">
        <v>432616</v>
      </c>
      <c r="AQ92" s="269"/>
      <c r="AR92" s="269"/>
      <c r="AS92" s="269">
        <v>504428</v>
      </c>
      <c r="AT92" s="269"/>
      <c r="AU92" s="269"/>
      <c r="AV92" s="269">
        <v>458199</v>
      </c>
      <c r="AW92" s="269">
        <v>1823127</v>
      </c>
      <c r="AX92" s="236"/>
      <c r="AY92" s="236"/>
      <c r="AZ92" s="236"/>
      <c r="BA92" s="239" t="s">
        <v>486</v>
      </c>
      <c r="BB92" s="240">
        <f t="shared" si="90"/>
        <v>0</v>
      </c>
      <c r="BC92" s="240">
        <f t="shared" si="91"/>
        <v>0</v>
      </c>
      <c r="BD92" s="240">
        <f t="shared" si="92"/>
        <v>1</v>
      </c>
      <c r="BE92" s="240">
        <f t="shared" si="93"/>
        <v>0</v>
      </c>
      <c r="BF92" s="240">
        <f t="shared" si="94"/>
        <v>0</v>
      </c>
      <c r="BG92" s="240">
        <f t="shared" si="95"/>
        <v>1</v>
      </c>
      <c r="BH92" s="240">
        <f t="shared" si="96"/>
        <v>0</v>
      </c>
      <c r="BI92" s="240">
        <f t="shared" si="97"/>
        <v>0</v>
      </c>
      <c r="BJ92" s="240">
        <f t="shared" si="98"/>
        <v>1</v>
      </c>
      <c r="BK92" s="240">
        <f t="shared" si="84"/>
        <v>0</v>
      </c>
      <c r="BL92" s="240">
        <f t="shared" si="85"/>
        <v>0</v>
      </c>
      <c r="BM92" s="240">
        <f t="shared" si="86"/>
        <v>52</v>
      </c>
      <c r="BN92" s="211">
        <f t="shared" si="99"/>
        <v>0</v>
      </c>
      <c r="BO92" s="236">
        <f t="shared" si="100"/>
        <v>0</v>
      </c>
      <c r="BP92" s="236">
        <f t="shared" si="101"/>
        <v>1</v>
      </c>
      <c r="BQ92" s="236">
        <f t="shared" si="102"/>
        <v>0</v>
      </c>
      <c r="BR92" s="236">
        <f t="shared" si="103"/>
        <v>0</v>
      </c>
      <c r="BS92" s="236">
        <f t="shared" si="104"/>
        <v>1</v>
      </c>
      <c r="BT92" s="236">
        <f t="shared" si="105"/>
        <v>0</v>
      </c>
      <c r="BU92" s="236">
        <f t="shared" si="106"/>
        <v>0</v>
      </c>
      <c r="BV92" s="236">
        <f t="shared" si="107"/>
        <v>1</v>
      </c>
      <c r="BW92" s="236">
        <f t="shared" si="87"/>
        <v>0</v>
      </c>
      <c r="BX92" s="236">
        <f t="shared" si="88"/>
        <v>0</v>
      </c>
      <c r="BY92" s="236">
        <f t="shared" si="89"/>
        <v>52</v>
      </c>
      <c r="BZ92" s="236"/>
      <c r="CA92" s="275" t="s">
        <v>364</v>
      </c>
      <c r="CB92" s="272" t="str">
        <f t="shared" si="60"/>
        <v>N/A</v>
      </c>
      <c r="CC92" s="272" t="str">
        <f t="shared" si="61"/>
        <v>N/A</v>
      </c>
      <c r="CD92" s="272" t="str">
        <f t="shared" si="62"/>
        <v>N/A</v>
      </c>
      <c r="CE92" s="284" t="str">
        <f t="shared" si="63"/>
        <v>N/A</v>
      </c>
      <c r="CF92" s="284" t="str">
        <f t="shared" si="64"/>
        <v>N/A</v>
      </c>
      <c r="CG92" s="284" t="str">
        <f t="shared" si="65"/>
        <v xml:space="preserve">Se realizaron dos (2) socializaciones: 
1. Bogota-Circular SIARC.
2. Cali- Reporte de información, Sistema integrado de gestión de riesgos , SIARC.
</v>
      </c>
      <c r="CH92" s="272" t="str">
        <f t="shared" si="66"/>
        <v>N/A</v>
      </c>
      <c r="CI92" s="211" t="str">
        <f t="shared" si="67"/>
        <v>N/A</v>
      </c>
      <c r="CJ92" s="211" t="str">
        <f t="shared" si="68"/>
        <v>N/A</v>
      </c>
      <c r="CK92" s="211" t="str">
        <f t="shared" si="69"/>
        <v>N/A</v>
      </c>
      <c r="CL92" s="211" t="str">
        <f t="shared" si="70"/>
        <v>N/A</v>
      </c>
      <c r="CM92" s="211" t="str">
        <f t="shared" si="71"/>
        <v>N/A</v>
      </c>
      <c r="CO92" s="211" t="s">
        <v>592</v>
      </c>
      <c r="CP92" s="211" t="s">
        <v>141</v>
      </c>
      <c r="CQ92" s="211" t="s">
        <v>288</v>
      </c>
      <c r="CR92" s="211" t="s">
        <v>593</v>
      </c>
      <c r="CS92" s="211" t="s">
        <v>596</v>
      </c>
      <c r="CT92" s="211" t="s">
        <v>288</v>
      </c>
      <c r="CU92" s="211" t="str">
        <f t="shared" si="72"/>
        <v>N/A</v>
      </c>
      <c r="CV92" s="211" t="str">
        <f t="shared" si="73"/>
        <v>N/A</v>
      </c>
      <c r="CW92" s="211" t="str">
        <f t="shared" si="74"/>
        <v>N/A</v>
      </c>
      <c r="CX92" s="211" t="str">
        <f t="shared" si="75"/>
        <v xml:space="preserve">Mediante AUTO N° 2025130000000090-7 DE 27-01-2025 se ordenó realizar el  seguimiento en campo a la EMPRESA PROMOTORA DE SALUD EPSS CONVIDA EN LIQUIDACIÓN, identificada con NIT 899.999.107-9
</v>
      </c>
      <c r="CY92" s="211" t="str">
        <f t="shared" si="76"/>
        <v>N/A</v>
      </c>
      <c r="CZ92" s="211" t="str">
        <f t="shared" si="77"/>
        <v>N/A</v>
      </c>
      <c r="DA92" s="211" t="str">
        <f t="shared" si="78"/>
        <v>N/A</v>
      </c>
      <c r="DB92" s="211" t="str">
        <f t="shared" si="79"/>
        <v>N/A</v>
      </c>
      <c r="DC92" s="211" t="str">
        <f t="shared" si="80"/>
        <v>N/A</v>
      </c>
      <c r="DD92" s="211" t="str">
        <f t="shared" si="81"/>
        <v>N/A</v>
      </c>
      <c r="DE92" s="211" t="str">
        <f t="shared" si="82"/>
        <v>N/A</v>
      </c>
      <c r="DF92" s="211" t="str">
        <f t="shared" si="83"/>
        <v>N/A</v>
      </c>
    </row>
    <row r="93" spans="1:110" s="211" customFormat="1" ht="382.5">
      <c r="A93" s="348" t="s">
        <v>190</v>
      </c>
      <c r="B93" s="211" t="s">
        <v>141</v>
      </c>
      <c r="C93" s="211" t="s">
        <v>180</v>
      </c>
      <c r="D93" s="211" t="s">
        <v>639</v>
      </c>
      <c r="E93" s="211" t="s">
        <v>640</v>
      </c>
      <c r="F93" s="348" t="s">
        <v>641</v>
      </c>
      <c r="G93" s="211" t="s">
        <v>178</v>
      </c>
      <c r="H93" s="211">
        <v>0.15</v>
      </c>
      <c r="I93" s="323">
        <v>4</v>
      </c>
      <c r="J93" s="323">
        <v>4</v>
      </c>
      <c r="K93" s="288">
        <v>1</v>
      </c>
      <c r="L93" s="211" t="s">
        <v>2972</v>
      </c>
      <c r="M93" s="211" t="b">
        <v>0</v>
      </c>
      <c r="O93" s="209" t="s">
        <v>2832</v>
      </c>
      <c r="P93" s="211" t="s">
        <v>159</v>
      </c>
      <c r="Q93" s="211" t="s">
        <v>160</v>
      </c>
      <c r="T93" s="236" t="s">
        <v>435</v>
      </c>
      <c r="U93" s="269"/>
      <c r="V93" s="269"/>
      <c r="W93" s="269">
        <v>79</v>
      </c>
      <c r="X93" s="269"/>
      <c r="Y93" s="269"/>
      <c r="Z93" s="269">
        <v>70</v>
      </c>
      <c r="AA93" s="269"/>
      <c r="AB93" s="269"/>
      <c r="AC93" s="269">
        <v>91</v>
      </c>
      <c r="AD93" s="269"/>
      <c r="AE93" s="269"/>
      <c r="AF93" s="269">
        <v>100</v>
      </c>
      <c r="AG93" s="269">
        <v>340</v>
      </c>
      <c r="AH93"/>
      <c r="AI93"/>
      <c r="AJ93" s="236" t="s">
        <v>435</v>
      </c>
      <c r="AK93" s="269"/>
      <c r="AL93" s="269"/>
      <c r="AM93" s="269">
        <v>70</v>
      </c>
      <c r="AN93" s="269"/>
      <c r="AO93" s="269"/>
      <c r="AP93" s="269">
        <v>70</v>
      </c>
      <c r="AQ93" s="269"/>
      <c r="AR93" s="269"/>
      <c r="AS93" s="269">
        <v>72</v>
      </c>
      <c r="AT93" s="269"/>
      <c r="AU93" s="269"/>
      <c r="AV93" s="269">
        <v>70</v>
      </c>
      <c r="AW93" s="269">
        <v>282</v>
      </c>
      <c r="AX93" s="236"/>
      <c r="AY93" s="236"/>
      <c r="AZ93" s="236"/>
      <c r="BA93" s="239" t="s">
        <v>492</v>
      </c>
      <c r="BB93" s="240">
        <f t="shared" si="90"/>
        <v>0</v>
      </c>
      <c r="BC93" s="240">
        <f t="shared" si="91"/>
        <v>0</v>
      </c>
      <c r="BD93" s="240">
        <f t="shared" si="92"/>
        <v>14</v>
      </c>
      <c r="BE93" s="240">
        <f t="shared" si="93"/>
        <v>0</v>
      </c>
      <c r="BF93" s="240">
        <f t="shared" si="94"/>
        <v>0</v>
      </c>
      <c r="BG93" s="240">
        <f t="shared" si="95"/>
        <v>27</v>
      </c>
      <c r="BH93" s="240">
        <f t="shared" si="96"/>
        <v>0</v>
      </c>
      <c r="BI93" s="240">
        <f t="shared" si="97"/>
        <v>0</v>
      </c>
      <c r="BJ93" s="240">
        <f t="shared" si="98"/>
        <v>11</v>
      </c>
      <c r="BK93" s="240">
        <f t="shared" si="84"/>
        <v>0</v>
      </c>
      <c r="BL93" s="240">
        <f t="shared" si="85"/>
        <v>0</v>
      </c>
      <c r="BM93" s="240">
        <f t="shared" si="86"/>
        <v>35</v>
      </c>
      <c r="BN93" s="211">
        <f t="shared" si="99"/>
        <v>0</v>
      </c>
      <c r="BO93" s="236">
        <f t="shared" si="100"/>
        <v>0</v>
      </c>
      <c r="BP93" s="236">
        <f t="shared" si="101"/>
        <v>14</v>
      </c>
      <c r="BQ93" s="236">
        <f t="shared" si="102"/>
        <v>0</v>
      </c>
      <c r="BR93" s="236">
        <f t="shared" si="103"/>
        <v>0</v>
      </c>
      <c r="BS93" s="236">
        <f t="shared" si="104"/>
        <v>27</v>
      </c>
      <c r="BT93" s="236">
        <f t="shared" si="105"/>
        <v>0</v>
      </c>
      <c r="BU93" s="236">
        <f t="shared" si="106"/>
        <v>0</v>
      </c>
      <c r="BV93" s="236">
        <f t="shared" si="107"/>
        <v>11</v>
      </c>
      <c r="BW93" s="236">
        <f t="shared" si="87"/>
        <v>0</v>
      </c>
      <c r="BX93" s="236">
        <f t="shared" si="88"/>
        <v>0</v>
      </c>
      <c r="BY93" s="236">
        <f t="shared" si="89"/>
        <v>35</v>
      </c>
      <c r="BZ93" s="236"/>
      <c r="CA93" s="275" t="s">
        <v>509</v>
      </c>
      <c r="CB93" s="272" t="str">
        <f t="shared" si="60"/>
        <v>N/A</v>
      </c>
      <c r="CC93" s="272" t="str">
        <f t="shared" si="61"/>
        <v>N/A</v>
      </c>
      <c r="CD93" s="272" t="str">
        <f t="shared" si="62"/>
        <v>N/A</v>
      </c>
      <c r="CE93" s="284" t="str">
        <f t="shared" si="63"/>
        <v>N/A</v>
      </c>
      <c r="CF93" s="284" t="str">
        <f t="shared" si="64"/>
        <v>N/A</v>
      </c>
      <c r="CG93" s="284" t="str">
        <f t="shared" si="65"/>
        <v xml:space="preserve">​De las  8 sanciones enviadas en grado de consulta, solamente una sanción no fue revocada, dado que el Despacho entendió que nuestras acciones no habían sido efectivas para garantizar el derecho a la salud de la accionante. 
</v>
      </c>
      <c r="CH93" s="272" t="str">
        <f t="shared" si="66"/>
        <v>N/A</v>
      </c>
      <c r="CI93" s="211" t="str">
        <f t="shared" si="67"/>
        <v>N/A</v>
      </c>
      <c r="CJ93" s="211" t="str">
        <f t="shared" si="68"/>
        <v>N/A</v>
      </c>
      <c r="CK93" s="211" t="str">
        <f t="shared" si="69"/>
        <v>N/A</v>
      </c>
      <c r="CL93" s="211" t="str">
        <f t="shared" si="70"/>
        <v>N/A</v>
      </c>
      <c r="CM93" s="211" t="str">
        <f t="shared" si="71"/>
        <v>N/A</v>
      </c>
      <c r="CO93" s="211" t="s">
        <v>190</v>
      </c>
      <c r="CP93" s="211" t="s">
        <v>141</v>
      </c>
      <c r="CQ93" s="211" t="s">
        <v>180</v>
      </c>
      <c r="CR93" s="211" t="s">
        <v>639</v>
      </c>
      <c r="CS93" s="211" t="s">
        <v>2972</v>
      </c>
      <c r="CT93" s="211" t="s">
        <v>180</v>
      </c>
      <c r="CU93" s="211" t="str">
        <f t="shared" si="72"/>
        <v>N/A</v>
      </c>
      <c r="CV93" s="211" t="str">
        <f t="shared" si="73"/>
        <v>N/A</v>
      </c>
      <c r="CW93" s="211" t="str">
        <f t="shared" si="74"/>
        <v>N/A</v>
      </c>
      <c r="CX93" s="211" t="str">
        <f t="shared" si="75"/>
        <v xml:space="preserve">En el primer cuatrimestre (Enero-Abril) de 2025 la Oficina de Control Disciplinario realizo cuatro (4) capacitaciones, charlas en materia disciplinaria, con las siguientes temáticas y participantes: 1) 18/02/2025 (Supervisión y su responsabilidad disciplinaria) 176 participantes  (Virtuales 168 y 8 presencial); 2) 28/02/2025 (Corrupción Publica; Deberes etc CGD  - 45 participantes (presencial); 3) 31/03/2025 (charla sobre derecho de petición y sus consecuencias disciplinarias) -   114 participantes (Virtual); 4) 25/04/2025 (Incompatibilidades y conflicto de intereses código general disciplinario – participantes 75  (Virtual)  -  Total participantes = 430 funcionarios.                         FebreroMarzoAbril
Total participantes: 176  (Virtuales 168 y 8 presencial)   - Primera 18/02/2025 (Supervisión)
Total participantes: 45  (presencial)  - Segunda 28/02/2025 (Corrupción Publica; Deberes etc CGD)
Total participantes: 114  (Virtual) 
Realizada: 31/03/2025 (charla sobre derecho de petición y sus consecuencias disciplinarias)
Total participantes: 75  (Virtual) 
Realizada: 25/04/2025 (Incompatibilidades y conflicto de intereses código general disciplinario
</v>
      </c>
      <c r="CY93" s="211" t="str">
        <f t="shared" si="76"/>
        <v>N/A</v>
      </c>
      <c r="CZ93" s="211" t="str">
        <f t="shared" si="77"/>
        <v>N/A</v>
      </c>
      <c r="DA93" s="211" t="str">
        <f t="shared" si="78"/>
        <v>N/A</v>
      </c>
      <c r="DB93" s="211" t="str">
        <f t="shared" si="79"/>
        <v>N/A</v>
      </c>
      <c r="DC93" s="211" t="str">
        <f t="shared" si="80"/>
        <v>N/A</v>
      </c>
      <c r="DD93" s="211" t="str">
        <f t="shared" si="81"/>
        <v>N/A</v>
      </c>
      <c r="DE93" s="211" t="str">
        <f t="shared" si="82"/>
        <v>N/A</v>
      </c>
      <c r="DF93" s="211" t="str">
        <f t="shared" si="83"/>
        <v>N/A</v>
      </c>
    </row>
    <row r="94" spans="1:110" s="211" customFormat="1" ht="204">
      <c r="A94" s="348" t="s">
        <v>190</v>
      </c>
      <c r="B94" s="211" t="s">
        <v>141</v>
      </c>
      <c r="C94" s="211" t="s">
        <v>182</v>
      </c>
      <c r="D94" s="211" t="s">
        <v>620</v>
      </c>
      <c r="E94" s="211" t="s">
        <v>621</v>
      </c>
      <c r="F94" s="348" t="s">
        <v>622</v>
      </c>
      <c r="G94" s="211" t="s">
        <v>178</v>
      </c>
      <c r="H94" s="211">
        <v>0.3</v>
      </c>
      <c r="I94" s="323">
        <v>101</v>
      </c>
      <c r="J94" s="323">
        <v>101</v>
      </c>
      <c r="K94" s="288">
        <v>1</v>
      </c>
      <c r="L94" s="211" t="s">
        <v>624</v>
      </c>
      <c r="M94" s="211" t="b">
        <v>0</v>
      </c>
      <c r="O94" s="209" t="s">
        <v>2832</v>
      </c>
      <c r="P94" s="211" t="s">
        <v>159</v>
      </c>
      <c r="Q94" s="211" t="s">
        <v>160</v>
      </c>
      <c r="T94" s="236" t="s">
        <v>584</v>
      </c>
      <c r="U94" s="269"/>
      <c r="V94" s="269"/>
      <c r="W94" s="269"/>
      <c r="X94" s="269">
        <v>155</v>
      </c>
      <c r="Y94" s="269"/>
      <c r="Z94" s="269"/>
      <c r="AA94" s="269"/>
      <c r="AB94" s="269">
        <v>60</v>
      </c>
      <c r="AC94" s="269"/>
      <c r="AD94" s="269"/>
      <c r="AE94" s="269"/>
      <c r="AF94" s="269">
        <v>131</v>
      </c>
      <c r="AG94" s="269">
        <v>346</v>
      </c>
      <c r="AH94"/>
      <c r="AI94"/>
      <c r="AJ94" s="236" t="s">
        <v>584</v>
      </c>
      <c r="AK94" s="269"/>
      <c r="AL94" s="269"/>
      <c r="AM94" s="269"/>
      <c r="AN94" s="269">
        <v>160</v>
      </c>
      <c r="AO94" s="269"/>
      <c r="AP94" s="269"/>
      <c r="AQ94" s="269"/>
      <c r="AR94" s="269">
        <v>82</v>
      </c>
      <c r="AS94" s="269"/>
      <c r="AT94" s="269"/>
      <c r="AU94" s="269"/>
      <c r="AV94" s="269">
        <v>173</v>
      </c>
      <c r="AW94" s="269">
        <v>415</v>
      </c>
      <c r="AX94" s="236"/>
      <c r="AY94" s="236"/>
      <c r="AZ94" s="236"/>
      <c r="BA94" s="239" t="s">
        <v>498</v>
      </c>
      <c r="BB94" s="240">
        <f t="shared" si="90"/>
        <v>0</v>
      </c>
      <c r="BC94" s="240">
        <f t="shared" si="91"/>
        <v>0</v>
      </c>
      <c r="BD94" s="240">
        <f t="shared" si="92"/>
        <v>10</v>
      </c>
      <c r="BE94" s="240">
        <f t="shared" si="93"/>
        <v>0</v>
      </c>
      <c r="BF94" s="240">
        <f t="shared" si="94"/>
        <v>0</v>
      </c>
      <c r="BG94" s="240">
        <f t="shared" si="95"/>
        <v>18</v>
      </c>
      <c r="BH94" s="240">
        <f t="shared" si="96"/>
        <v>0</v>
      </c>
      <c r="BI94" s="240">
        <f t="shared" si="97"/>
        <v>0</v>
      </c>
      <c r="BJ94" s="240">
        <f t="shared" si="98"/>
        <v>10</v>
      </c>
      <c r="BK94" s="240">
        <f t="shared" si="84"/>
        <v>0</v>
      </c>
      <c r="BL94" s="240">
        <f t="shared" si="85"/>
        <v>0</v>
      </c>
      <c r="BM94" s="240">
        <f t="shared" si="86"/>
        <v>18</v>
      </c>
      <c r="BN94" s="211">
        <f t="shared" si="99"/>
        <v>0</v>
      </c>
      <c r="BO94" s="236">
        <f t="shared" si="100"/>
        <v>0</v>
      </c>
      <c r="BP94" s="236">
        <f t="shared" si="101"/>
        <v>10</v>
      </c>
      <c r="BQ94" s="236">
        <f t="shared" si="102"/>
        <v>0</v>
      </c>
      <c r="BR94" s="236">
        <f t="shared" si="103"/>
        <v>0</v>
      </c>
      <c r="BS94" s="236">
        <f t="shared" si="104"/>
        <v>18</v>
      </c>
      <c r="BT94" s="236">
        <f t="shared" si="105"/>
        <v>0</v>
      </c>
      <c r="BU94" s="236">
        <f t="shared" si="106"/>
        <v>0</v>
      </c>
      <c r="BV94" s="236">
        <f t="shared" si="107"/>
        <v>12</v>
      </c>
      <c r="BW94" s="236">
        <f t="shared" si="87"/>
        <v>0</v>
      </c>
      <c r="BX94" s="236">
        <f t="shared" si="88"/>
        <v>0</v>
      </c>
      <c r="BY94" s="236">
        <f t="shared" si="89"/>
        <v>18</v>
      </c>
      <c r="BZ94" s="236"/>
      <c r="CA94" s="275" t="s">
        <v>471</v>
      </c>
      <c r="CB94" s="272" t="str">
        <f t="shared" si="60"/>
        <v>N/A</v>
      </c>
      <c r="CC94" s="272" t="str">
        <f t="shared" si="61"/>
        <v>N/A</v>
      </c>
      <c r="CD94" s="272" t="str">
        <f t="shared" si="62"/>
        <v>N/A</v>
      </c>
      <c r="CE94" s="284" t="str">
        <f t="shared" si="63"/>
        <v>N/A</v>
      </c>
      <c r="CF94" s="284" t="str">
        <f t="shared" si="64"/>
        <v>N/A</v>
      </c>
      <c r="CG94" s="284" t="str">
        <f t="shared" si="65"/>
        <v xml:space="preserve">En el primer semestre de 2025, todos los requerimientos por incidentes de desacato derivados de acciones de tutela en las que se consideró por parte del accionante la vulneración a derechos fundamentales por acciones u omisiones propias de la Entidad, fueron tramitados por el grupo de tutelas.
</v>
      </c>
      <c r="CH94" s="272" t="str">
        <f t="shared" si="66"/>
        <v>N/A</v>
      </c>
      <c r="CI94" s="211" t="str">
        <f t="shared" si="67"/>
        <v>N/A</v>
      </c>
      <c r="CJ94" s="211" t="str">
        <f t="shared" si="68"/>
        <v>N/A</v>
      </c>
      <c r="CK94" s="211" t="str">
        <f t="shared" si="69"/>
        <v>N/A</v>
      </c>
      <c r="CL94" s="211" t="str">
        <f t="shared" si="70"/>
        <v>N/A</v>
      </c>
      <c r="CM94" s="211" t="str">
        <f t="shared" si="71"/>
        <v>N/A</v>
      </c>
      <c r="CO94" s="211" t="s">
        <v>190</v>
      </c>
      <c r="CP94" s="211" t="s">
        <v>141</v>
      </c>
      <c r="CQ94" s="211" t="s">
        <v>182</v>
      </c>
      <c r="CR94" s="211" t="s">
        <v>620</v>
      </c>
      <c r="CS94" s="211" t="s">
        <v>624</v>
      </c>
      <c r="CT94" s="211" t="s">
        <v>182</v>
      </c>
      <c r="CU94" s="211" t="str">
        <f t="shared" si="72"/>
        <v>N/A</v>
      </c>
      <c r="CV94" s="211" t="str">
        <f t="shared" si="73"/>
        <v>N/A</v>
      </c>
      <c r="CW94" s="211" t="str">
        <f t="shared" si="74"/>
        <v>N/A</v>
      </c>
      <c r="CX94" s="211" t="str">
        <f t="shared" si="75"/>
        <v xml:space="preserve">​De las (101) noticias disciplinarias (Quejas, informe de servidor público o de oficio) recibidas en el segundo bimestre de 2025 (Marzo - Abril), se adelantaron las siguientes actuaciones: 17 (17%) Aperturas de indagación Previa; 70 (71%) Autos Inhibitorios; 7 (7%) Traslados por competencia y 6 (6%) Aperturas de Investigación Disciplinaria, profiriendo igual número de autos por el Coordinador del Grupo de Instrucción Disciplinaria en el periodo.
</v>
      </c>
      <c r="CY94" s="211" t="str">
        <f t="shared" si="76"/>
        <v>N/A</v>
      </c>
      <c r="CZ94" s="211" t="str">
        <f t="shared" si="77"/>
        <v>N/A</v>
      </c>
      <c r="DA94" s="211" t="str">
        <f t="shared" si="78"/>
        <v>N/A</v>
      </c>
      <c r="DB94" s="211" t="str">
        <f t="shared" si="79"/>
        <v>N/A</v>
      </c>
      <c r="DC94" s="211" t="str">
        <f t="shared" si="80"/>
        <v>N/A</v>
      </c>
      <c r="DD94" s="211" t="str">
        <f t="shared" si="81"/>
        <v>N/A</v>
      </c>
      <c r="DE94" s="211" t="str">
        <f t="shared" si="82"/>
        <v>N/A</v>
      </c>
      <c r="DF94" s="211" t="str">
        <f t="shared" si="83"/>
        <v>N/A</v>
      </c>
    </row>
    <row r="95" spans="1:110" s="211" customFormat="1" ht="191.25">
      <c r="A95" s="348" t="s">
        <v>190</v>
      </c>
      <c r="B95" s="211" t="s">
        <v>141</v>
      </c>
      <c r="C95" s="211" t="s">
        <v>216</v>
      </c>
      <c r="D95" s="211" t="s">
        <v>217</v>
      </c>
      <c r="E95" s="211" t="s">
        <v>557</v>
      </c>
      <c r="F95" s="348" t="s">
        <v>219</v>
      </c>
      <c r="G95" s="211" t="s">
        <v>178</v>
      </c>
      <c r="H95" s="211">
        <v>1</v>
      </c>
      <c r="I95" s="323">
        <v>146</v>
      </c>
      <c r="J95" s="323">
        <v>146</v>
      </c>
      <c r="K95" s="288">
        <v>1</v>
      </c>
      <c r="L95" s="211" t="s">
        <v>558</v>
      </c>
      <c r="M95" s="211" t="b">
        <v>0</v>
      </c>
      <c r="O95" s="209" t="s">
        <v>2832</v>
      </c>
      <c r="P95" s="211" t="s">
        <v>159</v>
      </c>
      <c r="Q95" s="211" t="s">
        <v>160</v>
      </c>
      <c r="T95" s="236" t="s">
        <v>392</v>
      </c>
      <c r="U95" s="269"/>
      <c r="V95" s="269"/>
      <c r="W95" s="269">
        <v>746</v>
      </c>
      <c r="X95" s="269"/>
      <c r="Y95" s="269"/>
      <c r="Z95" s="269">
        <v>0</v>
      </c>
      <c r="AA95" s="269"/>
      <c r="AB95" s="269"/>
      <c r="AC95" s="269">
        <v>85</v>
      </c>
      <c r="AD95" s="269"/>
      <c r="AE95" s="269"/>
      <c r="AF95" s="269">
        <v>12</v>
      </c>
      <c r="AG95" s="269">
        <v>843</v>
      </c>
      <c r="AH95"/>
      <c r="AI95"/>
      <c r="AJ95" s="236" t="s">
        <v>392</v>
      </c>
      <c r="AK95" s="269"/>
      <c r="AL95" s="269"/>
      <c r="AM95" s="269">
        <v>746</v>
      </c>
      <c r="AN95" s="269"/>
      <c r="AO95" s="269"/>
      <c r="AP95" s="269">
        <v>0</v>
      </c>
      <c r="AQ95" s="269"/>
      <c r="AR95" s="269"/>
      <c r="AS95" s="269">
        <v>102</v>
      </c>
      <c r="AT95" s="269"/>
      <c r="AU95" s="269"/>
      <c r="AV95" s="269">
        <v>17</v>
      </c>
      <c r="AW95" s="269">
        <v>865</v>
      </c>
      <c r="AX95" s="236"/>
      <c r="AY95" s="236"/>
      <c r="AZ95" s="236"/>
      <c r="BA95" s="239" t="s">
        <v>503</v>
      </c>
      <c r="BB95" s="240">
        <f t="shared" si="90"/>
        <v>0</v>
      </c>
      <c r="BC95" s="240">
        <f t="shared" si="91"/>
        <v>0</v>
      </c>
      <c r="BD95" s="240">
        <f t="shared" si="92"/>
        <v>1</v>
      </c>
      <c r="BE95" s="240">
        <f t="shared" si="93"/>
        <v>0</v>
      </c>
      <c r="BF95" s="240">
        <f t="shared" si="94"/>
        <v>0</v>
      </c>
      <c r="BG95" s="240">
        <f t="shared" si="95"/>
        <v>5</v>
      </c>
      <c r="BH95" s="240">
        <f t="shared" si="96"/>
        <v>0</v>
      </c>
      <c r="BI95" s="240">
        <f t="shared" si="97"/>
        <v>0</v>
      </c>
      <c r="BJ95" s="240">
        <f t="shared" si="98"/>
        <v>2</v>
      </c>
      <c r="BK95" s="240">
        <f t="shared" si="84"/>
        <v>0</v>
      </c>
      <c r="BL95" s="240">
        <f t="shared" si="85"/>
        <v>0</v>
      </c>
      <c r="BM95" s="240">
        <f t="shared" si="86"/>
        <v>8</v>
      </c>
      <c r="BN95" s="211">
        <f t="shared" si="99"/>
        <v>0</v>
      </c>
      <c r="BO95" s="236">
        <f t="shared" si="100"/>
        <v>0</v>
      </c>
      <c r="BP95" s="236">
        <f t="shared" si="101"/>
        <v>1</v>
      </c>
      <c r="BQ95" s="236">
        <f t="shared" si="102"/>
        <v>0</v>
      </c>
      <c r="BR95" s="236">
        <f t="shared" si="103"/>
        <v>0</v>
      </c>
      <c r="BS95" s="236">
        <f t="shared" si="104"/>
        <v>5</v>
      </c>
      <c r="BT95" s="236">
        <f t="shared" si="105"/>
        <v>0</v>
      </c>
      <c r="BU95" s="236">
        <f t="shared" si="106"/>
        <v>0</v>
      </c>
      <c r="BV95" s="236">
        <f t="shared" si="107"/>
        <v>2</v>
      </c>
      <c r="BW95" s="236">
        <f t="shared" si="87"/>
        <v>0</v>
      </c>
      <c r="BX95" s="236">
        <f t="shared" si="88"/>
        <v>0</v>
      </c>
      <c r="BY95" s="236">
        <f t="shared" si="89"/>
        <v>8</v>
      </c>
      <c r="BZ95" s="236"/>
      <c r="CA95" s="275" t="s">
        <v>277</v>
      </c>
      <c r="CB95" s="272" t="str">
        <f t="shared" si="60"/>
        <v>N/A</v>
      </c>
      <c r="CC95" s="272" t="str">
        <f t="shared" si="61"/>
        <v>N/A</v>
      </c>
      <c r="CD95" s="272" t="str">
        <f t="shared" si="62"/>
        <v>N/A</v>
      </c>
      <c r="CE95" s="284" t="str">
        <f t="shared" si="63"/>
        <v>N/A</v>
      </c>
      <c r="CF95" s="284" t="str">
        <f t="shared" si="64"/>
        <v>N/A</v>
      </c>
      <c r="CG95" s="284" t="str">
        <f t="shared" si="65"/>
        <v xml:space="preserve">​Dentro del periodo a reportar la Subdirección de Recursos Jurídicos cumplió con el indicador propuesto (100%), toda vez que, resolvió  los recursos de única instancia en el termino de oportunidad de dos meses desde la fecha de recepción del recursos. 
 Dentro de los asuntos gestionados se encuentran 13 recursos de reposición y una solicitud de revocatoria directa.
</v>
      </c>
      <c r="CH95" s="272" t="str">
        <f t="shared" si="66"/>
        <v>N/A</v>
      </c>
      <c r="CI95" s="211" t="str">
        <f t="shared" si="67"/>
        <v>N/A</v>
      </c>
      <c r="CJ95" s="211" t="str">
        <f t="shared" si="68"/>
        <v>N/A</v>
      </c>
      <c r="CK95" s="211" t="str">
        <f t="shared" si="69"/>
        <v>N/A</v>
      </c>
      <c r="CL95" s="211" t="str">
        <f t="shared" si="70"/>
        <v>N/A</v>
      </c>
      <c r="CM95" s="211" t="str">
        <f t="shared" si="71"/>
        <v>N/A</v>
      </c>
      <c r="CO95" s="211" t="s">
        <v>190</v>
      </c>
      <c r="CP95" s="211" t="s">
        <v>141</v>
      </c>
      <c r="CQ95" s="211" t="s">
        <v>216</v>
      </c>
      <c r="CR95" s="211" t="s">
        <v>217</v>
      </c>
      <c r="CS95" s="211" t="s">
        <v>558</v>
      </c>
      <c r="CT95" s="211" t="s">
        <v>216</v>
      </c>
      <c r="CU95" s="211" t="str">
        <f t="shared" si="72"/>
        <v>N/A</v>
      </c>
      <c r="CV95" s="211" t="str">
        <f t="shared" si="73"/>
        <v>N/A</v>
      </c>
      <c r="CW95" s="211" t="str">
        <f t="shared" si="74"/>
        <v>N/A</v>
      </c>
      <c r="CX95" s="211" t="str">
        <f t="shared" si="75"/>
        <v xml:space="preserve">​Durante el mes de Abril, se gestionaron  146 cuentas que fueron radicadas en los tiempos estipulados de acuerdo con la Circular Interna 2022920020000026-4 de 2022,asi mismo, los documentos radicados despues del dia 25 calendario se tramitaron en el siguiente mes. Por lo cual, se cumplió con la meta del indicador del 100%, (146/146) habiendo gestionado la totalidad de las cuentas radicadas con un tiempo de gestión de 1,8 dias hábiles. Se adjunta base con relación de cuentas radicadas y gestionadas, asi como el reporte del indicador con la correspondiente gráfica
</v>
      </c>
      <c r="CY95" s="211" t="str">
        <f t="shared" si="76"/>
        <v>N/A</v>
      </c>
      <c r="CZ95" s="211" t="str">
        <f t="shared" si="77"/>
        <v>N/A</v>
      </c>
      <c r="DA95" s="211" t="str">
        <f t="shared" si="78"/>
        <v>N/A</v>
      </c>
      <c r="DB95" s="211" t="str">
        <f t="shared" si="79"/>
        <v>N/A</v>
      </c>
      <c r="DC95" s="211" t="str">
        <f t="shared" si="80"/>
        <v>N/A</v>
      </c>
      <c r="DD95" s="211" t="str">
        <f t="shared" si="81"/>
        <v>N/A</v>
      </c>
      <c r="DE95" s="211" t="str">
        <f t="shared" si="82"/>
        <v>N/A</v>
      </c>
      <c r="DF95" s="211" t="str">
        <f t="shared" si="83"/>
        <v>N/A</v>
      </c>
    </row>
    <row r="96" spans="1:110" s="211" customFormat="1" ht="191.25">
      <c r="A96" s="348" t="s">
        <v>190</v>
      </c>
      <c r="B96" s="211" t="s">
        <v>141</v>
      </c>
      <c r="C96" s="211" t="s">
        <v>459</v>
      </c>
      <c r="D96" s="211" t="s">
        <v>552</v>
      </c>
      <c r="E96" s="211" t="s">
        <v>553</v>
      </c>
      <c r="F96" s="348" t="s">
        <v>554</v>
      </c>
      <c r="G96" s="211" t="s">
        <v>178</v>
      </c>
      <c r="H96" s="211">
        <v>1</v>
      </c>
      <c r="I96" s="323">
        <v>11</v>
      </c>
      <c r="J96" s="323">
        <v>11</v>
      </c>
      <c r="K96" s="288">
        <v>1</v>
      </c>
      <c r="L96" s="211" t="s">
        <v>555</v>
      </c>
      <c r="M96" s="211" t="b">
        <v>0</v>
      </c>
      <c r="O96" s="209" t="s">
        <v>2832</v>
      </c>
      <c r="P96" s="211" t="s">
        <v>159</v>
      </c>
      <c r="Q96" s="211" t="s">
        <v>160</v>
      </c>
      <c r="T96" s="236" t="s">
        <v>575</v>
      </c>
      <c r="U96" s="269"/>
      <c r="V96" s="269"/>
      <c r="W96" s="269"/>
      <c r="X96" s="269">
        <v>828</v>
      </c>
      <c r="Y96" s="269"/>
      <c r="Z96" s="269"/>
      <c r="AA96" s="269"/>
      <c r="AB96" s="269">
        <v>211</v>
      </c>
      <c r="AC96" s="269"/>
      <c r="AD96" s="269"/>
      <c r="AE96" s="269"/>
      <c r="AF96" s="269">
        <v>513</v>
      </c>
      <c r="AG96" s="269">
        <v>1552</v>
      </c>
      <c r="AH96"/>
      <c r="AI96"/>
      <c r="AJ96" s="236" t="s">
        <v>575</v>
      </c>
      <c r="AK96" s="269"/>
      <c r="AL96" s="269"/>
      <c r="AM96" s="269"/>
      <c r="AN96" s="269">
        <v>919</v>
      </c>
      <c r="AO96" s="269"/>
      <c r="AP96" s="269"/>
      <c r="AQ96" s="269"/>
      <c r="AR96" s="269">
        <v>276</v>
      </c>
      <c r="AS96" s="269"/>
      <c r="AT96" s="269"/>
      <c r="AU96" s="269"/>
      <c r="AV96" s="269">
        <v>645</v>
      </c>
      <c r="AW96" s="269">
        <v>1840</v>
      </c>
      <c r="AX96" s="236"/>
      <c r="AY96" s="236"/>
      <c r="AZ96" s="236"/>
      <c r="BA96" s="239" t="s">
        <v>573</v>
      </c>
      <c r="BB96" s="240">
        <f t="shared" si="90"/>
        <v>0</v>
      </c>
      <c r="BC96" s="240">
        <f t="shared" si="91"/>
        <v>0</v>
      </c>
      <c r="BD96" s="240">
        <f t="shared" si="92"/>
        <v>0</v>
      </c>
      <c r="BE96" s="240">
        <f t="shared" si="93"/>
        <v>0</v>
      </c>
      <c r="BF96" s="240">
        <f t="shared" si="94"/>
        <v>0</v>
      </c>
      <c r="BG96" s="240">
        <f t="shared" si="95"/>
        <v>7</v>
      </c>
      <c r="BH96" s="240">
        <f t="shared" si="96"/>
        <v>0</v>
      </c>
      <c r="BI96" s="240">
        <f t="shared" si="97"/>
        <v>0</v>
      </c>
      <c r="BJ96" s="240">
        <f t="shared" si="98"/>
        <v>0</v>
      </c>
      <c r="BK96" s="240">
        <f t="shared" si="84"/>
        <v>0</v>
      </c>
      <c r="BL96" s="240">
        <f t="shared" si="85"/>
        <v>0</v>
      </c>
      <c r="BM96" s="240">
        <f t="shared" si="86"/>
        <v>16</v>
      </c>
      <c r="BN96" s="211">
        <f t="shared" si="99"/>
        <v>0</v>
      </c>
      <c r="BO96" s="236">
        <f t="shared" si="100"/>
        <v>0</v>
      </c>
      <c r="BP96" s="236">
        <f t="shared" si="101"/>
        <v>0</v>
      </c>
      <c r="BQ96" s="236">
        <f t="shared" si="102"/>
        <v>0</v>
      </c>
      <c r="BR96" s="236">
        <f t="shared" si="103"/>
        <v>0</v>
      </c>
      <c r="BS96" s="236">
        <f t="shared" si="104"/>
        <v>7</v>
      </c>
      <c r="BT96" s="236">
        <f t="shared" si="105"/>
        <v>0</v>
      </c>
      <c r="BU96" s="236">
        <f t="shared" si="106"/>
        <v>0</v>
      </c>
      <c r="BV96" s="236">
        <f t="shared" si="107"/>
        <v>0</v>
      </c>
      <c r="BW96" s="236">
        <f t="shared" si="87"/>
        <v>0</v>
      </c>
      <c r="BX96" s="236">
        <f t="shared" si="88"/>
        <v>0</v>
      </c>
      <c r="BY96" s="236">
        <f t="shared" si="89"/>
        <v>7</v>
      </c>
      <c r="BZ96" s="236"/>
      <c r="CA96" s="275" t="s">
        <v>282</v>
      </c>
      <c r="CB96" s="272" t="str">
        <f t="shared" si="60"/>
        <v>N/A</v>
      </c>
      <c r="CC96" s="272" t="str">
        <f t="shared" si="61"/>
        <v>N/A</v>
      </c>
      <c r="CD96" s="272" t="str">
        <f t="shared" si="62"/>
        <v>N/A</v>
      </c>
      <c r="CE96" s="284" t="str">
        <f t="shared" si="63"/>
        <v>N/A</v>
      </c>
      <c r="CF96" s="284" t="str">
        <f t="shared" si="64"/>
        <v>N/A</v>
      </c>
      <c r="CG96" s="284" t="str">
        <f t="shared" si="65"/>
        <v xml:space="preserve">​Durante el periodo a reportar (2025-1) está Subdirección  cumplió con el indicador propuesto (100%),  entregando para firma y notificación los actos administrativos en el termino previsto por el artículo 52 de la Ley 1437.
 Dentro del periodo a reportar, se encuentran 102 asuntos que resuelven apelación, 5 que resuelven recurso de queja y  7 que resuelven solicitudes de revocatoria directa.
</v>
      </c>
      <c r="CH96" s="272" t="str">
        <f t="shared" si="66"/>
        <v>N/A</v>
      </c>
      <c r="CI96" s="211" t="str">
        <f t="shared" si="67"/>
        <v>N/A</v>
      </c>
      <c r="CJ96" s="211" t="str">
        <f t="shared" si="68"/>
        <v>N/A</v>
      </c>
      <c r="CK96" s="211" t="str">
        <f t="shared" si="69"/>
        <v>N/A</v>
      </c>
      <c r="CL96" s="211" t="str">
        <f t="shared" si="70"/>
        <v>N/A</v>
      </c>
      <c r="CM96" s="211" t="str">
        <f t="shared" si="71"/>
        <v>N/A</v>
      </c>
      <c r="CO96" s="211" t="s">
        <v>190</v>
      </c>
      <c r="CP96" s="211" t="s">
        <v>141</v>
      </c>
      <c r="CQ96" s="211" t="s">
        <v>459</v>
      </c>
      <c r="CR96" s="211" t="s">
        <v>552</v>
      </c>
      <c r="CS96" s="211" t="s">
        <v>555</v>
      </c>
      <c r="CT96" s="211" t="s">
        <v>459</v>
      </c>
      <c r="CU96" s="211" t="str">
        <f t="shared" si="72"/>
        <v>N/A</v>
      </c>
      <c r="CV96" s="211" t="str">
        <f t="shared" si="73"/>
        <v>N/A</v>
      </c>
      <c r="CW96" s="211" t="str">
        <f t="shared" si="74"/>
        <v>N/A</v>
      </c>
      <c r="CX96" s="211" t="str">
        <f t="shared" si="75"/>
        <v xml:space="preserve">​Teniendo en cuenta el indicador Plan Anual de Gestión (PAG) correspondiente al Grupo de Cobro Persuasivo y Jurisdicción Coactiva de cara a resolver en el término establecido por la Ley excepciones a Mandamientos de Pago y Facilidades de pago, cuya solicitud cumpla con las condiciones establecidas, se entiende que durante el primer cuatrimestre del año 2025, se recibieron 6 facilidades de pago y 5 excepciones a mandamiento de pago, todas estas solicitudes cumplían con las condiciones necesarias para iniciar el trámite correspondiente, por lo que las 11 fueron atendidas dentro del plazo legal, alcanzando así un cumplimiento del 100%. 
</v>
      </c>
      <c r="CY96" s="211" t="str">
        <f t="shared" si="76"/>
        <v>N/A</v>
      </c>
      <c r="CZ96" s="211" t="str">
        <f t="shared" si="77"/>
        <v>N/A</v>
      </c>
      <c r="DA96" s="211" t="str">
        <f t="shared" si="78"/>
        <v>N/A</v>
      </c>
      <c r="DB96" s="211" t="str">
        <f t="shared" si="79"/>
        <v>N/A</v>
      </c>
      <c r="DC96" s="211" t="str">
        <f t="shared" si="80"/>
        <v>N/A</v>
      </c>
      <c r="DD96" s="211" t="str">
        <f t="shared" si="81"/>
        <v>N/A</v>
      </c>
      <c r="DE96" s="211" t="str">
        <f t="shared" si="82"/>
        <v>N/A</v>
      </c>
      <c r="DF96" s="211" t="str">
        <f t="shared" si="83"/>
        <v>N/A</v>
      </c>
    </row>
    <row r="97" spans="1:110" s="211" customFormat="1" ht="153">
      <c r="A97" s="348" t="s">
        <v>190</v>
      </c>
      <c r="B97" s="211" t="s">
        <v>141</v>
      </c>
      <c r="C97" s="211" t="s">
        <v>465</v>
      </c>
      <c r="D97" s="211" t="s">
        <v>559</v>
      </c>
      <c r="E97" s="211" t="s">
        <v>560</v>
      </c>
      <c r="F97" s="348" t="s">
        <v>561</v>
      </c>
      <c r="G97" s="211" t="s">
        <v>178</v>
      </c>
      <c r="H97" s="211">
        <v>1</v>
      </c>
      <c r="I97" s="323">
        <v>8</v>
      </c>
      <c r="J97" s="323">
        <v>8</v>
      </c>
      <c r="K97" s="288">
        <v>1</v>
      </c>
      <c r="L97" s="211" t="s">
        <v>562</v>
      </c>
      <c r="M97" s="211" t="b">
        <v>0</v>
      </c>
      <c r="O97" s="209" t="s">
        <v>2832</v>
      </c>
      <c r="P97" s="211" t="s">
        <v>159</v>
      </c>
      <c r="Q97" s="211" t="s">
        <v>160</v>
      </c>
      <c r="T97" s="236" t="s">
        <v>579</v>
      </c>
      <c r="U97" s="269"/>
      <c r="V97" s="269"/>
      <c r="W97" s="269"/>
      <c r="X97" s="269">
        <v>102</v>
      </c>
      <c r="Y97" s="269"/>
      <c r="Z97" s="269"/>
      <c r="AA97" s="269"/>
      <c r="AB97" s="269">
        <v>151</v>
      </c>
      <c r="AC97" s="269"/>
      <c r="AD97" s="269"/>
      <c r="AE97" s="269"/>
      <c r="AF97" s="269">
        <v>114</v>
      </c>
      <c r="AG97" s="269">
        <v>367</v>
      </c>
      <c r="AH97"/>
      <c r="AI97"/>
      <c r="AJ97" s="236" t="s">
        <v>579</v>
      </c>
      <c r="AK97" s="269"/>
      <c r="AL97" s="269"/>
      <c r="AM97" s="269"/>
      <c r="AN97" s="269">
        <v>106</v>
      </c>
      <c r="AO97" s="269"/>
      <c r="AP97" s="269"/>
      <c r="AQ97" s="269"/>
      <c r="AR97" s="269">
        <v>196</v>
      </c>
      <c r="AS97" s="269"/>
      <c r="AT97" s="269"/>
      <c r="AU97" s="269"/>
      <c r="AV97" s="269">
        <v>126</v>
      </c>
      <c r="AW97" s="269">
        <v>428</v>
      </c>
      <c r="AX97" s="236"/>
      <c r="AY97" s="236"/>
      <c r="AZ97" s="236"/>
      <c r="BA97" s="239" t="s">
        <v>418</v>
      </c>
      <c r="BB97" s="240">
        <f t="shared" si="90"/>
        <v>0</v>
      </c>
      <c r="BC97" s="240">
        <f t="shared" si="91"/>
        <v>0</v>
      </c>
      <c r="BD97" s="240">
        <f t="shared" si="92"/>
        <v>134953</v>
      </c>
      <c r="BE97" s="240">
        <f t="shared" si="93"/>
        <v>0</v>
      </c>
      <c r="BF97" s="240">
        <f t="shared" si="94"/>
        <v>0</v>
      </c>
      <c r="BG97" s="240">
        <f t="shared" si="95"/>
        <v>96046</v>
      </c>
      <c r="BH97" s="240">
        <f t="shared" si="96"/>
        <v>0</v>
      </c>
      <c r="BI97" s="240">
        <f t="shared" si="97"/>
        <v>0</v>
      </c>
      <c r="BJ97" s="240">
        <f t="shared" si="98"/>
        <v>80680</v>
      </c>
      <c r="BK97" s="240">
        <f t="shared" si="84"/>
        <v>0</v>
      </c>
      <c r="BL97" s="240">
        <f t="shared" si="85"/>
        <v>0</v>
      </c>
      <c r="BM97" s="240">
        <f t="shared" si="86"/>
        <v>181062</v>
      </c>
      <c r="BN97" s="211">
        <f t="shared" si="99"/>
        <v>0</v>
      </c>
      <c r="BO97" s="236">
        <f t="shared" si="100"/>
        <v>0</v>
      </c>
      <c r="BP97" s="236">
        <f t="shared" si="101"/>
        <v>156221</v>
      </c>
      <c r="BQ97" s="236">
        <f t="shared" si="102"/>
        <v>0</v>
      </c>
      <c r="BR97" s="236">
        <f t="shared" si="103"/>
        <v>0</v>
      </c>
      <c r="BS97" s="236">
        <f t="shared" si="104"/>
        <v>111133</v>
      </c>
      <c r="BT97" s="236">
        <f t="shared" si="105"/>
        <v>0</v>
      </c>
      <c r="BU97" s="236">
        <f t="shared" si="106"/>
        <v>0</v>
      </c>
      <c r="BV97" s="236">
        <f t="shared" si="107"/>
        <v>99341</v>
      </c>
      <c r="BW97" s="236">
        <f t="shared" si="87"/>
        <v>0</v>
      </c>
      <c r="BX97" s="236">
        <f t="shared" si="88"/>
        <v>0</v>
      </c>
      <c r="BY97" s="236">
        <f t="shared" si="89"/>
        <v>202681</v>
      </c>
      <c r="BZ97" s="236"/>
      <c r="CA97" s="275" t="s">
        <v>475</v>
      </c>
      <c r="CB97" s="272" t="str">
        <f t="shared" si="60"/>
        <v>N/A</v>
      </c>
      <c r="CC97" s="272" t="str">
        <f t="shared" si="61"/>
        <v>N/A</v>
      </c>
      <c r="CD97" s="272" t="str">
        <f t="shared" si="62"/>
        <v>N/A</v>
      </c>
      <c r="CE97" s="284" t="str">
        <f t="shared" si="63"/>
        <v>N/A</v>
      </c>
      <c r="CF97" s="284" t="str">
        <f t="shared" si="64"/>
        <v>N/A</v>
      </c>
      <c r="CG97" s="284" t="str">
        <f t="shared" si="65"/>
        <v xml:space="preserve">Durante el primer semestre de 2025 se obtuvieron los resultados relacionados en el documento adjunto, en el cual se evidencian tanto los porcentajes de respuesta a peticiones en tiempo como los porcentajes de aquellas que fueron atendidas de manera extemporánea, en su mayoría porque llegaron vencidos a la Dirección Jurídica. ​
</v>
      </c>
      <c r="CH97" s="272" t="str">
        <f t="shared" si="66"/>
        <v>N/A</v>
      </c>
      <c r="CI97" s="211" t="str">
        <f t="shared" si="67"/>
        <v>N/A</v>
      </c>
      <c r="CJ97" s="211" t="str">
        <f t="shared" si="68"/>
        <v>N/A</v>
      </c>
      <c r="CK97" s="211" t="str">
        <f t="shared" si="69"/>
        <v>N/A</v>
      </c>
      <c r="CL97" s="211" t="str">
        <f t="shared" si="70"/>
        <v>N/A</v>
      </c>
      <c r="CM97" s="211" t="str">
        <f t="shared" si="71"/>
        <v>N/A</v>
      </c>
      <c r="CO97" s="211" t="s">
        <v>190</v>
      </c>
      <c r="CP97" s="211" t="s">
        <v>141</v>
      </c>
      <c r="CQ97" s="211" t="s">
        <v>465</v>
      </c>
      <c r="CR97" s="211" t="s">
        <v>559</v>
      </c>
      <c r="CS97" s="211" t="s">
        <v>562</v>
      </c>
      <c r="CT97" s="211" t="s">
        <v>465</v>
      </c>
      <c r="CU97" s="211" t="str">
        <f t="shared" si="72"/>
        <v>N/A</v>
      </c>
      <c r="CV97" s="211" t="str">
        <f t="shared" si="73"/>
        <v>N/A</v>
      </c>
      <c r="CW97" s="211" t="str">
        <f t="shared" si="74"/>
        <v>N/A</v>
      </c>
      <c r="CX97" s="211" t="str">
        <f t="shared" si="75"/>
        <v xml:space="preserve">​Durante el primer cuatrimestre de la vigencia 2025, se logró la conciliación de cartera con 8 entidades sin proceso concursal, enlistadas a continuación: Departamento del Cesar; Gobierno Departamental del Tolima; Municipio de Piedras; Empresa Social del Estado Hospital Sagrado Corazón; Dental Solution Limitada; Empresa Social del Estado Hospital San Juan de Dios Floridablanca; Municipio de Planeta Rica; Empresa Social del Estado Hospital de Ponedora. Logrando cumplir la meta del 100%.
</v>
      </c>
      <c r="CY97" s="211" t="str">
        <f t="shared" si="76"/>
        <v>N/A</v>
      </c>
      <c r="CZ97" s="211" t="str">
        <f t="shared" si="77"/>
        <v>N/A</v>
      </c>
      <c r="DA97" s="211" t="str">
        <f t="shared" si="78"/>
        <v>N/A</v>
      </c>
      <c r="DB97" s="211" t="str">
        <f t="shared" si="79"/>
        <v>N/A</v>
      </c>
      <c r="DC97" s="211" t="str">
        <f t="shared" si="80"/>
        <v>N/A</v>
      </c>
      <c r="DD97" s="211" t="str">
        <f t="shared" si="81"/>
        <v>N/A</v>
      </c>
      <c r="DE97" s="211" t="str">
        <f t="shared" si="82"/>
        <v>N/A</v>
      </c>
      <c r="DF97" s="211" t="str">
        <f t="shared" si="83"/>
        <v>N/A</v>
      </c>
    </row>
    <row r="98" spans="1:110" s="211" customFormat="1" ht="306">
      <c r="A98" s="348" t="s">
        <v>271</v>
      </c>
      <c r="B98" s="211" t="s">
        <v>142</v>
      </c>
      <c r="C98" s="211" t="s">
        <v>225</v>
      </c>
      <c r="D98" s="211" t="s">
        <v>293</v>
      </c>
      <c r="E98" s="211" t="s">
        <v>294</v>
      </c>
      <c r="F98" s="348" t="s">
        <v>295</v>
      </c>
      <c r="G98" s="211" t="s">
        <v>157</v>
      </c>
      <c r="H98" s="211">
        <v>5</v>
      </c>
      <c r="I98" s="323">
        <v>5</v>
      </c>
      <c r="J98" s="323">
        <v>5</v>
      </c>
      <c r="K98" s="288">
        <v>1</v>
      </c>
      <c r="L98" s="211" t="s">
        <v>2973</v>
      </c>
      <c r="M98" s="211" t="b">
        <v>1</v>
      </c>
      <c r="N98" s="211" t="s">
        <v>597</v>
      </c>
      <c r="O98" s="209" t="s">
        <v>2832</v>
      </c>
      <c r="P98" s="211" t="s">
        <v>159</v>
      </c>
      <c r="Q98" s="211" t="s">
        <v>160</v>
      </c>
      <c r="T98" s="236" t="s">
        <v>440</v>
      </c>
      <c r="U98" s="269"/>
      <c r="V98" s="269"/>
      <c r="W98" s="269">
        <v>7</v>
      </c>
      <c r="X98" s="269"/>
      <c r="Y98" s="269"/>
      <c r="Z98" s="269">
        <v>11</v>
      </c>
      <c r="AA98" s="269"/>
      <c r="AB98" s="269"/>
      <c r="AC98" s="269">
        <v>10</v>
      </c>
      <c r="AD98" s="269"/>
      <c r="AE98" s="269"/>
      <c r="AF98" s="269">
        <v>13</v>
      </c>
      <c r="AG98" s="269">
        <v>41</v>
      </c>
      <c r="AH98"/>
      <c r="AI98"/>
      <c r="AJ98" s="236" t="s">
        <v>440</v>
      </c>
      <c r="AK98" s="269"/>
      <c r="AL98" s="269"/>
      <c r="AM98" s="269">
        <v>5</v>
      </c>
      <c r="AN98" s="269"/>
      <c r="AO98" s="269"/>
      <c r="AP98" s="269">
        <v>10</v>
      </c>
      <c r="AQ98" s="269"/>
      <c r="AR98" s="269"/>
      <c r="AS98" s="269">
        <v>10</v>
      </c>
      <c r="AT98" s="269"/>
      <c r="AU98" s="269"/>
      <c r="AV98" s="269">
        <v>5</v>
      </c>
      <c r="AW98" s="269">
        <v>30</v>
      </c>
      <c r="AX98" s="236"/>
      <c r="AY98" s="236"/>
      <c r="AZ98" s="236"/>
      <c r="BA98" s="239" t="s">
        <v>444</v>
      </c>
      <c r="BB98" s="240">
        <f t="shared" si="90"/>
        <v>0</v>
      </c>
      <c r="BC98" s="240">
        <f t="shared" si="91"/>
        <v>0</v>
      </c>
      <c r="BD98" s="240">
        <f t="shared" si="92"/>
        <v>427884</v>
      </c>
      <c r="BE98" s="240">
        <f t="shared" si="93"/>
        <v>0</v>
      </c>
      <c r="BF98" s="240">
        <f t="shared" si="94"/>
        <v>0</v>
      </c>
      <c r="BG98" s="240">
        <f t="shared" si="95"/>
        <v>432616</v>
      </c>
      <c r="BH98" s="240">
        <f t="shared" si="96"/>
        <v>0</v>
      </c>
      <c r="BI98" s="240">
        <f t="shared" si="97"/>
        <v>0</v>
      </c>
      <c r="BJ98" s="240">
        <f t="shared" si="98"/>
        <v>504428</v>
      </c>
      <c r="BK98" s="240">
        <f t="shared" si="84"/>
        <v>0</v>
      </c>
      <c r="BL98" s="240">
        <f t="shared" si="85"/>
        <v>0</v>
      </c>
      <c r="BM98" s="240">
        <f t="shared" si="86"/>
        <v>458199</v>
      </c>
      <c r="BN98" s="211">
        <f t="shared" si="99"/>
        <v>0</v>
      </c>
      <c r="BO98" s="236">
        <f t="shared" si="100"/>
        <v>0</v>
      </c>
      <c r="BP98" s="236">
        <f t="shared" si="101"/>
        <v>427884</v>
      </c>
      <c r="BQ98" s="236">
        <f t="shared" si="102"/>
        <v>0</v>
      </c>
      <c r="BR98" s="236">
        <f t="shared" si="103"/>
        <v>0</v>
      </c>
      <c r="BS98" s="236">
        <f t="shared" si="104"/>
        <v>432616</v>
      </c>
      <c r="BT98" s="236">
        <f t="shared" si="105"/>
        <v>0</v>
      </c>
      <c r="BU98" s="236">
        <f t="shared" si="106"/>
        <v>0</v>
      </c>
      <c r="BV98" s="236">
        <f t="shared" si="107"/>
        <v>504428</v>
      </c>
      <c r="BW98" s="236">
        <f t="shared" si="87"/>
        <v>0</v>
      </c>
      <c r="BX98" s="236">
        <f t="shared" si="88"/>
        <v>0</v>
      </c>
      <c r="BY98" s="236">
        <f t="shared" si="89"/>
        <v>458199</v>
      </c>
      <c r="BZ98" s="236"/>
      <c r="CA98" s="275" t="s">
        <v>324</v>
      </c>
      <c r="CB98" s="272" t="str">
        <f t="shared" si="60"/>
        <v>N/A</v>
      </c>
      <c r="CC98" s="272" t="str">
        <f t="shared" si="61"/>
        <v>​Durante el primer trimestre de 2025 fue publicado el nuevo formato de boletín (Magazine Jurídico) correspondiente al último trimestre de 2024, en este se hizo una recopilación de los conceptos más relevantes emitidos por la Dirección Jurídica sobre el tema de medicamentos.</v>
      </c>
      <c r="CD98" s="272" t="str">
        <f t="shared" si="62"/>
        <v>N/A</v>
      </c>
      <c r="CE98" s="284" t="str">
        <f t="shared" si="63"/>
        <v>N/A</v>
      </c>
      <c r="CF98" s="284" t="str">
        <f t="shared" si="64"/>
        <v>N/A</v>
      </c>
      <c r="CG98" s="284" t="str">
        <f t="shared" si="65"/>
        <v>N/A</v>
      </c>
      <c r="CH98" s="272" t="str">
        <f t="shared" si="66"/>
        <v>N/A</v>
      </c>
      <c r="CI98" s="211" t="str">
        <f t="shared" si="67"/>
        <v>N/A</v>
      </c>
      <c r="CJ98" s="211" t="str">
        <f t="shared" si="68"/>
        <v>N/A</v>
      </c>
      <c r="CK98" s="211" t="str">
        <f t="shared" si="69"/>
        <v>N/A</v>
      </c>
      <c r="CL98" s="211" t="str">
        <f t="shared" si="70"/>
        <v>N/A</v>
      </c>
      <c r="CM98" s="211" t="str">
        <f t="shared" si="71"/>
        <v>N/A</v>
      </c>
      <c r="CO98" s="211" t="s">
        <v>271</v>
      </c>
      <c r="CP98" s="211" t="s">
        <v>142</v>
      </c>
      <c r="CQ98" s="211" t="s">
        <v>225</v>
      </c>
      <c r="CR98" s="211" t="s">
        <v>293</v>
      </c>
      <c r="CS98" s="211" t="s">
        <v>2973</v>
      </c>
      <c r="CT98" s="211" t="s">
        <v>225</v>
      </c>
      <c r="CU98" s="211" t="str">
        <f t="shared" si="72"/>
        <v>N/A</v>
      </c>
      <c r="CV98" s="211" t="str">
        <f t="shared" si="73"/>
        <v>N/A</v>
      </c>
      <c r="CW98" s="211" t="str">
        <f t="shared" si="74"/>
        <v>N/A</v>
      </c>
      <c r="CX98" s="211" t="str">
        <f t="shared" si="75"/>
        <v>N/A</v>
      </c>
      <c r="CY98" s="211" t="str">
        <f t="shared" si="76"/>
        <v>​Durante el mes de mayo, la Superintendencia Delegada para Entidades Territoriales y Generadores, Recaudadores y Administradores de Recursos del SGSSS realizó desde sus diferentes direcciones y grupos de trabajo cinco (5) seguimientos a auditorías ejecutadas, siendo estos: 
1. Departamento de Tolima (Auto Nro. 2024590010000924-7 del 14-08-2024): primer seguimiento.
2. Instituto Departamental de Salud de Nariño (Auto Nro. 2024500010000937-7 del 16 de agosto del 2024): primer seguimiento.
3. Municipio deEl Líbano - Tolima (Auto No. 2024580000000840-7 de 16-07-2024): segundo seguimiento.
4. Departamento del Amazonas (Auto2024500010000814-7 de 8 de julio de 2024) : segundo seguimiento.
5. Empresa Industrial y Comercial del Estado Administradora del Monopolio Rentístico de los Juegos de Suerte y Azar, denominada-COLJUEGOS (2024590000000580-7): primer seguimiento.</v>
      </c>
      <c r="CZ98" s="211" t="str">
        <f t="shared" si="77"/>
        <v>N/A</v>
      </c>
      <c r="DA98" s="211" t="str">
        <f t="shared" si="78"/>
        <v>N/A</v>
      </c>
      <c r="DB98" s="211" t="str">
        <f t="shared" si="79"/>
        <v>N/A</v>
      </c>
      <c r="DC98" s="211" t="str">
        <f t="shared" si="80"/>
        <v>N/A</v>
      </c>
      <c r="DD98" s="211" t="str">
        <f t="shared" si="81"/>
        <v>N/A</v>
      </c>
      <c r="DE98" s="211" t="str">
        <f t="shared" si="82"/>
        <v>N/A</v>
      </c>
      <c r="DF98" s="211" t="str">
        <f t="shared" si="83"/>
        <v>N/A</v>
      </c>
    </row>
    <row r="99" spans="1:110" s="211" customFormat="1" ht="369.75">
      <c r="A99" s="348" t="s">
        <v>271</v>
      </c>
      <c r="B99" s="211" t="s">
        <v>142</v>
      </c>
      <c r="C99" s="211" t="s">
        <v>307</v>
      </c>
      <c r="D99" s="211" t="s">
        <v>308</v>
      </c>
      <c r="E99" s="211" t="s">
        <v>309</v>
      </c>
      <c r="F99" s="348" t="s">
        <v>310</v>
      </c>
      <c r="G99" s="211" t="s">
        <v>157</v>
      </c>
      <c r="H99" s="211">
        <v>7</v>
      </c>
      <c r="I99" s="323">
        <v>4</v>
      </c>
      <c r="J99" s="323">
        <v>7</v>
      </c>
      <c r="K99" s="288">
        <v>0.57142857142857095</v>
      </c>
      <c r="L99" s="211" t="s">
        <v>2974</v>
      </c>
      <c r="M99" s="211" t="b">
        <v>0</v>
      </c>
      <c r="O99" s="209" t="s">
        <v>2832</v>
      </c>
      <c r="P99" s="211" t="s">
        <v>159</v>
      </c>
      <c r="Q99" s="211" t="s">
        <v>160</v>
      </c>
      <c r="T99" s="236" t="s">
        <v>449</v>
      </c>
      <c r="U99" s="269"/>
      <c r="V99" s="269"/>
      <c r="W99" s="269">
        <v>91364</v>
      </c>
      <c r="X99" s="269"/>
      <c r="Y99" s="269"/>
      <c r="Z99" s="269">
        <v>87742</v>
      </c>
      <c r="AA99" s="269"/>
      <c r="AB99" s="269"/>
      <c r="AC99" s="269">
        <v>93348</v>
      </c>
      <c r="AD99" s="269"/>
      <c r="AE99" s="269"/>
      <c r="AF99" s="269">
        <v>86630</v>
      </c>
      <c r="AG99" s="269">
        <v>359084</v>
      </c>
      <c r="AH99"/>
      <c r="AI99"/>
      <c r="AJ99" s="236" t="s">
        <v>449</v>
      </c>
      <c r="AK99" s="269"/>
      <c r="AL99" s="269"/>
      <c r="AM99" s="269">
        <v>91364</v>
      </c>
      <c r="AN99" s="269"/>
      <c r="AO99" s="269"/>
      <c r="AP99" s="269">
        <v>87742</v>
      </c>
      <c r="AQ99" s="269"/>
      <c r="AR99" s="269"/>
      <c r="AS99" s="269">
        <v>93348</v>
      </c>
      <c r="AT99" s="269"/>
      <c r="AU99" s="269"/>
      <c r="AV99" s="269">
        <v>86630</v>
      </c>
      <c r="AW99" s="269">
        <v>359084</v>
      </c>
      <c r="AX99" s="236"/>
      <c r="AY99" s="236"/>
      <c r="AZ99" s="236"/>
      <c r="BA99" s="239" t="s">
        <v>435</v>
      </c>
      <c r="BB99" s="240">
        <f t="shared" si="90"/>
        <v>0</v>
      </c>
      <c r="BC99" s="240">
        <f t="shared" si="91"/>
        <v>0</v>
      </c>
      <c r="BD99" s="240">
        <f t="shared" si="92"/>
        <v>79</v>
      </c>
      <c r="BE99" s="240">
        <f t="shared" si="93"/>
        <v>0</v>
      </c>
      <c r="BF99" s="240">
        <f t="shared" si="94"/>
        <v>0</v>
      </c>
      <c r="BG99" s="240">
        <f t="shared" si="95"/>
        <v>70</v>
      </c>
      <c r="BH99" s="240">
        <f t="shared" si="96"/>
        <v>0</v>
      </c>
      <c r="BI99" s="240">
        <f t="shared" si="97"/>
        <v>0</v>
      </c>
      <c r="BJ99" s="240">
        <f t="shared" si="98"/>
        <v>91</v>
      </c>
      <c r="BK99" s="240">
        <f t="shared" si="84"/>
        <v>0</v>
      </c>
      <c r="BL99" s="240">
        <f t="shared" si="85"/>
        <v>0</v>
      </c>
      <c r="BM99" s="240">
        <f t="shared" si="86"/>
        <v>100</v>
      </c>
      <c r="BN99" s="211">
        <f t="shared" si="99"/>
        <v>0</v>
      </c>
      <c r="BO99" s="236">
        <f t="shared" si="100"/>
        <v>0</v>
      </c>
      <c r="BP99" s="236">
        <f t="shared" si="101"/>
        <v>70</v>
      </c>
      <c r="BQ99" s="236">
        <f t="shared" si="102"/>
        <v>0</v>
      </c>
      <c r="BR99" s="236">
        <f t="shared" si="103"/>
        <v>0</v>
      </c>
      <c r="BS99" s="236">
        <f t="shared" si="104"/>
        <v>70</v>
      </c>
      <c r="BT99" s="236">
        <f t="shared" si="105"/>
        <v>0</v>
      </c>
      <c r="BU99" s="236">
        <f t="shared" si="106"/>
        <v>0</v>
      </c>
      <c r="BV99" s="236">
        <f t="shared" si="107"/>
        <v>72</v>
      </c>
      <c r="BW99" s="236">
        <f t="shared" si="87"/>
        <v>0</v>
      </c>
      <c r="BX99" s="236">
        <f t="shared" si="88"/>
        <v>0</v>
      </c>
      <c r="BY99" s="236">
        <f t="shared" si="89"/>
        <v>70</v>
      </c>
      <c r="BZ99" s="236"/>
      <c r="CA99" s="275" t="s">
        <v>336</v>
      </c>
      <c r="CB99" s="272" t="str">
        <f t="shared" ref="CB99:CB130" si="108">+VLOOKUP(CA99,CT:DF,2,FALSE)</f>
        <v>N/A</v>
      </c>
      <c r="CC99" s="272" t="str">
        <f t="shared" ref="CC99:CC131" si="109">+VLOOKUP(CA99,CT:DF,3,FALSE)</f>
        <v>N/A</v>
      </c>
      <c r="CD99" s="272" t="str">
        <f t="shared" ref="CD99:CD131" si="110">+VLOOKUP(CA99,CT:DF,4,FALSE)</f>
        <v xml:space="preserve">​En el primer trimestre del año 2025, se recibieron en total 155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Ahora bien, de las 155 demandas radicadas, se notificaron 17 autos admisorios de la demanda por lo que, los abogados del Grupo de Defensa Judicial realizaron la contestación de estas 17 demandas en el término otorgado por la ley, y 138 asuntos judiciales están en trámite de proyección por no haberse notificado a la fecha el auto admisorio de estas demandas; en conclusión se tiene un total de 155 procesos judiciales y un cumplimiento del 100% respecto de las demandas notificadas y contestadas dentro del término legal.
</v>
      </c>
      <c r="CE99" s="284" t="str">
        <f t="shared" ref="CE99:CE131" si="111">+VLOOKUP(CA99,CT:DF,5,FALSE)</f>
        <v>N/A</v>
      </c>
      <c r="CF99" s="284" t="str">
        <f t="shared" ref="CF99:CF131" si="112">+VLOOKUP(CA99,CT:DF,6,FALSE)</f>
        <v>N/A</v>
      </c>
      <c r="CG99" s="284" t="str">
        <f t="shared" ref="CG99:CG131" si="113">+VLOOKUP(CA99,CT:DF,7,FALSE)</f>
        <v>N/A</v>
      </c>
      <c r="CH99" s="272" t="str">
        <f t="shared" ref="CH99:CH131" si="114">+VLOOKUP(CA99,CT:DF,8,FALSE)</f>
        <v>N/A</v>
      </c>
      <c r="CI99" s="211" t="str">
        <f t="shared" ref="CI99:CI131" si="115">+VLOOKUP(CA99,CT:DF,9,FALSE)</f>
        <v>N/A</v>
      </c>
      <c r="CJ99" s="211" t="str">
        <f t="shared" ref="CJ99:CJ131" si="116">+VLOOKUP(CA99,CT:DF,10,FALSE)</f>
        <v>N/A</v>
      </c>
      <c r="CK99" s="211" t="str">
        <f t="shared" ref="CK99:CK131" si="117">+VLOOKUP(CA99,CT:DF,11,FALSE)</f>
        <v>N/A</v>
      </c>
      <c r="CL99" s="211" t="str">
        <f t="shared" ref="CL99:CL131" si="118">+VLOOKUP(CA99,CT:DF,12,FALSE)</f>
        <v>N/A</v>
      </c>
      <c r="CM99" s="211" t="str">
        <f t="shared" ref="CM99:CM131" si="119">+VLOOKUP(CA99,CT:DF,13,FALSE)</f>
        <v>N/A</v>
      </c>
      <c r="CO99" s="211" t="s">
        <v>271</v>
      </c>
      <c r="CP99" s="211" t="s">
        <v>142</v>
      </c>
      <c r="CQ99" s="211" t="s">
        <v>307</v>
      </c>
      <c r="CR99" s="211" t="s">
        <v>308</v>
      </c>
      <c r="CS99" s="211" t="s">
        <v>2974</v>
      </c>
      <c r="CT99" s="211" t="s">
        <v>307</v>
      </c>
      <c r="CU99" s="211" t="str">
        <f t="shared" si="72"/>
        <v>N/A</v>
      </c>
      <c r="CV99" s="211" t="str">
        <f t="shared" si="73"/>
        <v>N/A</v>
      </c>
      <c r="CW99" s="211" t="str">
        <f t="shared" si="74"/>
        <v>N/A</v>
      </c>
      <c r="CX99" s="211" t="str">
        <f t="shared" si="75"/>
        <v>N/A</v>
      </c>
      <c r="CY99" s="211" t="str">
        <f t="shared" si="76"/>
        <v xml:space="preserve">​Durante el mes de mayo, la Superintendencia Delegada para Entidades Territoriales y Generadores, Recaudadores y Administradores de Recursos del SGSSS realizó cuatro (4) Mesas de Gobernanza así:
1. Huila (responsabilidades frente a la atención de emergencia por brote de Fiebre Amarilla en el territorio.)
2. Casanare.
3. Meta.
4. Tolima.
Es importante mencionar, que esta Delegada ha concentrado sus esfuerzos en el proceso de organización y cierre de las acciones de inspección y vigilancia que se encontraban en curso, con el fin de garantizar la adecuada entrega de productos y actividades a cargo antes de la transición de personal derivada del concurso de méritos.
Esta situación administrativa prioritaria limitó la disponibilidad de personal de las Direcciones Regionales para la realización de las mesas de gobernanza, razón por la cual no fue posible ejecutar la totalidad de las acciones programadas para este indicador. No obstante, se tiene previsto retomar esta actividad en el mes de junio.
</v>
      </c>
      <c r="CZ99" s="211" t="str">
        <f t="shared" si="77"/>
        <v>N/A</v>
      </c>
      <c r="DA99" s="211" t="str">
        <f t="shared" si="78"/>
        <v>N/A</v>
      </c>
      <c r="DB99" s="211" t="str">
        <f t="shared" si="79"/>
        <v>N/A</v>
      </c>
      <c r="DC99" s="211" t="str">
        <f t="shared" si="80"/>
        <v>N/A</v>
      </c>
      <c r="DD99" s="211" t="str">
        <f t="shared" si="81"/>
        <v>N/A</v>
      </c>
      <c r="DE99" s="211" t="str">
        <f t="shared" si="82"/>
        <v>N/A</v>
      </c>
      <c r="DF99" s="211" t="str">
        <f t="shared" si="83"/>
        <v>N/A</v>
      </c>
    </row>
    <row r="100" spans="1:110" s="211" customFormat="1" ht="127.5">
      <c r="A100" s="348" t="s">
        <v>454</v>
      </c>
      <c r="B100" s="211" t="s">
        <v>142</v>
      </c>
      <c r="C100" s="211" t="s">
        <v>223</v>
      </c>
      <c r="D100" s="211" t="s">
        <v>455</v>
      </c>
      <c r="E100" s="211" t="s">
        <v>456</v>
      </c>
      <c r="F100" s="348" t="s">
        <v>457</v>
      </c>
      <c r="G100" s="211" t="s">
        <v>157</v>
      </c>
      <c r="H100" s="211">
        <v>1</v>
      </c>
      <c r="I100" s="323">
        <v>1</v>
      </c>
      <c r="J100" s="323">
        <v>1</v>
      </c>
      <c r="K100" s="288">
        <v>1</v>
      </c>
      <c r="L100" s="211" t="s">
        <v>601</v>
      </c>
      <c r="M100" s="211" t="b">
        <v>0</v>
      </c>
      <c r="O100" s="209" t="s">
        <v>2832</v>
      </c>
      <c r="P100" s="211" t="s">
        <v>159</v>
      </c>
      <c r="Q100" s="211" t="s">
        <v>160</v>
      </c>
      <c r="T100" s="236" t="s">
        <v>598</v>
      </c>
      <c r="U100" s="269"/>
      <c r="V100" s="269"/>
      <c r="W100" s="269"/>
      <c r="X100" s="269"/>
      <c r="Y100" s="269"/>
      <c r="Z100" s="269">
        <v>30</v>
      </c>
      <c r="AA100" s="269"/>
      <c r="AB100" s="269"/>
      <c r="AC100" s="269"/>
      <c r="AD100" s="269"/>
      <c r="AE100" s="269"/>
      <c r="AF100" s="269">
        <v>1</v>
      </c>
      <c r="AG100" s="269">
        <v>31</v>
      </c>
      <c r="AH100"/>
      <c r="AI100"/>
      <c r="AJ100" s="236" t="s">
        <v>598</v>
      </c>
      <c r="AK100" s="269"/>
      <c r="AL100" s="269"/>
      <c r="AM100" s="269"/>
      <c r="AN100" s="269"/>
      <c r="AO100" s="269"/>
      <c r="AP100" s="269">
        <v>30</v>
      </c>
      <c r="AQ100" s="269"/>
      <c r="AR100" s="269"/>
      <c r="AS100" s="269"/>
      <c r="AT100" s="269"/>
      <c r="AU100" s="269"/>
      <c r="AV100" s="269">
        <v>1</v>
      </c>
      <c r="AW100" s="269">
        <v>31</v>
      </c>
      <c r="AX100" s="236"/>
      <c r="AY100" s="236"/>
      <c r="AZ100" s="236"/>
      <c r="BA100" s="239" t="s">
        <v>584</v>
      </c>
      <c r="BB100" s="240">
        <f t="shared" si="90"/>
        <v>0</v>
      </c>
      <c r="BC100" s="240">
        <f t="shared" si="91"/>
        <v>0</v>
      </c>
      <c r="BD100" s="240">
        <f t="shared" si="92"/>
        <v>0</v>
      </c>
      <c r="BE100" s="240">
        <f t="shared" si="93"/>
        <v>155</v>
      </c>
      <c r="BF100" s="240">
        <f t="shared" si="94"/>
        <v>0</v>
      </c>
      <c r="BG100" s="240">
        <f t="shared" si="95"/>
        <v>0</v>
      </c>
      <c r="BH100" s="240">
        <f t="shared" si="96"/>
        <v>0</v>
      </c>
      <c r="BI100" s="240">
        <f t="shared" si="97"/>
        <v>60</v>
      </c>
      <c r="BJ100" s="240">
        <f t="shared" si="98"/>
        <v>0</v>
      </c>
      <c r="BK100" s="240">
        <f t="shared" si="84"/>
        <v>0</v>
      </c>
      <c r="BL100" s="240">
        <f t="shared" si="85"/>
        <v>0</v>
      </c>
      <c r="BM100" s="240">
        <f t="shared" si="86"/>
        <v>131</v>
      </c>
      <c r="BN100" s="211">
        <f t="shared" si="99"/>
        <v>0</v>
      </c>
      <c r="BO100" s="236">
        <f t="shared" si="100"/>
        <v>0</v>
      </c>
      <c r="BP100" s="236">
        <f t="shared" si="101"/>
        <v>0</v>
      </c>
      <c r="BQ100" s="236">
        <f t="shared" si="102"/>
        <v>160</v>
      </c>
      <c r="BR100" s="236">
        <f t="shared" si="103"/>
        <v>0</v>
      </c>
      <c r="BS100" s="236">
        <f t="shared" si="104"/>
        <v>0</v>
      </c>
      <c r="BT100" s="236">
        <f t="shared" si="105"/>
        <v>0</v>
      </c>
      <c r="BU100" s="236">
        <f t="shared" si="106"/>
        <v>82</v>
      </c>
      <c r="BV100" s="236">
        <f t="shared" si="107"/>
        <v>0</v>
      </c>
      <c r="BW100" s="236">
        <f t="shared" si="87"/>
        <v>0</v>
      </c>
      <c r="BX100" s="236">
        <f t="shared" si="88"/>
        <v>0</v>
      </c>
      <c r="BY100" s="236">
        <f t="shared" si="89"/>
        <v>173</v>
      </c>
      <c r="BZ100" s="236"/>
      <c r="CA100" s="275" t="s">
        <v>342</v>
      </c>
      <c r="CB100" s="272" t="str">
        <f t="shared" si="108"/>
        <v>N/A</v>
      </c>
      <c r="CC100" s="272" t="str">
        <f t="shared" si="109"/>
        <v>N/A</v>
      </c>
      <c r="CD100" s="272" t="str">
        <f t="shared" si="110"/>
        <v xml:space="preserve">​En el primer trimestre del año 2025, se recibieron 211 solicitudes de conciliación extrajudicial; de las cuales 197 fueron presentadas y decididas por el Comité de Conciliación, y 14 se encuentran en proyecto para ser presentadas en el próximo comité, para un total de 211 solicitudes, cumpliéndose este indicador en un 93,36%
</v>
      </c>
      <c r="CE100" s="284" t="str">
        <f t="shared" si="111"/>
        <v>N/A</v>
      </c>
      <c r="CF100" s="284" t="str">
        <f t="shared" si="112"/>
        <v>N/A</v>
      </c>
      <c r="CG100" s="284" t="str">
        <f t="shared" si="113"/>
        <v>N/A</v>
      </c>
      <c r="CH100" s="272" t="str">
        <f t="shared" si="114"/>
        <v>N/A</v>
      </c>
      <c r="CI100" s="211" t="str">
        <f t="shared" si="115"/>
        <v>N/A</v>
      </c>
      <c r="CJ100" s="211" t="str">
        <f t="shared" si="116"/>
        <v>N/A</v>
      </c>
      <c r="CK100" s="211" t="str">
        <f t="shared" si="117"/>
        <v>N/A</v>
      </c>
      <c r="CL100" s="211" t="str">
        <f t="shared" si="118"/>
        <v>N/A</v>
      </c>
      <c r="CM100" s="211" t="str">
        <f t="shared" si="119"/>
        <v>N/A</v>
      </c>
      <c r="CO100" s="211" t="s">
        <v>454</v>
      </c>
      <c r="CP100" s="211" t="s">
        <v>142</v>
      </c>
      <c r="CQ100" s="211" t="s">
        <v>223</v>
      </c>
      <c r="CR100" s="211" t="s">
        <v>455</v>
      </c>
      <c r="CS100" s="211" t="s">
        <v>601</v>
      </c>
      <c r="CT100" s="211" t="s">
        <v>223</v>
      </c>
      <c r="CU100" s="211" t="str">
        <f t="shared" si="72"/>
        <v>N/A</v>
      </c>
      <c r="CV100" s="211" t="str">
        <f t="shared" si="73"/>
        <v>N/A</v>
      </c>
      <c r="CW100" s="211" t="str">
        <f t="shared" si="74"/>
        <v>N/A</v>
      </c>
      <c r="CX100" s="211" t="str">
        <f t="shared" si="75"/>
        <v>N/A</v>
      </c>
      <c r="CY100" s="211" t="str">
        <f t="shared" si="76"/>
        <v xml:space="preserve">​Se realizó auditoria integral  en al Gestor Farmacéutico  GENHOSPI SAS en el departamento de Nariño , del 28 al 30 de mayo  ordenada a través de Auto 2025600030000695-7, las auditorias son fundamentales en el desarrollo de las acciones de IVC a nuestros vigilados y el cumplimiento al Programa de Auditorias. Se da cumplimiento al 100% de lo propuesto para el mes de mayo.
</v>
      </c>
      <c r="CZ100" s="211" t="str">
        <f t="shared" si="77"/>
        <v>N/A</v>
      </c>
      <c r="DA100" s="211" t="str">
        <f t="shared" si="78"/>
        <v>N/A</v>
      </c>
      <c r="DB100" s="211" t="str">
        <f t="shared" si="79"/>
        <v>N/A</v>
      </c>
      <c r="DC100" s="211" t="str">
        <f t="shared" si="80"/>
        <v>N/A</v>
      </c>
      <c r="DD100" s="211" t="str">
        <f t="shared" si="81"/>
        <v>N/A</v>
      </c>
      <c r="DE100" s="211" t="str">
        <f t="shared" si="82"/>
        <v>N/A</v>
      </c>
      <c r="DF100" s="211" t="str">
        <f t="shared" si="83"/>
        <v>N/A</v>
      </c>
    </row>
    <row r="101" spans="1:110" s="211" customFormat="1" ht="204">
      <c r="A101" s="348" t="s">
        <v>454</v>
      </c>
      <c r="B101" s="211" t="s">
        <v>142</v>
      </c>
      <c r="C101" s="211" t="s">
        <v>460</v>
      </c>
      <c r="D101" s="211" t="s">
        <v>461</v>
      </c>
      <c r="E101" s="211" t="s">
        <v>462</v>
      </c>
      <c r="F101" s="348" t="s">
        <v>463</v>
      </c>
      <c r="G101" s="211" t="s">
        <v>157</v>
      </c>
      <c r="H101" s="211">
        <v>1</v>
      </c>
      <c r="I101" s="323">
        <v>1</v>
      </c>
      <c r="J101" s="323">
        <v>1</v>
      </c>
      <c r="K101" s="288">
        <v>1</v>
      </c>
      <c r="L101" s="211" t="s">
        <v>2975</v>
      </c>
      <c r="M101" s="211" t="b">
        <v>0</v>
      </c>
      <c r="O101" s="209" t="s">
        <v>2832</v>
      </c>
      <c r="P101" s="211" t="s">
        <v>159</v>
      </c>
      <c r="Q101" s="211" t="s">
        <v>160</v>
      </c>
      <c r="T101" s="236" t="s">
        <v>599</v>
      </c>
      <c r="U101" s="269"/>
      <c r="V101" s="269"/>
      <c r="W101" s="269"/>
      <c r="X101" s="269"/>
      <c r="Y101" s="269"/>
      <c r="Z101" s="269">
        <v>935</v>
      </c>
      <c r="AA101" s="269"/>
      <c r="AB101" s="269"/>
      <c r="AC101" s="269"/>
      <c r="AD101" s="269"/>
      <c r="AE101" s="269"/>
      <c r="AF101" s="269">
        <v>102</v>
      </c>
      <c r="AG101" s="269">
        <v>1037</v>
      </c>
      <c r="AH101"/>
      <c r="AI101"/>
      <c r="AJ101" s="236" t="s">
        <v>599</v>
      </c>
      <c r="AK101" s="269"/>
      <c r="AL101" s="269"/>
      <c r="AM101" s="269"/>
      <c r="AN101" s="269"/>
      <c r="AO101" s="269"/>
      <c r="AP101" s="269">
        <v>935</v>
      </c>
      <c r="AQ101" s="269"/>
      <c r="AR101" s="269"/>
      <c r="AS101" s="269"/>
      <c r="AT101" s="269"/>
      <c r="AU101" s="269"/>
      <c r="AV101" s="269">
        <v>102</v>
      </c>
      <c r="AW101" s="269">
        <v>1037</v>
      </c>
      <c r="AX101" s="236"/>
      <c r="AY101" s="236"/>
      <c r="AZ101" s="236"/>
      <c r="BA101" s="239" t="s">
        <v>392</v>
      </c>
      <c r="BB101" s="240">
        <f t="shared" si="90"/>
        <v>0</v>
      </c>
      <c r="BC101" s="240">
        <f t="shared" si="91"/>
        <v>0</v>
      </c>
      <c r="BD101" s="240">
        <f t="shared" si="92"/>
        <v>746</v>
      </c>
      <c r="BE101" s="240">
        <f t="shared" si="93"/>
        <v>0</v>
      </c>
      <c r="BF101" s="240">
        <f t="shared" si="94"/>
        <v>0</v>
      </c>
      <c r="BG101" s="240">
        <f t="shared" si="95"/>
        <v>0</v>
      </c>
      <c r="BH101" s="240">
        <f t="shared" si="96"/>
        <v>0</v>
      </c>
      <c r="BI101" s="240">
        <f t="shared" si="97"/>
        <v>0</v>
      </c>
      <c r="BJ101" s="240">
        <f t="shared" si="98"/>
        <v>85</v>
      </c>
      <c r="BK101" s="240">
        <f t="shared" si="84"/>
        <v>0</v>
      </c>
      <c r="BL101" s="240">
        <f t="shared" si="85"/>
        <v>0</v>
      </c>
      <c r="BM101" s="240">
        <f t="shared" si="86"/>
        <v>12</v>
      </c>
      <c r="BN101" s="211">
        <f t="shared" si="99"/>
        <v>0</v>
      </c>
      <c r="BO101" s="236">
        <f t="shared" si="100"/>
        <v>0</v>
      </c>
      <c r="BP101" s="236">
        <f t="shared" si="101"/>
        <v>746</v>
      </c>
      <c r="BQ101" s="236">
        <f t="shared" si="102"/>
        <v>0</v>
      </c>
      <c r="BR101" s="236">
        <f t="shared" si="103"/>
        <v>0</v>
      </c>
      <c r="BS101" s="236">
        <f t="shared" si="104"/>
        <v>0</v>
      </c>
      <c r="BT101" s="236">
        <f t="shared" si="105"/>
        <v>0</v>
      </c>
      <c r="BU101" s="236">
        <f t="shared" si="106"/>
        <v>0</v>
      </c>
      <c r="BV101" s="236">
        <f t="shared" si="107"/>
        <v>102</v>
      </c>
      <c r="BW101" s="236">
        <f t="shared" si="87"/>
        <v>0</v>
      </c>
      <c r="BX101" s="236">
        <f t="shared" si="88"/>
        <v>0</v>
      </c>
      <c r="BY101" s="236">
        <f t="shared" si="89"/>
        <v>17</v>
      </c>
      <c r="BZ101" s="236"/>
      <c r="CA101" s="275" t="s">
        <v>513</v>
      </c>
      <c r="CB101" s="272" t="str">
        <f t="shared" si="108"/>
        <v>N/A</v>
      </c>
      <c r="CC101" s="272" t="str">
        <f t="shared" si="109"/>
        <v>N/A</v>
      </c>
      <c r="CD101" s="272" t="str">
        <f t="shared" si="110"/>
        <v>N/A</v>
      </c>
      <c r="CE101" s="284" t="str">
        <f t="shared" si="111"/>
        <v>N/A</v>
      </c>
      <c r="CF101" s="284" t="str">
        <f t="shared" si="112"/>
        <v>N/A</v>
      </c>
      <c r="CG101" s="284" t="str">
        <f t="shared" si="113"/>
        <v xml:space="preserve">​Durante el primer semestre de 2025  para las dos actividades programadas en el cumplimiento del indicador, se confirmó la realización de las capacitaciones a cargo de la Subdirección de Recursos Jurídicos y la Delegada de Investigaciones Administrativas, en cumplimiento al seguimiento a la PPDA, se adjunta soportes.
</v>
      </c>
      <c r="CH101" s="272" t="str">
        <f t="shared" si="114"/>
        <v>N/A</v>
      </c>
      <c r="CI101" s="211" t="str">
        <f t="shared" si="115"/>
        <v>N/A</v>
      </c>
      <c r="CJ101" s="211" t="str">
        <f t="shared" si="116"/>
        <v>N/A</v>
      </c>
      <c r="CK101" s="211" t="str">
        <f t="shared" si="117"/>
        <v>N/A</v>
      </c>
      <c r="CL101" s="211" t="str">
        <f t="shared" si="118"/>
        <v>N/A</v>
      </c>
      <c r="CM101" s="211" t="str">
        <f t="shared" si="119"/>
        <v>N/A</v>
      </c>
      <c r="CO101" s="211" t="s">
        <v>454</v>
      </c>
      <c r="CP101" s="211" t="s">
        <v>142</v>
      </c>
      <c r="CQ101" s="211" t="s">
        <v>460</v>
      </c>
      <c r="CR101" s="211" t="s">
        <v>461</v>
      </c>
      <c r="CS101" s="211" t="s">
        <v>2975</v>
      </c>
      <c r="CT101" s="211" t="s">
        <v>460</v>
      </c>
      <c r="CU101" s="211" t="str">
        <f t="shared" si="72"/>
        <v>N/A</v>
      </c>
      <c r="CV101" s="211" t="str">
        <f t="shared" si="73"/>
        <v>N/A</v>
      </c>
      <c r="CW101" s="211" t="str">
        <f t="shared" si="74"/>
        <v>N/A</v>
      </c>
      <c r="CX101" s="211" t="str">
        <f t="shared" si="75"/>
        <v>N/A</v>
      </c>
      <c r="CY101" s="211" t="str">
        <f t="shared" si="76"/>
        <v xml:space="preserve">​
Se realizó mesa de trabajo con el Gestor Farmacéutico Colsubsidio y la EPS Sura en la ciudad de Medellín ,la cual tuvo como objetivos fundamentales:Presentación de la información por parte del Gestor Farmacéutico.Presentación de la información por parte de la EAPB.Acuerdo y suscripción de los compromisos en el acta acta.
Lo cual es fundamental para el cumplimiento de las acciones de IV de la DOLTS-GF, de esta manera se da cumplimiento al 100% de lo propuesto en el PAG para Mayo 2025.
</v>
      </c>
      <c r="CZ101" s="211" t="str">
        <f t="shared" si="77"/>
        <v>N/A</v>
      </c>
      <c r="DA101" s="211" t="str">
        <f t="shared" si="78"/>
        <v>N/A</v>
      </c>
      <c r="DB101" s="211" t="str">
        <f t="shared" si="79"/>
        <v>N/A</v>
      </c>
      <c r="DC101" s="211" t="str">
        <f t="shared" si="80"/>
        <v>N/A</v>
      </c>
      <c r="DD101" s="211" t="str">
        <f t="shared" si="81"/>
        <v>N/A</v>
      </c>
      <c r="DE101" s="211" t="str">
        <f t="shared" si="82"/>
        <v>N/A</v>
      </c>
      <c r="DF101" s="211" t="str">
        <f t="shared" si="83"/>
        <v>N/A</v>
      </c>
    </row>
    <row r="102" spans="1:110" s="211" customFormat="1" ht="127.5">
      <c r="A102" s="348" t="s">
        <v>454</v>
      </c>
      <c r="B102" s="211" t="s">
        <v>142</v>
      </c>
      <c r="C102" s="211" t="s">
        <v>466</v>
      </c>
      <c r="D102" s="211" t="s">
        <v>467</v>
      </c>
      <c r="E102" s="211" t="s">
        <v>468</v>
      </c>
      <c r="F102" s="348" t="s">
        <v>469</v>
      </c>
      <c r="G102" s="211" t="s">
        <v>157</v>
      </c>
      <c r="H102" s="211">
        <v>2</v>
      </c>
      <c r="I102" s="323">
        <v>2</v>
      </c>
      <c r="J102" s="323">
        <v>2</v>
      </c>
      <c r="K102" s="288">
        <v>1</v>
      </c>
      <c r="L102" s="211" t="s">
        <v>600</v>
      </c>
      <c r="M102" s="211" t="b">
        <v>0</v>
      </c>
      <c r="O102" s="209" t="s">
        <v>2832</v>
      </c>
      <c r="P102" s="211" t="s">
        <v>159</v>
      </c>
      <c r="Q102" s="211" t="s">
        <v>160</v>
      </c>
      <c r="T102" s="236" t="s">
        <v>540</v>
      </c>
      <c r="U102" s="269"/>
      <c r="V102" s="269"/>
      <c r="W102" s="269"/>
      <c r="X102" s="269">
        <v>6</v>
      </c>
      <c r="Y102" s="269"/>
      <c r="Z102" s="269"/>
      <c r="AA102" s="269"/>
      <c r="AB102" s="269">
        <v>1</v>
      </c>
      <c r="AC102" s="269"/>
      <c r="AD102" s="269"/>
      <c r="AE102" s="269"/>
      <c r="AF102" s="269">
        <v>9</v>
      </c>
      <c r="AG102" s="269">
        <v>16</v>
      </c>
      <c r="AH102"/>
      <c r="AI102"/>
      <c r="AJ102" s="236" t="s">
        <v>540</v>
      </c>
      <c r="AK102" s="269"/>
      <c r="AL102" s="269"/>
      <c r="AM102" s="269"/>
      <c r="AN102" s="269">
        <v>6</v>
      </c>
      <c r="AO102" s="269"/>
      <c r="AP102" s="269"/>
      <c r="AQ102" s="269"/>
      <c r="AR102" s="269">
        <v>3</v>
      </c>
      <c r="AS102" s="269"/>
      <c r="AT102" s="269"/>
      <c r="AU102" s="269"/>
      <c r="AV102" s="269">
        <v>2</v>
      </c>
      <c r="AW102" s="269">
        <v>11</v>
      </c>
      <c r="AX102" s="236"/>
      <c r="AY102" s="236"/>
      <c r="AZ102" s="236"/>
      <c r="BA102" s="239" t="s">
        <v>575</v>
      </c>
      <c r="BB102" s="240">
        <f t="shared" si="90"/>
        <v>0</v>
      </c>
      <c r="BC102" s="240">
        <f t="shared" si="91"/>
        <v>0</v>
      </c>
      <c r="BD102" s="240">
        <f t="shared" si="92"/>
        <v>0</v>
      </c>
      <c r="BE102" s="240">
        <f t="shared" si="93"/>
        <v>828</v>
      </c>
      <c r="BF102" s="240">
        <f t="shared" si="94"/>
        <v>0</v>
      </c>
      <c r="BG102" s="240">
        <f t="shared" si="95"/>
        <v>0</v>
      </c>
      <c r="BH102" s="240">
        <f t="shared" si="96"/>
        <v>0</v>
      </c>
      <c r="BI102" s="240">
        <f t="shared" si="97"/>
        <v>211</v>
      </c>
      <c r="BJ102" s="240">
        <f t="shared" si="98"/>
        <v>0</v>
      </c>
      <c r="BK102" s="240">
        <f t="shared" si="84"/>
        <v>0</v>
      </c>
      <c r="BL102" s="240">
        <f t="shared" si="85"/>
        <v>0</v>
      </c>
      <c r="BM102" s="240">
        <f t="shared" si="86"/>
        <v>513</v>
      </c>
      <c r="BN102" s="211">
        <f t="shared" si="99"/>
        <v>0</v>
      </c>
      <c r="BO102" s="236">
        <f t="shared" si="100"/>
        <v>0</v>
      </c>
      <c r="BP102" s="236">
        <f t="shared" si="101"/>
        <v>0</v>
      </c>
      <c r="BQ102" s="236">
        <f t="shared" si="102"/>
        <v>919</v>
      </c>
      <c r="BR102" s="236">
        <f t="shared" si="103"/>
        <v>0</v>
      </c>
      <c r="BS102" s="236">
        <f t="shared" si="104"/>
        <v>0</v>
      </c>
      <c r="BT102" s="236">
        <f t="shared" si="105"/>
        <v>0</v>
      </c>
      <c r="BU102" s="236">
        <f t="shared" si="106"/>
        <v>276</v>
      </c>
      <c r="BV102" s="236">
        <f t="shared" si="107"/>
        <v>0</v>
      </c>
      <c r="BW102" s="236">
        <f t="shared" si="87"/>
        <v>0</v>
      </c>
      <c r="BX102" s="236">
        <f t="shared" si="88"/>
        <v>0</v>
      </c>
      <c r="BY102" s="236">
        <f t="shared" si="89"/>
        <v>645</v>
      </c>
      <c r="BZ102" s="236"/>
      <c r="CA102" s="275" t="s">
        <v>515</v>
      </c>
      <c r="CB102" s="272" t="str">
        <f t="shared" si="108"/>
        <v>N/A</v>
      </c>
      <c r="CC102" s="272" t="str">
        <f t="shared" si="109"/>
        <v>N/A</v>
      </c>
      <c r="CD102" s="272" t="str">
        <f t="shared" si="110"/>
        <v>N/A</v>
      </c>
      <c r="CE102" s="284" t="str">
        <f t="shared" si="111"/>
        <v>N/A</v>
      </c>
      <c r="CF102" s="284" t="str">
        <f t="shared" si="112"/>
        <v>N/A</v>
      </c>
      <c r="CG102" s="284" t="str">
        <f t="shared" si="113"/>
        <v xml:space="preserve">​Durante el primer semestre se realizaron 3 acciones para el diseño del sistema integral de seguimiento a sentencias, en las cuales se viene trabajando la creación del procedimiento de seguimiento a sentencias y el desarrollo del aplicativo que apoye en la identificación, seguimiento y cumplimiento de las diferentes ordenes. 
</v>
      </c>
      <c r="CH102" s="272" t="str">
        <f t="shared" si="114"/>
        <v>N/A</v>
      </c>
      <c r="CI102" s="211" t="str">
        <f t="shared" si="115"/>
        <v>N/A</v>
      </c>
      <c r="CJ102" s="211" t="str">
        <f t="shared" si="116"/>
        <v>N/A</v>
      </c>
      <c r="CK102" s="211" t="str">
        <f t="shared" si="117"/>
        <v>N/A</v>
      </c>
      <c r="CL102" s="211" t="str">
        <f t="shared" si="118"/>
        <v>N/A</v>
      </c>
      <c r="CM102" s="211" t="str">
        <f t="shared" si="119"/>
        <v>N/A</v>
      </c>
      <c r="CO102" s="211" t="s">
        <v>454</v>
      </c>
      <c r="CP102" s="211" t="s">
        <v>142</v>
      </c>
      <c r="CQ102" s="211" t="s">
        <v>466</v>
      </c>
      <c r="CR102" s="211" t="s">
        <v>467</v>
      </c>
      <c r="CS102" s="211" t="s">
        <v>600</v>
      </c>
      <c r="CT102" s="211" t="s">
        <v>466</v>
      </c>
      <c r="CU102" s="211" t="str">
        <f t="shared" si="72"/>
        <v>N/A</v>
      </c>
      <c r="CV102" s="211" t="str">
        <f t="shared" si="73"/>
        <v>N/A</v>
      </c>
      <c r="CW102" s="211" t="str">
        <f t="shared" si="74"/>
        <v>N/A</v>
      </c>
      <c r="CX102" s="211" t="str">
        <f t="shared" si="75"/>
        <v>N/A</v>
      </c>
      <c r="CY102" s="211" t="str">
        <f t="shared" si="76"/>
        <v xml:space="preserve">​Se realizaron 2 actividades de acompañamiento a las Direcciones Regionales en actividades de IVC a los Gestores Farmacéuticos ,  COHAN Y CAFAM, en la regional Andina de la ciudad de Medellín  estas acciones son fundamentales en el cumplimiento de las funciones de IVC de nuestra Delegada, se da cumplimiento al 100% de lo planteado en el PAG para mayo de 2025.
</v>
      </c>
      <c r="CZ102" s="211" t="str">
        <f t="shared" si="77"/>
        <v>N/A</v>
      </c>
      <c r="DA102" s="211" t="str">
        <f t="shared" si="78"/>
        <v>N/A</v>
      </c>
      <c r="DB102" s="211" t="str">
        <f t="shared" si="79"/>
        <v>N/A</v>
      </c>
      <c r="DC102" s="211" t="str">
        <f t="shared" si="80"/>
        <v>N/A</v>
      </c>
      <c r="DD102" s="211" t="str">
        <f t="shared" si="81"/>
        <v>N/A</v>
      </c>
      <c r="DE102" s="211" t="str">
        <f t="shared" si="82"/>
        <v>N/A</v>
      </c>
      <c r="DF102" s="211" t="str">
        <f t="shared" si="83"/>
        <v>N/A</v>
      </c>
    </row>
    <row r="103" spans="1:110" s="211" customFormat="1" ht="153">
      <c r="A103" s="348" t="s">
        <v>454</v>
      </c>
      <c r="B103" s="211" t="s">
        <v>142</v>
      </c>
      <c r="C103" s="211" t="s">
        <v>602</v>
      </c>
      <c r="D103" s="211" t="s">
        <v>603</v>
      </c>
      <c r="E103" s="211" t="s">
        <v>604</v>
      </c>
      <c r="F103" s="348" t="s">
        <v>605</v>
      </c>
      <c r="G103" s="211" t="s">
        <v>157</v>
      </c>
      <c r="H103" s="211">
        <v>1</v>
      </c>
      <c r="I103" s="323">
        <v>0</v>
      </c>
      <c r="J103" s="323">
        <v>1</v>
      </c>
      <c r="K103" s="288">
        <v>0</v>
      </c>
      <c r="L103" s="211" t="s">
        <v>606</v>
      </c>
      <c r="M103" s="211" t="b">
        <v>0</v>
      </c>
      <c r="O103" s="209" t="s">
        <v>2832</v>
      </c>
      <c r="P103" s="211" t="s">
        <v>159</v>
      </c>
      <c r="Q103" s="211" t="s">
        <v>160</v>
      </c>
      <c r="T103" s="236" t="s">
        <v>460</v>
      </c>
      <c r="U103" s="269"/>
      <c r="V103" s="269"/>
      <c r="W103" s="269">
        <v>1</v>
      </c>
      <c r="X103" s="269">
        <v>1</v>
      </c>
      <c r="Y103" s="269">
        <v>1</v>
      </c>
      <c r="Z103" s="269"/>
      <c r="AA103" s="269">
        <v>1</v>
      </c>
      <c r="AB103" s="269">
        <v>1</v>
      </c>
      <c r="AC103" s="269">
        <v>1</v>
      </c>
      <c r="AD103" s="269">
        <v>1</v>
      </c>
      <c r="AE103" s="269">
        <v>1</v>
      </c>
      <c r="AF103" s="269"/>
      <c r="AG103" s="269">
        <v>8</v>
      </c>
      <c r="AH103"/>
      <c r="AI103"/>
      <c r="AJ103" s="236" t="s">
        <v>460</v>
      </c>
      <c r="AK103" s="269"/>
      <c r="AL103" s="269"/>
      <c r="AM103" s="269">
        <v>1</v>
      </c>
      <c r="AN103" s="269">
        <v>1</v>
      </c>
      <c r="AO103" s="269">
        <v>1</v>
      </c>
      <c r="AP103" s="269"/>
      <c r="AQ103" s="269">
        <v>1</v>
      </c>
      <c r="AR103" s="269">
        <v>1</v>
      </c>
      <c r="AS103" s="269">
        <v>1</v>
      </c>
      <c r="AT103" s="269">
        <v>1</v>
      </c>
      <c r="AU103" s="269">
        <v>1</v>
      </c>
      <c r="AV103" s="269"/>
      <c r="AW103" s="269">
        <v>8</v>
      </c>
      <c r="AX103" s="236"/>
      <c r="AY103" s="236"/>
      <c r="AZ103" s="236"/>
      <c r="BA103" s="239" t="s">
        <v>579</v>
      </c>
      <c r="BB103" s="240">
        <f t="shared" si="90"/>
        <v>0</v>
      </c>
      <c r="BC103" s="240">
        <f t="shared" si="91"/>
        <v>0</v>
      </c>
      <c r="BD103" s="240">
        <f t="shared" si="92"/>
        <v>0</v>
      </c>
      <c r="BE103" s="240">
        <f t="shared" si="93"/>
        <v>102</v>
      </c>
      <c r="BF103" s="240">
        <f t="shared" si="94"/>
        <v>0</v>
      </c>
      <c r="BG103" s="240">
        <f t="shared" si="95"/>
        <v>0</v>
      </c>
      <c r="BH103" s="240">
        <f t="shared" si="96"/>
        <v>0</v>
      </c>
      <c r="BI103" s="240">
        <f t="shared" si="97"/>
        <v>151</v>
      </c>
      <c r="BJ103" s="240">
        <f t="shared" si="98"/>
        <v>0</v>
      </c>
      <c r="BK103" s="240">
        <f t="shared" si="84"/>
        <v>0</v>
      </c>
      <c r="BL103" s="240">
        <f t="shared" si="85"/>
        <v>0</v>
      </c>
      <c r="BM103" s="240">
        <f t="shared" si="86"/>
        <v>114</v>
      </c>
      <c r="BN103" s="211">
        <f t="shared" si="99"/>
        <v>0</v>
      </c>
      <c r="BO103" s="236">
        <f t="shared" si="100"/>
        <v>0</v>
      </c>
      <c r="BP103" s="236">
        <f t="shared" si="101"/>
        <v>0</v>
      </c>
      <c r="BQ103" s="236">
        <f t="shared" si="102"/>
        <v>106</v>
      </c>
      <c r="BR103" s="236">
        <f t="shared" si="103"/>
        <v>0</v>
      </c>
      <c r="BS103" s="236">
        <f t="shared" si="104"/>
        <v>0</v>
      </c>
      <c r="BT103" s="236">
        <f t="shared" si="105"/>
        <v>0</v>
      </c>
      <c r="BU103" s="236">
        <f t="shared" si="106"/>
        <v>196</v>
      </c>
      <c r="BV103" s="236">
        <f t="shared" si="107"/>
        <v>0</v>
      </c>
      <c r="BW103" s="236">
        <f t="shared" si="87"/>
        <v>0</v>
      </c>
      <c r="BX103" s="236">
        <f t="shared" si="88"/>
        <v>0</v>
      </c>
      <c r="BY103" s="236">
        <f t="shared" si="89"/>
        <v>126</v>
      </c>
      <c r="BZ103" s="236"/>
      <c r="CA103" s="275" t="s">
        <v>318</v>
      </c>
      <c r="CB103" s="272" t="str">
        <f t="shared" si="108"/>
        <v>​Durante el mes de enero de 2025 se da cumplimiento a la actividad: "Actualizar los riesgos contemplados en la defensa jurídica del estado y fortalecerlos con el apoyo de la Guía para la Administración del Riesgo." formulada en el cronograma de implementación y sostenibilidad de la política de Defensa Jurídica se realiza la revisión y monitoreo de los riesgos y la efectividad de los controles, se adjunta las evidencias de ejecución de la actividad.</v>
      </c>
      <c r="CC103" s="272" t="str">
        <f t="shared" si="109"/>
        <v>N/A</v>
      </c>
      <c r="CD103" s="272" t="str">
        <f t="shared" si="110"/>
        <v>N/A</v>
      </c>
      <c r="CE103" s="284" t="str">
        <f t="shared" si="111"/>
        <v>N/A</v>
      </c>
      <c r="CF103" s="284" t="str">
        <f t="shared" si="112"/>
        <v>N/A</v>
      </c>
      <c r="CG103" s="284" t="str">
        <f t="shared" si="113"/>
        <v>N/A</v>
      </c>
      <c r="CH103" s="272" t="str">
        <f t="shared" si="114"/>
        <v>N/A</v>
      </c>
      <c r="CI103" s="211" t="str">
        <f t="shared" si="115"/>
        <v>N/A</v>
      </c>
      <c r="CJ103" s="211" t="str">
        <f t="shared" si="116"/>
        <v>N/A</v>
      </c>
      <c r="CK103" s="211" t="str">
        <f t="shared" si="117"/>
        <v>N/A</v>
      </c>
      <c r="CL103" s="211" t="str">
        <f t="shared" si="118"/>
        <v>N/A</v>
      </c>
      <c r="CM103" s="211" t="str">
        <f t="shared" si="119"/>
        <v>N/A</v>
      </c>
      <c r="CO103" s="211" t="s">
        <v>454</v>
      </c>
      <c r="CP103" s="211" t="s">
        <v>142</v>
      </c>
      <c r="CQ103" s="211" t="s">
        <v>602</v>
      </c>
      <c r="CR103" s="211" t="s">
        <v>603</v>
      </c>
      <c r="CS103" s="211" t="s">
        <v>606</v>
      </c>
      <c r="CT103" s="211" t="s">
        <v>602</v>
      </c>
      <c r="CU103" s="211" t="str">
        <f t="shared" si="72"/>
        <v>N/A</v>
      </c>
      <c r="CV103" s="211" t="str">
        <f t="shared" si="73"/>
        <v>N/A</v>
      </c>
      <c r="CW103" s="211" t="str">
        <f t="shared" si="74"/>
        <v>N/A</v>
      </c>
      <c r="CX103" s="211" t="str">
        <f t="shared" si="75"/>
        <v>N/A</v>
      </c>
      <c r="CY103" s="211" t="str">
        <f t="shared" si="76"/>
        <v xml:space="preserve">​ Para dar cumplimiento a la Actividades de IVC a Gestores Farmacéuticos objeto de supervisión en el marco del proceso de operación inicial de la Supervisión Basada en Riesgos se programó para los días 28 y 29 de mayo en la ciudad de Bucaramanga, en el contexto de la Mesa Técnica para los departamentos de Santander y Norte de Santander. Teniendo en cuenta la convocatoria de Paro Nacional anunciada por las Centrales Obreras para los días 28 y 29 de mayo, esta actividad será reprogramada.
</v>
      </c>
      <c r="CZ103" s="211" t="str">
        <f t="shared" si="77"/>
        <v>N/A</v>
      </c>
      <c r="DA103" s="211" t="str">
        <f t="shared" si="78"/>
        <v>N/A</v>
      </c>
      <c r="DB103" s="211" t="str">
        <f t="shared" si="79"/>
        <v>N/A</v>
      </c>
      <c r="DC103" s="211" t="str">
        <f t="shared" si="80"/>
        <v>N/A</v>
      </c>
      <c r="DD103" s="211" t="str">
        <f t="shared" si="81"/>
        <v>N/A</v>
      </c>
      <c r="DE103" s="211" t="str">
        <f t="shared" si="82"/>
        <v>N/A</v>
      </c>
      <c r="DF103" s="211" t="str">
        <f t="shared" si="83"/>
        <v>N/A</v>
      </c>
    </row>
    <row r="104" spans="1:110" s="211" customFormat="1" ht="306">
      <c r="A104" s="348" t="s">
        <v>607</v>
      </c>
      <c r="B104" s="211" t="s">
        <v>142</v>
      </c>
      <c r="C104" s="211" t="s">
        <v>335</v>
      </c>
      <c r="D104" s="211" t="s">
        <v>617</v>
      </c>
      <c r="E104" s="211" t="s">
        <v>618</v>
      </c>
      <c r="F104" s="348" t="s">
        <v>619</v>
      </c>
      <c r="G104" s="211" t="s">
        <v>178</v>
      </c>
      <c r="H104" s="211">
        <v>0.1</v>
      </c>
      <c r="I104" s="323">
        <v>77</v>
      </c>
      <c r="J104" s="323">
        <v>77</v>
      </c>
      <c r="K104" s="288">
        <v>1</v>
      </c>
      <c r="L104" s="211" t="s">
        <v>2976</v>
      </c>
      <c r="M104" s="211" t="b">
        <v>0</v>
      </c>
      <c r="O104" s="209" t="s">
        <v>2832</v>
      </c>
      <c r="P104" s="211" t="s">
        <v>159</v>
      </c>
      <c r="Q104" s="211" t="s">
        <v>160</v>
      </c>
      <c r="T104" s="236" t="s">
        <v>466</v>
      </c>
      <c r="U104" s="269"/>
      <c r="V104" s="269"/>
      <c r="W104" s="269">
        <v>2</v>
      </c>
      <c r="X104" s="269">
        <v>2</v>
      </c>
      <c r="Y104" s="269">
        <v>2</v>
      </c>
      <c r="Z104" s="269"/>
      <c r="AA104" s="269"/>
      <c r="AB104" s="269">
        <v>2</v>
      </c>
      <c r="AC104" s="269">
        <v>2</v>
      </c>
      <c r="AD104" s="269">
        <v>2</v>
      </c>
      <c r="AE104" s="269">
        <v>2</v>
      </c>
      <c r="AF104" s="269"/>
      <c r="AG104" s="269">
        <v>14</v>
      </c>
      <c r="AH104"/>
      <c r="AI104"/>
      <c r="AJ104" s="236" t="s">
        <v>466</v>
      </c>
      <c r="AK104" s="269"/>
      <c r="AL104" s="269"/>
      <c r="AM104" s="269">
        <v>2</v>
      </c>
      <c r="AN104" s="269">
        <v>2</v>
      </c>
      <c r="AO104" s="269">
        <v>2</v>
      </c>
      <c r="AP104" s="269"/>
      <c r="AQ104" s="269"/>
      <c r="AR104" s="269">
        <v>2</v>
      </c>
      <c r="AS104" s="269">
        <v>2</v>
      </c>
      <c r="AT104" s="269">
        <v>2</v>
      </c>
      <c r="AU104" s="269">
        <v>2</v>
      </c>
      <c r="AV104" s="269"/>
      <c r="AW104" s="269">
        <v>14</v>
      </c>
      <c r="AX104" s="236"/>
      <c r="AY104" s="236"/>
      <c r="AZ104" s="236"/>
      <c r="BA104" s="239" t="s">
        <v>440</v>
      </c>
      <c r="BB104" s="240">
        <f t="shared" si="90"/>
        <v>0</v>
      </c>
      <c r="BC104" s="240">
        <f t="shared" si="91"/>
        <v>0</v>
      </c>
      <c r="BD104" s="240">
        <f t="shared" si="92"/>
        <v>7</v>
      </c>
      <c r="BE104" s="240">
        <f t="shared" si="93"/>
        <v>0</v>
      </c>
      <c r="BF104" s="240">
        <f t="shared" si="94"/>
        <v>0</v>
      </c>
      <c r="BG104" s="240">
        <f t="shared" si="95"/>
        <v>11</v>
      </c>
      <c r="BH104" s="240">
        <f t="shared" si="96"/>
        <v>0</v>
      </c>
      <c r="BI104" s="240">
        <f t="shared" si="97"/>
        <v>0</v>
      </c>
      <c r="BJ104" s="240">
        <f t="shared" si="98"/>
        <v>10</v>
      </c>
      <c r="BK104" s="240">
        <f t="shared" si="84"/>
        <v>0</v>
      </c>
      <c r="BL104" s="240">
        <f t="shared" si="85"/>
        <v>0</v>
      </c>
      <c r="BM104" s="240">
        <f t="shared" si="86"/>
        <v>13</v>
      </c>
      <c r="BN104" s="211">
        <f t="shared" si="99"/>
        <v>0</v>
      </c>
      <c r="BO104" s="236">
        <f t="shared" si="100"/>
        <v>0</v>
      </c>
      <c r="BP104" s="236">
        <f t="shared" si="101"/>
        <v>5</v>
      </c>
      <c r="BQ104" s="236">
        <f t="shared" si="102"/>
        <v>0</v>
      </c>
      <c r="BR104" s="236">
        <f t="shared" si="103"/>
        <v>0</v>
      </c>
      <c r="BS104" s="236">
        <f t="shared" si="104"/>
        <v>10</v>
      </c>
      <c r="BT104" s="236">
        <f t="shared" si="105"/>
        <v>0</v>
      </c>
      <c r="BU104" s="236">
        <f t="shared" si="106"/>
        <v>0</v>
      </c>
      <c r="BV104" s="236">
        <f t="shared" si="107"/>
        <v>10</v>
      </c>
      <c r="BW104" s="236">
        <f t="shared" si="87"/>
        <v>0</v>
      </c>
      <c r="BX104" s="236">
        <f t="shared" si="88"/>
        <v>0</v>
      </c>
      <c r="BY104" s="236">
        <f t="shared" si="89"/>
        <v>5</v>
      </c>
      <c r="BZ104" s="236"/>
      <c r="CA104" s="275" t="s">
        <v>330</v>
      </c>
      <c r="CB104" s="272" t="str">
        <f t="shared" si="108"/>
        <v>N/A</v>
      </c>
      <c r="CC104" s="272" t="str">
        <f t="shared" si="109"/>
        <v>​Para el primer trimestre de 2025 se llevao a cabo 1 reunion entre la Dirección Jurídica y la Dirección de Innovación y Desarrollo respecto de la implementación de la politica de mejora normativa al interior de la Superintendencia y en la que además se recopilaron datos al respecto para reporte FURAG. Adicionalmente, se realizarón 2 reuniones más del equipo de política de mejora normativa al interior de la Dirección Jurídica</v>
      </c>
      <c r="CD104" s="272" t="str">
        <f t="shared" si="110"/>
        <v>N/A</v>
      </c>
      <c r="CE104" s="284" t="str">
        <f t="shared" si="111"/>
        <v>N/A</v>
      </c>
      <c r="CF104" s="284" t="str">
        <f t="shared" si="112"/>
        <v>N/A</v>
      </c>
      <c r="CG104" s="284" t="str">
        <f t="shared" si="113"/>
        <v>N/A</v>
      </c>
      <c r="CH104" s="272" t="str">
        <f t="shared" si="114"/>
        <v>N/A</v>
      </c>
      <c r="CI104" s="211" t="str">
        <f t="shared" si="115"/>
        <v>N/A</v>
      </c>
      <c r="CJ104" s="211" t="str">
        <f t="shared" si="116"/>
        <v>N/A</v>
      </c>
      <c r="CK104" s="211" t="str">
        <f t="shared" si="117"/>
        <v>N/A</v>
      </c>
      <c r="CL104" s="211" t="str">
        <f t="shared" si="118"/>
        <v>N/A</v>
      </c>
      <c r="CM104" s="211" t="str">
        <f t="shared" si="119"/>
        <v>N/A</v>
      </c>
      <c r="CO104" s="211" t="s">
        <v>607</v>
      </c>
      <c r="CP104" s="211" t="s">
        <v>142</v>
      </c>
      <c r="CQ104" s="211" t="s">
        <v>335</v>
      </c>
      <c r="CR104" s="211" t="s">
        <v>617</v>
      </c>
      <c r="CS104" s="211" t="s">
        <v>2976</v>
      </c>
      <c r="CT104" s="211" t="s">
        <v>335</v>
      </c>
      <c r="CU104" s="211" t="str">
        <f t="shared" si="72"/>
        <v>N/A</v>
      </c>
      <c r="CV104" s="211" t="str">
        <f t="shared" si="73"/>
        <v>N/A</v>
      </c>
      <c r="CW104" s="211" t="str">
        <f t="shared" si="74"/>
        <v>N/A</v>
      </c>
      <c r="CX104" s="211" t="str">
        <f t="shared" si="75"/>
        <v>N/A</v>
      </c>
      <c r="CY104" s="211" t="str">
        <f t="shared" si="76"/>
        <v xml:space="preserve">Al 30 de abril de 2025, se registraron un total de 77 solicitudes documentales en el Sistema Integrado de Gestión, correspondientes a los 15 procesos institucionales. De estas solicitudes, el 32.5% (25) correspondieron a la creación de nuevos documentos, el 54.5% (42) a la actualización de documentos existentes y el 9.1% (7) a la eliminación de documentos. Estos datos evidencian que la mayoría de las gestiones se centraron en la actualización documental, seguida por la creación de nuevos documentos y, en menor proporción, la eliminación de documentos.
La información fue obtenida del SharePoint de Formalización Documental, donde los líderes de cada proceso registran sus solicitudes. El acceso a este registro está disponible en el siguiente enlace:https://supersalud.sharepoint.com/sites/SIG/Lists/Formalizacion%20documental/AllItems.aspx
</v>
      </c>
      <c r="CZ104" s="211" t="str">
        <f t="shared" si="77"/>
        <v>N/A</v>
      </c>
      <c r="DA104" s="211" t="str">
        <f t="shared" si="78"/>
        <v>N/A</v>
      </c>
      <c r="DB104" s="211" t="str">
        <f t="shared" si="79"/>
        <v>N/A</v>
      </c>
      <c r="DC104" s="211" t="str">
        <f t="shared" si="80"/>
        <v>N/A</v>
      </c>
      <c r="DD104" s="211" t="str">
        <f t="shared" si="81"/>
        <v>N/A</v>
      </c>
      <c r="DE104" s="211" t="str">
        <f t="shared" si="82"/>
        <v>N/A</v>
      </c>
      <c r="DF104" s="211" t="str">
        <f t="shared" si="83"/>
        <v>N/A</v>
      </c>
    </row>
    <row r="105" spans="1:110" s="211" customFormat="1" ht="171">
      <c r="A105" s="348" t="s">
        <v>607</v>
      </c>
      <c r="B105" s="211" t="s">
        <v>142</v>
      </c>
      <c r="C105" s="211" t="s">
        <v>520</v>
      </c>
      <c r="D105" s="211" t="s">
        <v>608</v>
      </c>
      <c r="E105" s="211" t="s">
        <v>609</v>
      </c>
      <c r="F105" s="348" t="s">
        <v>610</v>
      </c>
      <c r="G105" s="211" t="s">
        <v>178</v>
      </c>
      <c r="H105" s="211">
        <v>0.98</v>
      </c>
      <c r="I105" s="324">
        <v>0.97</v>
      </c>
      <c r="J105" s="324">
        <v>1</v>
      </c>
      <c r="K105" s="288">
        <v>0.97</v>
      </c>
      <c r="L105" s="211" t="s">
        <v>2820</v>
      </c>
      <c r="M105" s="211" t="b">
        <v>0</v>
      </c>
      <c r="O105" s="209" t="s">
        <v>2832</v>
      </c>
      <c r="P105" s="211" t="s">
        <v>159</v>
      </c>
      <c r="Q105" s="211" t="s">
        <v>160</v>
      </c>
      <c r="T105" s="236" t="s">
        <v>611</v>
      </c>
      <c r="U105" s="269"/>
      <c r="V105" s="269"/>
      <c r="W105" s="269"/>
      <c r="X105" s="269"/>
      <c r="Y105" s="269"/>
      <c r="Z105" s="269">
        <v>0</v>
      </c>
      <c r="AA105" s="269"/>
      <c r="AB105" s="269"/>
      <c r="AC105" s="269"/>
      <c r="AD105" s="269"/>
      <c r="AE105" s="269">
        <v>3</v>
      </c>
      <c r="AF105" s="269"/>
      <c r="AG105" s="269">
        <v>3</v>
      </c>
      <c r="AH105"/>
      <c r="AI105"/>
      <c r="AJ105" s="236" t="s">
        <v>611</v>
      </c>
      <c r="AK105" s="269"/>
      <c r="AL105" s="269"/>
      <c r="AM105" s="269"/>
      <c r="AN105" s="269"/>
      <c r="AO105" s="269"/>
      <c r="AP105" s="269">
        <v>0</v>
      </c>
      <c r="AQ105" s="269"/>
      <c r="AR105" s="269"/>
      <c r="AS105" s="269"/>
      <c r="AT105" s="269"/>
      <c r="AU105" s="269">
        <v>3</v>
      </c>
      <c r="AV105" s="269"/>
      <c r="AW105" s="269">
        <v>3</v>
      </c>
      <c r="AX105" s="236"/>
      <c r="AY105" s="236"/>
      <c r="AZ105" s="236"/>
      <c r="BA105" s="239" t="s">
        <v>449</v>
      </c>
      <c r="BB105" s="240">
        <f t="shared" si="90"/>
        <v>0</v>
      </c>
      <c r="BC105" s="240">
        <f t="shared" si="91"/>
        <v>0</v>
      </c>
      <c r="BD105" s="240">
        <f t="shared" si="92"/>
        <v>91364</v>
      </c>
      <c r="BE105" s="240">
        <f t="shared" si="93"/>
        <v>0</v>
      </c>
      <c r="BF105" s="240">
        <f t="shared" si="94"/>
        <v>0</v>
      </c>
      <c r="BG105" s="240">
        <f t="shared" si="95"/>
        <v>87742</v>
      </c>
      <c r="BH105" s="240">
        <f t="shared" si="96"/>
        <v>0</v>
      </c>
      <c r="BI105" s="240">
        <f t="shared" si="97"/>
        <v>0</v>
      </c>
      <c r="BJ105" s="240">
        <f t="shared" si="98"/>
        <v>93348</v>
      </c>
      <c r="BK105" s="240">
        <f t="shared" si="84"/>
        <v>0</v>
      </c>
      <c r="BL105" s="240">
        <f t="shared" si="85"/>
        <v>0</v>
      </c>
      <c r="BM105" s="240">
        <f t="shared" si="86"/>
        <v>86630</v>
      </c>
      <c r="BN105" s="211">
        <f t="shared" si="99"/>
        <v>0</v>
      </c>
      <c r="BO105" s="236">
        <f t="shared" si="100"/>
        <v>0</v>
      </c>
      <c r="BP105" s="236">
        <f t="shared" si="101"/>
        <v>91364</v>
      </c>
      <c r="BQ105" s="236">
        <f t="shared" si="102"/>
        <v>0</v>
      </c>
      <c r="BR105" s="236">
        <f t="shared" si="103"/>
        <v>0</v>
      </c>
      <c r="BS105" s="236">
        <f t="shared" si="104"/>
        <v>87742</v>
      </c>
      <c r="BT105" s="236">
        <f t="shared" si="105"/>
        <v>0</v>
      </c>
      <c r="BU105" s="236">
        <f t="shared" si="106"/>
        <v>0</v>
      </c>
      <c r="BV105" s="236">
        <f t="shared" si="107"/>
        <v>93348</v>
      </c>
      <c r="BW105" s="236">
        <f t="shared" si="87"/>
        <v>0</v>
      </c>
      <c r="BX105" s="236">
        <f t="shared" si="88"/>
        <v>0</v>
      </c>
      <c r="BY105" s="236">
        <f t="shared" si="89"/>
        <v>86630</v>
      </c>
      <c r="BZ105" s="236"/>
      <c r="CA105" s="275" t="s">
        <v>480</v>
      </c>
      <c r="CB105" s="272" t="str">
        <f t="shared" si="108"/>
        <v>N/A</v>
      </c>
      <c r="CC105" s="272" t="str">
        <f t="shared" si="109"/>
        <v>N/A</v>
      </c>
      <c r="CD105" s="272" t="str">
        <f t="shared" si="110"/>
        <v xml:space="preserve">​
Para el primer trimestre de la vigencia se consiguió un porcentaje de cumplimiento de 100% de las actividades programadas para el período, para un porcentaje acumulado del 100% del total de las actividades programadas para la vigencia en la actividad
</v>
      </c>
      <c r="CE105" s="284" t="str">
        <f t="shared" si="111"/>
        <v>N/A</v>
      </c>
      <c r="CF105" s="284" t="str">
        <f t="shared" si="112"/>
        <v>N/A</v>
      </c>
      <c r="CG105" s="284" t="str">
        <f t="shared" si="113"/>
        <v>N/A</v>
      </c>
      <c r="CH105" s="272" t="str">
        <f t="shared" si="114"/>
        <v>N/A</v>
      </c>
      <c r="CI105" s="211" t="str">
        <f t="shared" si="115"/>
        <v>N/A</v>
      </c>
      <c r="CJ105" s="211" t="str">
        <f t="shared" si="116"/>
        <v>N/A</v>
      </c>
      <c r="CK105" s="211" t="str">
        <f t="shared" si="117"/>
        <v>N/A</v>
      </c>
      <c r="CL105" s="211" t="str">
        <f t="shared" si="118"/>
        <v>N/A</v>
      </c>
      <c r="CM105" s="211" t="str">
        <f t="shared" si="119"/>
        <v>N/A</v>
      </c>
      <c r="CO105" s="211" t="s">
        <v>607</v>
      </c>
      <c r="CP105" s="211" t="s">
        <v>142</v>
      </c>
      <c r="CQ105" s="211" t="s">
        <v>520</v>
      </c>
      <c r="CR105" s="211" t="s">
        <v>608</v>
      </c>
      <c r="CS105" s="211" t="s">
        <v>2820</v>
      </c>
      <c r="CT105" s="211" t="s">
        <v>520</v>
      </c>
      <c r="CU105" s="211" t="str">
        <f t="shared" si="72"/>
        <v>N/A</v>
      </c>
      <c r="CV105" s="211" t="str">
        <f t="shared" si="73"/>
        <v>N/A</v>
      </c>
      <c r="CW105" s="211" t="str">
        <f t="shared" si="74"/>
        <v>N/A</v>
      </c>
      <c r="CX105" s="211" t="str">
        <f t="shared" si="75"/>
        <v>N/A</v>
      </c>
      <c r="CY105" s="211" t="str">
        <f t="shared" si="76"/>
        <v xml:space="preserve">Durante el primer trimestre se elaboró el informe de seguimiento de los planes institucionales (PND, PES, PEI y PAG), evidenciando que el 97% de las metas establecidas por las dependencias fueron cumplidas. Estos resultados reflejan un avance significativo hacia el logro de los objetivos propuestos por la entidad."
</v>
      </c>
      <c r="CZ105" s="211" t="str">
        <f t="shared" si="77"/>
        <v>N/A</v>
      </c>
      <c r="DA105" s="211" t="str">
        <f t="shared" si="78"/>
        <v>N/A</v>
      </c>
      <c r="DB105" s="211" t="str">
        <f t="shared" si="79"/>
        <v>N/A</v>
      </c>
      <c r="DC105" s="211" t="str">
        <f t="shared" si="80"/>
        <v>N/A</v>
      </c>
      <c r="DD105" s="211" t="str">
        <f t="shared" si="81"/>
        <v>N/A</v>
      </c>
      <c r="DE105" s="211" t="str">
        <f t="shared" si="82"/>
        <v>N/A</v>
      </c>
      <c r="DF105" s="211" t="str">
        <f t="shared" si="83"/>
        <v>N/A</v>
      </c>
    </row>
    <row r="106" spans="1:110" s="211" customFormat="1" ht="255">
      <c r="A106" s="348" t="s">
        <v>190</v>
      </c>
      <c r="B106" s="211" t="s">
        <v>142</v>
      </c>
      <c r="C106" s="211" t="s">
        <v>216</v>
      </c>
      <c r="D106" s="211" t="s">
        <v>217</v>
      </c>
      <c r="E106" s="211" t="s">
        <v>218</v>
      </c>
      <c r="F106" s="348" t="s">
        <v>219</v>
      </c>
      <c r="G106" s="211" t="s">
        <v>178</v>
      </c>
      <c r="H106" s="211">
        <v>1</v>
      </c>
      <c r="I106" s="323">
        <v>140</v>
      </c>
      <c r="J106" s="323">
        <v>100</v>
      </c>
      <c r="K106" s="288">
        <v>1</v>
      </c>
      <c r="L106" s="211" t="s">
        <v>2977</v>
      </c>
      <c r="M106" s="211" t="b">
        <v>0</v>
      </c>
      <c r="O106" s="209" t="s">
        <v>2832</v>
      </c>
      <c r="P106" s="211" t="s">
        <v>159</v>
      </c>
      <c r="Q106" s="211" t="s">
        <v>160</v>
      </c>
      <c r="T106" s="236" t="s">
        <v>612</v>
      </c>
      <c r="U106" s="269"/>
      <c r="V106" s="269"/>
      <c r="W106" s="269"/>
      <c r="X106" s="269"/>
      <c r="Y106" s="269"/>
      <c r="Z106" s="269">
        <v>1</v>
      </c>
      <c r="AA106" s="269"/>
      <c r="AB106" s="269"/>
      <c r="AC106" s="269"/>
      <c r="AD106" s="269"/>
      <c r="AE106" s="269"/>
      <c r="AF106" s="269">
        <v>3</v>
      </c>
      <c r="AG106" s="269">
        <v>4</v>
      </c>
      <c r="AH106"/>
      <c r="AI106"/>
      <c r="AJ106" s="236" t="s">
        <v>612</v>
      </c>
      <c r="AK106" s="269"/>
      <c r="AL106" s="269"/>
      <c r="AM106" s="269"/>
      <c r="AN106" s="269"/>
      <c r="AO106" s="269"/>
      <c r="AP106" s="269">
        <v>1</v>
      </c>
      <c r="AQ106" s="269"/>
      <c r="AR106" s="269"/>
      <c r="AS106" s="269"/>
      <c r="AT106" s="269"/>
      <c r="AU106" s="269"/>
      <c r="AV106" s="269">
        <v>3</v>
      </c>
      <c r="AW106" s="269">
        <v>4</v>
      </c>
      <c r="AX106" s="236"/>
      <c r="AY106" s="236"/>
      <c r="AZ106" s="236"/>
      <c r="BA106" s="239" t="s">
        <v>598</v>
      </c>
      <c r="BB106" s="240">
        <f t="shared" si="90"/>
        <v>0</v>
      </c>
      <c r="BC106" s="240">
        <f t="shared" si="91"/>
        <v>0</v>
      </c>
      <c r="BD106" s="240">
        <f t="shared" si="92"/>
        <v>0</v>
      </c>
      <c r="BE106" s="240">
        <f t="shared" si="93"/>
        <v>0</v>
      </c>
      <c r="BF106" s="240">
        <f t="shared" si="94"/>
        <v>0</v>
      </c>
      <c r="BG106" s="240">
        <f t="shared" si="95"/>
        <v>30</v>
      </c>
      <c r="BH106" s="240">
        <f t="shared" si="96"/>
        <v>0</v>
      </c>
      <c r="BI106" s="240">
        <f t="shared" si="97"/>
        <v>0</v>
      </c>
      <c r="BJ106" s="240">
        <f t="shared" si="98"/>
        <v>0</v>
      </c>
      <c r="BK106" s="240">
        <f t="shared" si="84"/>
        <v>0</v>
      </c>
      <c r="BL106" s="240">
        <f t="shared" si="85"/>
        <v>0</v>
      </c>
      <c r="BM106" s="240">
        <f t="shared" si="86"/>
        <v>1</v>
      </c>
      <c r="BN106" s="211">
        <f t="shared" si="99"/>
        <v>0</v>
      </c>
      <c r="BO106" s="236">
        <f t="shared" si="100"/>
        <v>0</v>
      </c>
      <c r="BP106" s="236">
        <f t="shared" si="101"/>
        <v>0</v>
      </c>
      <c r="BQ106" s="236">
        <f t="shared" si="102"/>
        <v>0</v>
      </c>
      <c r="BR106" s="236">
        <f t="shared" si="103"/>
        <v>0</v>
      </c>
      <c r="BS106" s="236">
        <f t="shared" si="104"/>
        <v>30</v>
      </c>
      <c r="BT106" s="236">
        <f t="shared" si="105"/>
        <v>0</v>
      </c>
      <c r="BU106" s="236">
        <f t="shared" si="106"/>
        <v>0</v>
      </c>
      <c r="BV106" s="236">
        <f t="shared" si="107"/>
        <v>0</v>
      </c>
      <c r="BW106" s="236">
        <f t="shared" si="87"/>
        <v>0</v>
      </c>
      <c r="BX106" s="236">
        <f t="shared" si="88"/>
        <v>0</v>
      </c>
      <c r="BY106" s="236">
        <f t="shared" si="89"/>
        <v>1</v>
      </c>
      <c r="BZ106" s="236"/>
      <c r="CA106" s="275" t="s">
        <v>486</v>
      </c>
      <c r="CB106" s="272" t="str">
        <f t="shared" si="108"/>
        <v>N/A</v>
      </c>
      <c r="CC106" s="272" t="str">
        <f t="shared" si="109"/>
        <v>N/A</v>
      </c>
      <c r="CD106" s="272" t="str">
        <f t="shared" si="110"/>
        <v xml:space="preserve">​
Para el primer trimestre de la vigencia se consiguió un porcentaje de cumplimiento de 100% de las actividades programadas para el período, para un porcentaje acumulado del 100% del total de las actividades programadas para la vigencia en la actividad
</v>
      </c>
      <c r="CE106" s="284" t="str">
        <f t="shared" si="111"/>
        <v>N/A</v>
      </c>
      <c r="CF106" s="284" t="str">
        <f t="shared" si="112"/>
        <v>N/A</v>
      </c>
      <c r="CG106" s="284" t="str">
        <f t="shared" si="113"/>
        <v>N/A</v>
      </c>
      <c r="CH106" s="272" t="str">
        <f t="shared" si="114"/>
        <v>N/A</v>
      </c>
      <c r="CI106" s="211" t="str">
        <f t="shared" si="115"/>
        <v>N/A</v>
      </c>
      <c r="CJ106" s="211" t="str">
        <f t="shared" si="116"/>
        <v>N/A</v>
      </c>
      <c r="CK106" s="211" t="str">
        <f t="shared" si="117"/>
        <v>N/A</v>
      </c>
      <c r="CL106" s="211" t="str">
        <f t="shared" si="118"/>
        <v>N/A</v>
      </c>
      <c r="CM106" s="211" t="str">
        <f t="shared" si="119"/>
        <v>N/A</v>
      </c>
      <c r="CO106" s="211" t="s">
        <v>190</v>
      </c>
      <c r="CP106" s="211" t="s">
        <v>142</v>
      </c>
      <c r="CQ106" s="211" t="s">
        <v>216</v>
      </c>
      <c r="CR106" s="211" t="s">
        <v>217</v>
      </c>
      <c r="CS106" s="211" t="s">
        <v>2977</v>
      </c>
      <c r="CT106" s="211" t="s">
        <v>216</v>
      </c>
      <c r="CU106" s="211" t="str">
        <f t="shared" si="72"/>
        <v>N/A</v>
      </c>
      <c r="CV106" s="211" t="str">
        <f t="shared" si="73"/>
        <v>N/A</v>
      </c>
      <c r="CW106" s="211" t="str">
        <f t="shared" si="74"/>
        <v>N/A</v>
      </c>
      <c r="CX106" s="211" t="str">
        <f t="shared" si="75"/>
        <v>N/A</v>
      </c>
      <c r="CY106" s="211" t="str">
        <f t="shared" si="76"/>
        <v xml:space="preserve">
Durante el mes de Mayo, se gestionaron 140 cuentas que fueron radicadas en los tiempos estipulados
de acuerdo con la Circular Interna 2022920020000026- 4 de 2022,asi mismo, los documentos radicados después del día 25 calendario se tramitaron en el siguiente mes. Por lo cual, se cumplió con la meta
del indicador del 100%, (140/140) habiendo gestionado la totalidad de las cuentas radicadas con un
tiempo de gestión de 1,8 días hábiles. Se adjunta base con relación de cuentas radicadas y gestionadas, así como el reporte del indicador con la correspondiente gráfica.
</v>
      </c>
      <c r="CZ106" s="211" t="str">
        <f t="shared" si="77"/>
        <v>N/A</v>
      </c>
      <c r="DA106" s="211" t="str">
        <f t="shared" si="78"/>
        <v>N/A</v>
      </c>
      <c r="DB106" s="211" t="str">
        <f t="shared" si="79"/>
        <v>N/A</v>
      </c>
      <c r="DC106" s="211" t="str">
        <f t="shared" si="80"/>
        <v>N/A</v>
      </c>
      <c r="DD106" s="211" t="str">
        <f t="shared" si="81"/>
        <v>N/A</v>
      </c>
      <c r="DE106" s="211" t="str">
        <f t="shared" si="82"/>
        <v>N/A</v>
      </c>
      <c r="DF106" s="211" t="str">
        <f t="shared" si="83"/>
        <v>N/A</v>
      </c>
    </row>
    <row r="107" spans="1:110" s="211" customFormat="1" ht="267.75">
      <c r="A107" s="348" t="s">
        <v>348</v>
      </c>
      <c r="B107" s="211" t="s">
        <v>143</v>
      </c>
      <c r="C107" s="211" t="s">
        <v>306</v>
      </c>
      <c r="D107" s="211" t="s">
        <v>758</v>
      </c>
      <c r="E107" s="211" t="s">
        <v>759</v>
      </c>
      <c r="F107" s="348" t="s">
        <v>760</v>
      </c>
      <c r="G107" s="211" t="s">
        <v>178</v>
      </c>
      <c r="H107" s="211">
        <v>1</v>
      </c>
      <c r="I107" s="323">
        <v>189</v>
      </c>
      <c r="J107" s="323">
        <v>376</v>
      </c>
      <c r="K107" s="288">
        <v>0.50265957446808496</v>
      </c>
      <c r="L107" s="211" t="s">
        <v>2978</v>
      </c>
      <c r="M107" s="211" t="b">
        <v>0</v>
      </c>
      <c r="O107" s="209" t="s">
        <v>2832</v>
      </c>
      <c r="P107" s="211" t="s">
        <v>159</v>
      </c>
      <c r="Q107" s="211" t="s">
        <v>160</v>
      </c>
      <c r="T107" s="236" t="s">
        <v>272</v>
      </c>
      <c r="U107" s="269"/>
      <c r="V107" s="269"/>
      <c r="W107" s="269">
        <v>4.625</v>
      </c>
      <c r="X107" s="269"/>
      <c r="Y107" s="269"/>
      <c r="Z107" s="269">
        <v>5</v>
      </c>
      <c r="AA107" s="269"/>
      <c r="AB107" s="269"/>
      <c r="AC107" s="269">
        <v>5.75</v>
      </c>
      <c r="AD107" s="269"/>
      <c r="AE107" s="269"/>
      <c r="AF107" s="269">
        <v>66</v>
      </c>
      <c r="AG107" s="269">
        <v>81.375</v>
      </c>
      <c r="AH107"/>
      <c r="AI107"/>
      <c r="AJ107" s="236" t="s">
        <v>272</v>
      </c>
      <c r="AK107" s="269"/>
      <c r="AL107" s="269"/>
      <c r="AM107" s="269">
        <v>9</v>
      </c>
      <c r="AN107" s="269"/>
      <c r="AO107" s="269"/>
      <c r="AP107" s="269">
        <v>9</v>
      </c>
      <c r="AQ107" s="269"/>
      <c r="AR107" s="269"/>
      <c r="AS107" s="269">
        <v>9</v>
      </c>
      <c r="AT107" s="269"/>
      <c r="AU107" s="269"/>
      <c r="AV107" s="269">
        <v>66</v>
      </c>
      <c r="AW107" s="269">
        <v>93</v>
      </c>
      <c r="AX107" s="236"/>
      <c r="AY107" s="236"/>
      <c r="AZ107" s="236"/>
      <c r="BA107" s="239" t="s">
        <v>599</v>
      </c>
      <c r="BB107" s="240">
        <f t="shared" si="90"/>
        <v>0</v>
      </c>
      <c r="BC107" s="240">
        <f t="shared" si="91"/>
        <v>0</v>
      </c>
      <c r="BD107" s="240">
        <f t="shared" si="92"/>
        <v>0</v>
      </c>
      <c r="BE107" s="240">
        <f t="shared" si="93"/>
        <v>0</v>
      </c>
      <c r="BF107" s="240">
        <f t="shared" si="94"/>
        <v>0</v>
      </c>
      <c r="BG107" s="240">
        <f t="shared" si="95"/>
        <v>935</v>
      </c>
      <c r="BH107" s="240">
        <f t="shared" si="96"/>
        <v>0</v>
      </c>
      <c r="BI107" s="240">
        <f t="shared" si="97"/>
        <v>0</v>
      </c>
      <c r="BJ107" s="240">
        <f t="shared" si="98"/>
        <v>0</v>
      </c>
      <c r="BK107" s="240">
        <f t="shared" si="84"/>
        <v>0</v>
      </c>
      <c r="BL107" s="240">
        <f t="shared" si="85"/>
        <v>0</v>
      </c>
      <c r="BM107" s="240">
        <f t="shared" si="86"/>
        <v>102</v>
      </c>
      <c r="BN107" s="211">
        <f t="shared" si="99"/>
        <v>0</v>
      </c>
      <c r="BO107" s="236">
        <f t="shared" si="100"/>
        <v>0</v>
      </c>
      <c r="BP107" s="236">
        <f t="shared" si="101"/>
        <v>0</v>
      </c>
      <c r="BQ107" s="236">
        <f t="shared" si="102"/>
        <v>0</v>
      </c>
      <c r="BR107" s="236">
        <f t="shared" si="103"/>
        <v>0</v>
      </c>
      <c r="BS107" s="236">
        <f t="shared" si="104"/>
        <v>935</v>
      </c>
      <c r="BT107" s="236">
        <f t="shared" si="105"/>
        <v>0</v>
      </c>
      <c r="BU107" s="236">
        <f t="shared" si="106"/>
        <v>0</v>
      </c>
      <c r="BV107" s="236">
        <f t="shared" si="107"/>
        <v>0</v>
      </c>
      <c r="BW107" s="236">
        <f t="shared" si="87"/>
        <v>0</v>
      </c>
      <c r="BX107" s="236">
        <f t="shared" si="88"/>
        <v>0</v>
      </c>
      <c r="BY107" s="236">
        <f t="shared" si="89"/>
        <v>102</v>
      </c>
      <c r="BZ107" s="236"/>
      <c r="CA107" s="275" t="s">
        <v>492</v>
      </c>
      <c r="CB107" s="272" t="str">
        <f t="shared" si="108"/>
        <v>N/A</v>
      </c>
      <c r="CC107" s="272" t="str">
        <f t="shared" si="109"/>
        <v>N/A</v>
      </c>
      <c r="CD107" s="272" t="str">
        <f t="shared" si="110"/>
        <v xml:space="preserve">​
Para el primer trimestre de la vigencia se consiguió un porcentaje de cumplimiento de 100% de las actividades programadas para el período, para un porcentaje acumulado del 100% del total de las actividades programadas para la vigencia en la actividad
</v>
      </c>
      <c r="CE107" s="284" t="str">
        <f t="shared" si="111"/>
        <v>N/A</v>
      </c>
      <c r="CF107" s="284" t="str">
        <f t="shared" si="112"/>
        <v>N/A</v>
      </c>
      <c r="CG107" s="284" t="str">
        <f t="shared" si="113"/>
        <v>N/A</v>
      </c>
      <c r="CH107" s="272" t="str">
        <f t="shared" si="114"/>
        <v>N/A</v>
      </c>
      <c r="CI107" s="211" t="str">
        <f t="shared" si="115"/>
        <v>N/A</v>
      </c>
      <c r="CJ107" s="211" t="str">
        <f t="shared" si="116"/>
        <v>N/A</v>
      </c>
      <c r="CK107" s="211" t="str">
        <f t="shared" si="117"/>
        <v>N/A</v>
      </c>
      <c r="CL107" s="211" t="str">
        <f t="shared" si="118"/>
        <v>N/A</v>
      </c>
      <c r="CM107" s="211" t="str">
        <f t="shared" si="119"/>
        <v>N/A</v>
      </c>
      <c r="CO107" s="211" t="s">
        <v>348</v>
      </c>
      <c r="CP107" s="211" t="s">
        <v>143</v>
      </c>
      <c r="CQ107" s="211" t="s">
        <v>306</v>
      </c>
      <c r="CR107" s="211" t="s">
        <v>758</v>
      </c>
      <c r="CS107" s="211" t="s">
        <v>2978</v>
      </c>
      <c r="CT107" s="211" t="s">
        <v>306</v>
      </c>
      <c r="CU107" s="211" t="str">
        <f t="shared" si="72"/>
        <v>N/A</v>
      </c>
      <c r="CV107" s="211" t="str">
        <f t="shared" si="73"/>
        <v>N/A</v>
      </c>
      <c r="CW107" s="211" t="str">
        <f t="shared" si="74"/>
        <v>N/A</v>
      </c>
      <c r="CX107" s="211" t="str">
        <f t="shared" si="75"/>
        <v>N/A</v>
      </c>
      <c r="CY107" s="211" t="str">
        <f t="shared" si="76"/>
        <v>N/A</v>
      </c>
      <c r="CZ107" s="211" t="str">
        <f t="shared" si="77"/>
        <v xml:space="preserve">INDICADOR A DEMANDA 
Solicitudes aceptadas por ANS: 189 en el semestre 
Solicitudes recibidas​ en el semestre  376
Ante el alto porcentaje de devoluciones a las areas proveedores, durante el segundo trimestre de 2025 se adelantaron mesas de actualización de ANS con todos los proveedores del proceso administrativo sancionatorio, en donde se recordaron los acuerdos a las areas y se resolvieron dudas, con el fin de reducir estas devolciones a la luz de los acuerdos de nivel de servicio
</v>
      </c>
      <c r="DA107" s="211" t="str">
        <f t="shared" si="78"/>
        <v>N/A</v>
      </c>
      <c r="DB107" s="211" t="str">
        <f t="shared" si="79"/>
        <v>N/A</v>
      </c>
      <c r="DC107" s="211" t="str">
        <f t="shared" si="80"/>
        <v>N/A</v>
      </c>
      <c r="DD107" s="211" t="str">
        <f t="shared" si="81"/>
        <v>N/A</v>
      </c>
      <c r="DE107" s="211" t="str">
        <f t="shared" si="82"/>
        <v>N/A</v>
      </c>
      <c r="DF107" s="211" t="str">
        <f t="shared" si="83"/>
        <v>N/A</v>
      </c>
    </row>
    <row r="108" spans="1:110" s="211" customFormat="1" ht="171">
      <c r="A108" s="348" t="s">
        <v>348</v>
      </c>
      <c r="B108" s="211" t="s">
        <v>143</v>
      </c>
      <c r="C108" s="211" t="s">
        <v>316</v>
      </c>
      <c r="D108" s="211" t="s">
        <v>427</v>
      </c>
      <c r="E108" s="211" t="s">
        <v>428</v>
      </c>
      <c r="F108" s="348" t="s">
        <v>429</v>
      </c>
      <c r="G108" s="211" t="s">
        <v>178</v>
      </c>
      <c r="H108" s="211">
        <v>1</v>
      </c>
      <c r="I108" s="323">
        <v>87</v>
      </c>
      <c r="J108" s="323">
        <v>1</v>
      </c>
      <c r="K108" s="288">
        <v>10.875</v>
      </c>
      <c r="L108" s="211" t="s">
        <v>2979</v>
      </c>
      <c r="M108" s="211" t="b">
        <v>0</v>
      </c>
      <c r="O108" s="209" t="s">
        <v>2832</v>
      </c>
      <c r="P108" s="211" t="s">
        <v>159</v>
      </c>
      <c r="Q108" s="211" t="s">
        <v>160</v>
      </c>
      <c r="T108" s="236" t="s">
        <v>284</v>
      </c>
      <c r="U108" s="269"/>
      <c r="V108" s="269"/>
      <c r="W108" s="269">
        <v>30</v>
      </c>
      <c r="X108" s="269"/>
      <c r="Y108" s="269"/>
      <c r="Z108" s="269">
        <v>23</v>
      </c>
      <c r="AA108" s="269"/>
      <c r="AB108" s="269"/>
      <c r="AC108" s="269">
        <v>2</v>
      </c>
      <c r="AD108" s="269"/>
      <c r="AE108" s="269"/>
      <c r="AF108" s="269">
        <v>1</v>
      </c>
      <c r="AG108" s="269">
        <v>56</v>
      </c>
      <c r="AH108"/>
      <c r="AI108"/>
      <c r="AJ108" s="236" t="s">
        <v>284</v>
      </c>
      <c r="AK108" s="269"/>
      <c r="AL108" s="269"/>
      <c r="AM108" s="269">
        <v>30</v>
      </c>
      <c r="AN108" s="269"/>
      <c r="AO108" s="269"/>
      <c r="AP108" s="269">
        <v>23</v>
      </c>
      <c r="AQ108" s="269"/>
      <c r="AR108" s="269"/>
      <c r="AS108" s="269">
        <v>2</v>
      </c>
      <c r="AT108" s="269"/>
      <c r="AU108" s="269"/>
      <c r="AV108" s="269">
        <v>1</v>
      </c>
      <c r="AW108" s="269">
        <v>56</v>
      </c>
      <c r="AX108" s="236"/>
      <c r="AY108" s="236"/>
      <c r="AZ108" s="236"/>
      <c r="BA108" s="239" t="s">
        <v>540</v>
      </c>
      <c r="BB108" s="240">
        <f t="shared" si="90"/>
        <v>0</v>
      </c>
      <c r="BC108" s="240">
        <f t="shared" si="91"/>
        <v>0</v>
      </c>
      <c r="BD108" s="240">
        <f t="shared" si="92"/>
        <v>0</v>
      </c>
      <c r="BE108" s="240">
        <f t="shared" si="93"/>
        <v>6</v>
      </c>
      <c r="BF108" s="240">
        <f t="shared" si="94"/>
        <v>0</v>
      </c>
      <c r="BG108" s="240">
        <f t="shared" si="95"/>
        <v>0</v>
      </c>
      <c r="BH108" s="240">
        <f t="shared" si="96"/>
        <v>0</v>
      </c>
      <c r="BI108" s="240">
        <f t="shared" si="97"/>
        <v>1</v>
      </c>
      <c r="BJ108" s="240">
        <f t="shared" si="98"/>
        <v>0</v>
      </c>
      <c r="BK108" s="240">
        <f t="shared" si="84"/>
        <v>0</v>
      </c>
      <c r="BL108" s="240">
        <f t="shared" si="85"/>
        <v>0</v>
      </c>
      <c r="BM108" s="240">
        <f t="shared" si="86"/>
        <v>9</v>
      </c>
      <c r="BN108" s="211">
        <f t="shared" si="99"/>
        <v>0</v>
      </c>
      <c r="BO108" s="236">
        <f t="shared" si="100"/>
        <v>0</v>
      </c>
      <c r="BP108" s="236">
        <f t="shared" si="101"/>
        <v>0</v>
      </c>
      <c r="BQ108" s="236">
        <f t="shared" si="102"/>
        <v>6</v>
      </c>
      <c r="BR108" s="236">
        <f t="shared" si="103"/>
        <v>0</v>
      </c>
      <c r="BS108" s="236">
        <f t="shared" si="104"/>
        <v>0</v>
      </c>
      <c r="BT108" s="236">
        <f t="shared" si="105"/>
        <v>0</v>
      </c>
      <c r="BU108" s="236">
        <f t="shared" si="106"/>
        <v>3</v>
      </c>
      <c r="BV108" s="236">
        <f t="shared" si="107"/>
        <v>0</v>
      </c>
      <c r="BW108" s="236">
        <f t="shared" si="87"/>
        <v>0</v>
      </c>
      <c r="BX108" s="236">
        <f t="shared" si="88"/>
        <v>0</v>
      </c>
      <c r="BY108" s="236">
        <f t="shared" si="89"/>
        <v>2</v>
      </c>
      <c r="BZ108" s="236"/>
      <c r="CA108" s="275" t="s">
        <v>498</v>
      </c>
      <c r="CB108" s="272" t="str">
        <f t="shared" si="108"/>
        <v>N/A</v>
      </c>
      <c r="CC108" s="272" t="str">
        <f t="shared" si="109"/>
        <v>N/A</v>
      </c>
      <c r="CD108" s="272" t="str">
        <f t="shared" si="110"/>
        <v xml:space="preserve">​
Para el primer trimestre de la vigencia se consiguió un porcentaje de cumplimiento de 100% de las actividades programadas para el período, para un porcentaje acumulado del 100% del total de las actividades programadas para la vigencia en la actividad
</v>
      </c>
      <c r="CE108" s="284" t="str">
        <f t="shared" si="111"/>
        <v>N/A</v>
      </c>
      <c r="CF108" s="284" t="str">
        <f t="shared" si="112"/>
        <v>N/A</v>
      </c>
      <c r="CG108" s="284" t="str">
        <f t="shared" si="113"/>
        <v>N/A</v>
      </c>
      <c r="CH108" s="272" t="str">
        <f t="shared" si="114"/>
        <v>N/A</v>
      </c>
      <c r="CI108" s="211" t="str">
        <f t="shared" si="115"/>
        <v>N/A</v>
      </c>
      <c r="CJ108" s="211" t="str">
        <f t="shared" si="116"/>
        <v>N/A</v>
      </c>
      <c r="CK108" s="211" t="str">
        <f t="shared" si="117"/>
        <v>N/A</v>
      </c>
      <c r="CL108" s="211" t="str">
        <f t="shared" si="118"/>
        <v>N/A</v>
      </c>
      <c r="CM108" s="211" t="str">
        <f t="shared" si="119"/>
        <v>N/A</v>
      </c>
      <c r="CO108" s="211" t="s">
        <v>348</v>
      </c>
      <c r="CP108" s="211" t="s">
        <v>143</v>
      </c>
      <c r="CQ108" s="211" t="s">
        <v>316</v>
      </c>
      <c r="CR108" s="211" t="s">
        <v>427</v>
      </c>
      <c r="CS108" s="211" t="s">
        <v>2979</v>
      </c>
      <c r="CT108" s="211" t="s">
        <v>316</v>
      </c>
      <c r="CU108" s="211" t="str">
        <f t="shared" si="72"/>
        <v>N/A</v>
      </c>
      <c r="CV108" s="211" t="str">
        <f t="shared" si="73"/>
        <v>N/A</v>
      </c>
      <c r="CW108" s="211" t="str">
        <f t="shared" si="74"/>
        <v>N/A</v>
      </c>
      <c r="CX108" s="211" t="str">
        <f t="shared" si="75"/>
        <v>N/A</v>
      </c>
      <c r="CY108" s="211" t="str">
        <f t="shared" si="76"/>
        <v>N/A</v>
      </c>
      <c r="CZ108" s="211" t="str">
        <f t="shared" si="77"/>
        <v xml:space="preserve">​INDICADOR A DEMANDA
Durante el TRIMESTRE se expidieron con apertura/improcedencia /investigación preliminar 87 procesos de los cuales 8 fueron por  criterio de priorización 
</v>
      </c>
      <c r="DA108" s="211" t="str">
        <f t="shared" si="78"/>
        <v>N/A</v>
      </c>
      <c r="DB108" s="211" t="str">
        <f t="shared" si="79"/>
        <v>N/A</v>
      </c>
      <c r="DC108" s="211" t="str">
        <f t="shared" si="80"/>
        <v>N/A</v>
      </c>
      <c r="DD108" s="211" t="str">
        <f t="shared" si="81"/>
        <v>N/A</v>
      </c>
      <c r="DE108" s="211" t="str">
        <f t="shared" si="82"/>
        <v>N/A</v>
      </c>
      <c r="DF108" s="211" t="str">
        <f t="shared" si="83"/>
        <v>N/A</v>
      </c>
    </row>
    <row r="109" spans="1:110" s="211" customFormat="1" ht="409.5">
      <c r="A109" s="348" t="s">
        <v>348</v>
      </c>
      <c r="B109" s="211" t="s">
        <v>143</v>
      </c>
      <c r="C109" s="211" t="s">
        <v>323</v>
      </c>
      <c r="D109" s="211" t="s">
        <v>349</v>
      </c>
      <c r="E109" s="211" t="s">
        <v>350</v>
      </c>
      <c r="F109" s="348" t="s">
        <v>351</v>
      </c>
      <c r="G109" s="211" t="s">
        <v>178</v>
      </c>
      <c r="H109" s="211">
        <v>1</v>
      </c>
      <c r="I109" s="433">
        <v>464</v>
      </c>
      <c r="J109" s="433">
        <v>65</v>
      </c>
      <c r="K109" s="288">
        <f>+I109/J109</f>
        <v>7.1384615384615389</v>
      </c>
      <c r="L109" s="211" t="s">
        <v>2980</v>
      </c>
      <c r="M109" s="211" t="b">
        <v>0</v>
      </c>
      <c r="O109" s="209" t="s">
        <v>2832</v>
      </c>
      <c r="P109" s="211" t="s">
        <v>159</v>
      </c>
      <c r="Q109" s="211" t="s">
        <v>160</v>
      </c>
      <c r="T109" s="236" t="s">
        <v>563</v>
      </c>
      <c r="U109" s="269"/>
      <c r="V109" s="269"/>
      <c r="W109" s="269"/>
      <c r="X109" s="269">
        <v>514</v>
      </c>
      <c r="Y109" s="269"/>
      <c r="Z109" s="269"/>
      <c r="AA109" s="269"/>
      <c r="AB109" s="269">
        <v>107</v>
      </c>
      <c r="AC109" s="269"/>
      <c r="AD109" s="269"/>
      <c r="AE109" s="269"/>
      <c r="AF109" s="269">
        <v>1</v>
      </c>
      <c r="AG109" s="269">
        <v>622</v>
      </c>
      <c r="AH109"/>
      <c r="AI109"/>
      <c r="AJ109" s="236" t="s">
        <v>563</v>
      </c>
      <c r="AK109" s="269"/>
      <c r="AL109" s="269"/>
      <c r="AM109" s="269"/>
      <c r="AN109" s="269">
        <v>514</v>
      </c>
      <c r="AO109" s="269"/>
      <c r="AP109" s="269"/>
      <c r="AQ109" s="269"/>
      <c r="AR109" s="269">
        <v>107</v>
      </c>
      <c r="AS109" s="269"/>
      <c r="AT109" s="269"/>
      <c r="AU109" s="269"/>
      <c r="AV109" s="269">
        <v>1</v>
      </c>
      <c r="AW109" s="269">
        <v>622</v>
      </c>
      <c r="AX109" s="236"/>
      <c r="AY109" s="236"/>
      <c r="AZ109" s="236"/>
      <c r="BA109" s="239" t="s">
        <v>460</v>
      </c>
      <c r="BB109" s="240">
        <f t="shared" si="90"/>
        <v>0</v>
      </c>
      <c r="BC109" s="240">
        <f t="shared" si="91"/>
        <v>0</v>
      </c>
      <c r="BD109" s="240">
        <f t="shared" si="92"/>
        <v>1</v>
      </c>
      <c r="BE109" s="240">
        <f t="shared" si="93"/>
        <v>1</v>
      </c>
      <c r="BF109" s="240">
        <f t="shared" si="94"/>
        <v>1</v>
      </c>
      <c r="BG109" s="240">
        <f t="shared" si="95"/>
        <v>0</v>
      </c>
      <c r="BH109" s="240">
        <f t="shared" si="96"/>
        <v>1</v>
      </c>
      <c r="BI109" s="240">
        <f t="shared" si="97"/>
        <v>1</v>
      </c>
      <c r="BJ109" s="240">
        <f t="shared" si="98"/>
        <v>1</v>
      </c>
      <c r="BK109" s="240">
        <f t="shared" si="84"/>
        <v>1</v>
      </c>
      <c r="BL109" s="240">
        <f t="shared" si="85"/>
        <v>1</v>
      </c>
      <c r="BM109" s="240">
        <f t="shared" si="86"/>
        <v>0</v>
      </c>
      <c r="BN109" s="211">
        <f t="shared" si="99"/>
        <v>0</v>
      </c>
      <c r="BO109" s="236">
        <f t="shared" si="100"/>
        <v>0</v>
      </c>
      <c r="BP109" s="236">
        <f t="shared" si="101"/>
        <v>1</v>
      </c>
      <c r="BQ109" s="236">
        <f t="shared" si="102"/>
        <v>1</v>
      </c>
      <c r="BR109" s="236">
        <f t="shared" si="103"/>
        <v>1</v>
      </c>
      <c r="BS109" s="236">
        <f t="shared" si="104"/>
        <v>0</v>
      </c>
      <c r="BT109" s="236">
        <f t="shared" si="105"/>
        <v>1</v>
      </c>
      <c r="BU109" s="236">
        <f t="shared" si="106"/>
        <v>1</v>
      </c>
      <c r="BV109" s="236">
        <f t="shared" si="107"/>
        <v>1</v>
      </c>
      <c r="BW109" s="236">
        <f t="shared" si="87"/>
        <v>1</v>
      </c>
      <c r="BX109" s="236">
        <f t="shared" si="88"/>
        <v>1</v>
      </c>
      <c r="BY109" s="236">
        <f t="shared" si="89"/>
        <v>0</v>
      </c>
      <c r="BZ109" s="236"/>
      <c r="CA109" s="275" t="s">
        <v>503</v>
      </c>
      <c r="CB109" s="272" t="str">
        <f t="shared" si="108"/>
        <v>N/A</v>
      </c>
      <c r="CC109" s="272" t="str">
        <f t="shared" si="109"/>
        <v>N/A</v>
      </c>
      <c r="CD109" s="272" t="str">
        <f t="shared" si="110"/>
        <v xml:space="preserve">Para el primer trimestre de la vigencia se consiguió un porcentaje de cumplimiento de 100% de las actividades programadas para el período, para un porcentaje acumulado del 100% del total de las actividades programadas para la vigencia en la actividad
</v>
      </c>
      <c r="CE109" s="284" t="str">
        <f t="shared" si="111"/>
        <v>N/A</v>
      </c>
      <c r="CF109" s="284" t="str">
        <f t="shared" si="112"/>
        <v>N/A</v>
      </c>
      <c r="CG109" s="284" t="str">
        <f t="shared" si="113"/>
        <v>N/A</v>
      </c>
      <c r="CH109" s="272" t="str">
        <f t="shared" si="114"/>
        <v>N/A</v>
      </c>
      <c r="CI109" s="211" t="str">
        <f t="shared" si="115"/>
        <v>N/A</v>
      </c>
      <c r="CJ109" s="211" t="str">
        <f t="shared" si="116"/>
        <v>N/A</v>
      </c>
      <c r="CK109" s="211" t="str">
        <f t="shared" si="117"/>
        <v>N/A</v>
      </c>
      <c r="CL109" s="211" t="str">
        <f t="shared" si="118"/>
        <v>N/A</v>
      </c>
      <c r="CM109" s="211" t="str">
        <f t="shared" si="119"/>
        <v>N/A</v>
      </c>
      <c r="CO109" s="211" t="s">
        <v>348</v>
      </c>
      <c r="CP109" s="211" t="s">
        <v>143</v>
      </c>
      <c r="CQ109" s="211" t="s">
        <v>323</v>
      </c>
      <c r="CR109" s="211" t="s">
        <v>349</v>
      </c>
      <c r="CS109" s="211" t="s">
        <v>2980</v>
      </c>
      <c r="CT109" s="211" t="s">
        <v>323</v>
      </c>
      <c r="CU109" s="211" t="str">
        <f t="shared" si="72"/>
        <v>N/A</v>
      </c>
      <c r="CV109" s="211" t="str">
        <f t="shared" si="73"/>
        <v>N/A</v>
      </c>
      <c r="CW109" s="211" t="str">
        <f t="shared" si="74"/>
        <v>N/A</v>
      </c>
      <c r="CX109" s="211" t="str">
        <f t="shared" si="75"/>
        <v>N/A</v>
      </c>
      <c r="CY109" s="211" t="str">
        <f t="shared" si="76"/>
        <v>N/A</v>
      </c>
      <c r="CZ109" s="211" t="str">
        <f t="shared" si="77"/>
        <v xml:space="preserve">​INDICADOR A DEMANDA
Total de actos administrativos expedidos en el semestre a demanda 
* por Direcciones 
1) Dirección de aseguramiento: De abril a junio de 2025 : 167 y en total en el semestre 513 
2) Dirección de prestadores : De abril a junio de 2025: 90 y en total en el semestre 169
3) Dirección de OLFERGART: De abril a junio de 2025 : 55 y en total en el semestre 103
Total de actos expedidos en el trimestre: 167+90+55: 312
Total de actos expedidos en el semestre : 785
Numero de solicitudes aceptadas en el semestre: 
1) Dirección de aseguramiento : 54
2) Dirección de Prestadores: 61
3) Dirección OLFERGART: 74
total 189
aplicación de formula 189/1785*100
</v>
      </c>
      <c r="DA109" s="211" t="str">
        <f t="shared" si="78"/>
        <v>N/A</v>
      </c>
      <c r="DB109" s="211" t="str">
        <f t="shared" si="79"/>
        <v>N/A</v>
      </c>
      <c r="DC109" s="211" t="str">
        <f t="shared" si="80"/>
        <v>N/A</v>
      </c>
      <c r="DD109" s="211" t="str">
        <f t="shared" si="81"/>
        <v>N/A</v>
      </c>
      <c r="DE109" s="211" t="str">
        <f t="shared" si="82"/>
        <v>N/A</v>
      </c>
      <c r="DF109" s="211" t="str">
        <f t="shared" si="83"/>
        <v>N/A</v>
      </c>
    </row>
    <row r="110" spans="1:110" s="211" customFormat="1" ht="405">
      <c r="A110" s="348" t="s">
        <v>348</v>
      </c>
      <c r="B110" s="211" t="s">
        <v>143</v>
      </c>
      <c r="C110" s="211" t="s">
        <v>329</v>
      </c>
      <c r="D110" s="211" t="s">
        <v>748</v>
      </c>
      <c r="E110" s="211" t="s">
        <v>749</v>
      </c>
      <c r="F110" s="348" t="s">
        <v>750</v>
      </c>
      <c r="G110" s="211" t="s">
        <v>178</v>
      </c>
      <c r="H110" s="211">
        <v>0.25</v>
      </c>
      <c r="I110" s="323">
        <v>136</v>
      </c>
      <c r="J110" s="323">
        <v>441</v>
      </c>
      <c r="K110" s="288">
        <v>0.30839002267573701</v>
      </c>
      <c r="L110" s="211" t="s">
        <v>2981</v>
      </c>
      <c r="M110" s="211" t="b">
        <v>0</v>
      </c>
      <c r="O110" s="209" t="s">
        <v>2832</v>
      </c>
      <c r="P110" s="211" t="s">
        <v>159</v>
      </c>
      <c r="Q110" s="211" t="s">
        <v>160</v>
      </c>
      <c r="T110" s="236" t="s">
        <v>296</v>
      </c>
      <c r="U110" s="269"/>
      <c r="V110" s="269"/>
      <c r="W110" s="269">
        <v>8</v>
      </c>
      <c r="X110" s="269"/>
      <c r="Y110" s="269"/>
      <c r="Z110" s="269">
        <v>8</v>
      </c>
      <c r="AA110" s="269"/>
      <c r="AB110" s="269"/>
      <c r="AC110" s="269">
        <v>5</v>
      </c>
      <c r="AD110" s="269"/>
      <c r="AE110" s="269"/>
      <c r="AF110" s="269">
        <v>14</v>
      </c>
      <c r="AG110" s="269">
        <v>35</v>
      </c>
      <c r="AH110"/>
      <c r="AI110"/>
      <c r="AJ110" s="236" t="s">
        <v>296</v>
      </c>
      <c r="AK110" s="269"/>
      <c r="AL110" s="269"/>
      <c r="AM110" s="269">
        <v>8</v>
      </c>
      <c r="AN110" s="269"/>
      <c r="AO110" s="269"/>
      <c r="AP110" s="269">
        <v>8</v>
      </c>
      <c r="AQ110" s="269"/>
      <c r="AR110" s="269"/>
      <c r="AS110" s="269">
        <v>8</v>
      </c>
      <c r="AT110" s="269"/>
      <c r="AU110" s="269"/>
      <c r="AV110" s="269">
        <v>8</v>
      </c>
      <c r="AW110" s="269">
        <v>32</v>
      </c>
      <c r="AX110" s="236"/>
      <c r="AY110" s="236"/>
      <c r="AZ110" s="236"/>
      <c r="BA110" s="239" t="s">
        <v>466</v>
      </c>
      <c r="BB110" s="240">
        <f t="shared" si="90"/>
        <v>0</v>
      </c>
      <c r="BC110" s="240">
        <f t="shared" si="91"/>
        <v>0</v>
      </c>
      <c r="BD110" s="240">
        <f t="shared" si="92"/>
        <v>2</v>
      </c>
      <c r="BE110" s="240">
        <f t="shared" si="93"/>
        <v>2</v>
      </c>
      <c r="BF110" s="240">
        <f t="shared" si="94"/>
        <v>2</v>
      </c>
      <c r="BG110" s="240">
        <f t="shared" si="95"/>
        <v>0</v>
      </c>
      <c r="BH110" s="240">
        <f t="shared" si="96"/>
        <v>0</v>
      </c>
      <c r="BI110" s="240">
        <f t="shared" si="97"/>
        <v>2</v>
      </c>
      <c r="BJ110" s="240">
        <f t="shared" si="98"/>
        <v>2</v>
      </c>
      <c r="BK110" s="240">
        <f t="shared" si="84"/>
        <v>2</v>
      </c>
      <c r="BL110" s="240">
        <f t="shared" si="85"/>
        <v>2</v>
      </c>
      <c r="BM110" s="240">
        <f t="shared" si="86"/>
        <v>0</v>
      </c>
      <c r="BN110" s="211">
        <f t="shared" si="99"/>
        <v>0</v>
      </c>
      <c r="BO110" s="236">
        <f t="shared" si="100"/>
        <v>0</v>
      </c>
      <c r="BP110" s="236">
        <f t="shared" si="101"/>
        <v>2</v>
      </c>
      <c r="BQ110" s="236">
        <f t="shared" si="102"/>
        <v>2</v>
      </c>
      <c r="BR110" s="236">
        <f t="shared" si="103"/>
        <v>2</v>
      </c>
      <c r="BS110" s="236">
        <f t="shared" si="104"/>
        <v>0</v>
      </c>
      <c r="BT110" s="236">
        <f t="shared" si="105"/>
        <v>0</v>
      </c>
      <c r="BU110" s="236">
        <f t="shared" si="106"/>
        <v>2</v>
      </c>
      <c r="BV110" s="236">
        <f t="shared" si="107"/>
        <v>2</v>
      </c>
      <c r="BW110" s="236">
        <f t="shared" si="87"/>
        <v>2</v>
      </c>
      <c r="BX110" s="236">
        <f t="shared" si="88"/>
        <v>2</v>
      </c>
      <c r="BY110" s="236">
        <f t="shared" si="89"/>
        <v>0</v>
      </c>
      <c r="BZ110" s="236"/>
      <c r="CA110" s="275" t="s">
        <v>180</v>
      </c>
      <c r="CB110" s="272" t="str">
        <f t="shared" si="108"/>
        <v>N/A</v>
      </c>
      <c r="CC110" s="272" t="str">
        <f t="shared" si="109"/>
        <v>N/A</v>
      </c>
      <c r="CD110" s="272" t="str">
        <f t="shared" si="110"/>
        <v>N/A</v>
      </c>
      <c r="CE110" s="284" t="str">
        <f t="shared" si="111"/>
        <v xml:space="preserve">En el primer cuatrimestre (Enero-Abril) de 2025 la Oficina de Control Disciplinario realizo cuatro (4) capacitaciones, charlas en materia disciplinaria, con las siguientes temáticas y participantes: 1) 18/02/2025 (Supervisión y su responsabilidad disciplinaria) 176 participantes  (Virtuales 168 y 8 presencial); 2) 28/02/2025 (Corrupción Publica; Deberes etc CGD  - 45 participantes (presencial); 3) 31/03/2025 (charla sobre derecho de petición y sus consecuencias disciplinarias) -   114 participantes (Virtual); 4) 25/04/2025 (Incompatibilidades y conflicto de intereses código general disciplinario – participantes 75  (Virtual)  -  Total participantes = 430 funcionarios.                         FebreroMarzoAbril
Total participantes: 176  (Virtuales 168 y 8 presencial)   - Primera 18/02/2025 (Supervisión)
Total participantes: 45  (presencial)  - Segunda 28/02/2025 (Corrupción Publica; Deberes etc CGD)
Total participantes: 114  (Virtual) 
Realizada: 31/03/2025 (charla sobre derecho de petición y sus consecuencias disciplinarias)
Total participantes: 75  (Virtual) 
Realizada: 25/04/2025 (Incompatibilidades y conflicto de intereses código general disciplinario
</v>
      </c>
      <c r="CF110" s="284" t="str">
        <f t="shared" si="112"/>
        <v>N/A</v>
      </c>
      <c r="CG110" s="284" t="str">
        <f t="shared" si="113"/>
        <v>N/A</v>
      </c>
      <c r="CH110" s="272" t="str">
        <f t="shared" si="114"/>
        <v>N/A</v>
      </c>
      <c r="CI110" s="211" t="str">
        <f t="shared" si="115"/>
        <v>N/A</v>
      </c>
      <c r="CJ110" s="211" t="str">
        <f t="shared" si="116"/>
        <v>N/A</v>
      </c>
      <c r="CK110" s="211" t="str">
        <f t="shared" si="117"/>
        <v>N/A</v>
      </c>
      <c r="CL110" s="211" t="str">
        <f t="shared" si="118"/>
        <v>N/A</v>
      </c>
      <c r="CM110" s="211" t="str">
        <f t="shared" si="119"/>
        <v>N/A</v>
      </c>
      <c r="CO110" s="211" t="s">
        <v>348</v>
      </c>
      <c r="CP110" s="211" t="s">
        <v>143</v>
      </c>
      <c r="CQ110" s="211" t="s">
        <v>329</v>
      </c>
      <c r="CR110" s="211" t="s">
        <v>748</v>
      </c>
      <c r="CS110" s="211" t="s">
        <v>2981</v>
      </c>
      <c r="CT110" s="211" t="s">
        <v>329</v>
      </c>
      <c r="CU110" s="211" t="str">
        <f t="shared" si="72"/>
        <v>N/A</v>
      </c>
      <c r="CV110" s="211" t="str">
        <f t="shared" si="73"/>
        <v>N/A</v>
      </c>
      <c r="CW110" s="211" t="str">
        <f t="shared" si="74"/>
        <v>N/A</v>
      </c>
      <c r="CX110" s="211" t="str">
        <f t="shared" si="75"/>
        <v>N/A</v>
      </c>
      <c r="CY110" s="211" t="str">
        <f t="shared" si="76"/>
        <v>N/A</v>
      </c>
      <c r="CZ110" s="211" t="str">
        <f t="shared" si="77"/>
        <v xml:space="preserve">​INDICADOR A DEMANDA
INFORMACION POR TRIMESTRE
Para 2025 se identificaron 441 procesos administrativos con riesgo de caducidad 2025 , en el primer trimestre se reportaron como expedidas 166 decisiones equivalentes al 37.6%
Para el segundo trimestre de 2025 se profirieron 136 decisiones con riesgo 2025 equivalente al 30,83%
Por lo anterior se entiende que para el 30 de junio de 2025 se ha realizado un avance del 68.43 % , dando cumplimiento al indicador 
</v>
      </c>
      <c r="DA110" s="211" t="str">
        <f t="shared" si="78"/>
        <v>N/A</v>
      </c>
      <c r="DB110" s="211" t="str">
        <f t="shared" si="79"/>
        <v>N/A</v>
      </c>
      <c r="DC110" s="211" t="str">
        <f t="shared" si="80"/>
        <v>N/A</v>
      </c>
      <c r="DD110" s="211" t="str">
        <f t="shared" si="81"/>
        <v>N/A</v>
      </c>
      <c r="DE110" s="211" t="str">
        <f t="shared" si="82"/>
        <v>N/A</v>
      </c>
      <c r="DF110" s="211" t="str">
        <f t="shared" si="83"/>
        <v>N/A</v>
      </c>
    </row>
    <row r="111" spans="1:110" s="211" customFormat="1" ht="178.5">
      <c r="A111" s="348" t="s">
        <v>348</v>
      </c>
      <c r="B111" s="211" t="s">
        <v>143</v>
      </c>
      <c r="C111" s="211" t="s">
        <v>422</v>
      </c>
      <c r="D111" s="211" t="s">
        <v>423</v>
      </c>
      <c r="E111" s="211" t="s">
        <v>424</v>
      </c>
      <c r="F111" s="348" t="s">
        <v>425</v>
      </c>
      <c r="G111" s="211" t="s">
        <v>178</v>
      </c>
      <c r="H111" s="211">
        <v>0.25</v>
      </c>
      <c r="I111" s="436">
        <v>599023035</v>
      </c>
      <c r="J111" s="436">
        <v>731506000</v>
      </c>
      <c r="K111" s="288">
        <v>0.81889011846792803</v>
      </c>
      <c r="L111" s="211" t="s">
        <v>2982</v>
      </c>
      <c r="M111" s="211" t="b">
        <v>0</v>
      </c>
      <c r="O111" s="209" t="s">
        <v>2832</v>
      </c>
      <c r="P111" s="211" t="s">
        <v>159</v>
      </c>
      <c r="Q111" s="211" t="s">
        <v>160</v>
      </c>
      <c r="T111" s="236" t="s">
        <v>547</v>
      </c>
      <c r="U111" s="269"/>
      <c r="V111" s="269"/>
      <c r="W111" s="269"/>
      <c r="X111" s="269">
        <v>14</v>
      </c>
      <c r="Y111" s="269"/>
      <c r="Z111" s="269"/>
      <c r="AA111" s="269"/>
      <c r="AB111" s="269">
        <v>41</v>
      </c>
      <c r="AC111" s="269"/>
      <c r="AD111" s="269"/>
      <c r="AE111" s="269"/>
      <c r="AF111" s="269">
        <v>24</v>
      </c>
      <c r="AG111" s="269">
        <v>79</v>
      </c>
      <c r="AH111"/>
      <c r="AI111"/>
      <c r="AJ111" s="236" t="s">
        <v>547</v>
      </c>
      <c r="AK111" s="269"/>
      <c r="AL111" s="269"/>
      <c r="AM111" s="269"/>
      <c r="AN111" s="269">
        <v>14</v>
      </c>
      <c r="AO111" s="269"/>
      <c r="AP111" s="269"/>
      <c r="AQ111" s="269"/>
      <c r="AR111" s="269">
        <v>34</v>
      </c>
      <c r="AS111" s="269"/>
      <c r="AT111" s="269"/>
      <c r="AU111" s="269"/>
      <c r="AV111" s="269">
        <v>22</v>
      </c>
      <c r="AW111" s="269">
        <v>70</v>
      </c>
      <c r="AX111" s="236"/>
      <c r="AY111" s="236"/>
      <c r="AZ111" s="236"/>
      <c r="BA111" s="239" t="s">
        <v>611</v>
      </c>
      <c r="BB111" s="240">
        <f t="shared" si="90"/>
        <v>0</v>
      </c>
      <c r="BC111" s="240">
        <f t="shared" si="91"/>
        <v>0</v>
      </c>
      <c r="BD111" s="240">
        <f t="shared" si="92"/>
        <v>0</v>
      </c>
      <c r="BE111" s="240">
        <f t="shared" si="93"/>
        <v>0</v>
      </c>
      <c r="BF111" s="240">
        <f t="shared" si="94"/>
        <v>0</v>
      </c>
      <c r="BG111" s="240">
        <f t="shared" si="95"/>
        <v>0</v>
      </c>
      <c r="BH111" s="240">
        <f t="shared" si="96"/>
        <v>0</v>
      </c>
      <c r="BI111" s="240">
        <f t="shared" si="97"/>
        <v>0</v>
      </c>
      <c r="BJ111" s="240">
        <f t="shared" si="98"/>
        <v>0</v>
      </c>
      <c r="BK111" s="240">
        <f t="shared" si="84"/>
        <v>0</v>
      </c>
      <c r="BL111" s="240">
        <f t="shared" si="85"/>
        <v>3</v>
      </c>
      <c r="BM111" s="240">
        <f t="shared" si="86"/>
        <v>0</v>
      </c>
      <c r="BN111" s="211">
        <f t="shared" si="99"/>
        <v>0</v>
      </c>
      <c r="BO111" s="236">
        <f t="shared" si="100"/>
        <v>0</v>
      </c>
      <c r="BP111" s="236">
        <f t="shared" si="101"/>
        <v>0</v>
      </c>
      <c r="BQ111" s="236">
        <f t="shared" si="102"/>
        <v>0</v>
      </c>
      <c r="BR111" s="236">
        <f t="shared" si="103"/>
        <v>0</v>
      </c>
      <c r="BS111" s="236">
        <f t="shared" si="104"/>
        <v>0</v>
      </c>
      <c r="BT111" s="236">
        <f t="shared" si="105"/>
        <v>0</v>
      </c>
      <c r="BU111" s="236">
        <f t="shared" si="106"/>
        <v>0</v>
      </c>
      <c r="BV111" s="236">
        <f t="shared" si="107"/>
        <v>0</v>
      </c>
      <c r="BW111" s="236">
        <f t="shared" si="87"/>
        <v>0</v>
      </c>
      <c r="BX111" s="236">
        <f t="shared" si="88"/>
        <v>3</v>
      </c>
      <c r="BY111" s="236">
        <f t="shared" si="89"/>
        <v>0</v>
      </c>
      <c r="BZ111" s="236"/>
      <c r="CA111" s="275" t="s">
        <v>182</v>
      </c>
      <c r="CB111" s="272" t="str">
        <f t="shared" si="108"/>
        <v>N/A</v>
      </c>
      <c r="CC111" s="272" t="str">
        <f t="shared" si="109"/>
        <v xml:space="preserve">​De las (95) noticias disciplinarias (Quejas, informe de servidor público o de oficio) recibidas en el primer bimestre de 2025 (Enero - Febrero), se adelantaron las siguientes actuaciones: 31 (33%) Aperturas de indagación Previa; 47 (49%) Autos Inhibitorios; 8 (8%) Traslados por competencia y 9 (9%) Aperturas de Investigación Disciplinaria, profiriendo igual número de autos por el Coordinador del Grupo de Instrucción Disciplinaria en el periodo.
</v>
      </c>
      <c r="CD111" s="272" t="str">
        <f t="shared" si="110"/>
        <v>N/A</v>
      </c>
      <c r="CE111" s="284" t="str">
        <f t="shared" si="111"/>
        <v>N/A</v>
      </c>
      <c r="CF111" s="284" t="str">
        <f t="shared" si="112"/>
        <v>N/A</v>
      </c>
      <c r="CG111" s="284" t="str">
        <f t="shared" si="113"/>
        <v>N/A</v>
      </c>
      <c r="CH111" s="272" t="str">
        <f t="shared" si="114"/>
        <v>N/A</v>
      </c>
      <c r="CI111" s="211" t="str">
        <f t="shared" si="115"/>
        <v>N/A</v>
      </c>
      <c r="CJ111" s="211" t="str">
        <f t="shared" si="116"/>
        <v>N/A</v>
      </c>
      <c r="CK111" s="211" t="str">
        <f t="shared" si="117"/>
        <v>N/A</v>
      </c>
      <c r="CL111" s="211" t="str">
        <f t="shared" si="118"/>
        <v>N/A</v>
      </c>
      <c r="CM111" s="211" t="str">
        <f t="shared" si="119"/>
        <v>N/A</v>
      </c>
      <c r="CO111" s="211" t="s">
        <v>348</v>
      </c>
      <c r="CP111" s="211" t="s">
        <v>143</v>
      </c>
      <c r="CQ111" s="211" t="s">
        <v>422</v>
      </c>
      <c r="CR111" s="211" t="s">
        <v>423</v>
      </c>
      <c r="CS111" s="211" t="s">
        <v>2982</v>
      </c>
      <c r="CT111" s="211" t="s">
        <v>422</v>
      </c>
      <c r="CU111" s="211" t="str">
        <f t="shared" si="72"/>
        <v>N/A</v>
      </c>
      <c r="CV111" s="211" t="str">
        <f t="shared" si="73"/>
        <v>N/A</v>
      </c>
      <c r="CW111" s="211" t="str">
        <f t="shared" si="74"/>
        <v>N/A</v>
      </c>
      <c r="CX111" s="211" t="str">
        <f t="shared" si="75"/>
        <v>N/A</v>
      </c>
      <c r="CY111" s="211" t="str">
        <f t="shared" si="76"/>
        <v>N/A</v>
      </c>
      <c r="CZ111" s="211" t="str">
        <f t="shared" si="77"/>
        <v>​  Total por rubro de funcionamoento $ 731.506.000
Total, ejecución acumulada:   = $599.023.035
Saldo pendiente por ejecutar:
Saldo restante: $731.506.000 – $599.023.035 = $132.482.965
 Resultado del avance 81 % 
se avanzo en mas del 50% en el semestre dando cumplimiento al presupuesto presentado a la Delegatura , se adjunta panatallazo de ejecución por areas entregado por en equipo de seguimiento presupuestal de la entidad y cdp expedidos en el trimestre </v>
      </c>
      <c r="DA111" s="211" t="str">
        <f t="shared" si="78"/>
        <v>N/A</v>
      </c>
      <c r="DB111" s="211" t="str">
        <f t="shared" si="79"/>
        <v>N/A</v>
      </c>
      <c r="DC111" s="211" t="str">
        <f t="shared" si="80"/>
        <v>N/A</v>
      </c>
      <c r="DD111" s="211" t="str">
        <f t="shared" si="81"/>
        <v>N/A</v>
      </c>
      <c r="DE111" s="211" t="str">
        <f t="shared" si="82"/>
        <v>N/A</v>
      </c>
      <c r="DF111" s="211" t="str">
        <f t="shared" si="83"/>
        <v>N/A</v>
      </c>
    </row>
    <row r="112" spans="1:110" s="211" customFormat="1" ht="409.5">
      <c r="A112" s="348" t="s">
        <v>365</v>
      </c>
      <c r="B112" s="211" t="s">
        <v>143</v>
      </c>
      <c r="C112" s="211" t="s">
        <v>230</v>
      </c>
      <c r="D112" s="211" t="s">
        <v>431</v>
      </c>
      <c r="E112" s="211" t="s">
        <v>432</v>
      </c>
      <c r="F112" s="348" t="s">
        <v>433</v>
      </c>
      <c r="G112" s="211" t="s">
        <v>178</v>
      </c>
      <c r="H112" s="211">
        <v>0.85</v>
      </c>
      <c r="I112" s="323">
        <v>16</v>
      </c>
      <c r="J112" s="323">
        <v>11</v>
      </c>
      <c r="K112" s="288">
        <v>1.4545454545454499</v>
      </c>
      <c r="L112" s="211" t="s">
        <v>816</v>
      </c>
      <c r="M112" s="211" t="b">
        <v>0</v>
      </c>
      <c r="O112" s="209" t="s">
        <v>2832</v>
      </c>
      <c r="P112" s="211" t="s">
        <v>159</v>
      </c>
      <c r="Q112" s="211" t="s">
        <v>160</v>
      </c>
      <c r="T112" s="236" t="s">
        <v>510</v>
      </c>
      <c r="U112" s="269"/>
      <c r="V112" s="269"/>
      <c r="W112" s="269">
        <v>0.873</v>
      </c>
      <c r="X112" s="269"/>
      <c r="Y112" s="269"/>
      <c r="Z112" s="269">
        <v>0.49</v>
      </c>
      <c r="AA112" s="269"/>
      <c r="AB112" s="269"/>
      <c r="AC112" s="269">
        <v>0.82</v>
      </c>
      <c r="AD112" s="269"/>
      <c r="AE112" s="269"/>
      <c r="AF112" s="269">
        <v>0.76</v>
      </c>
      <c r="AG112" s="269">
        <v>2.9429999999999996</v>
      </c>
      <c r="AH112"/>
      <c r="AI112"/>
      <c r="AJ112" s="236" t="s">
        <v>510</v>
      </c>
      <c r="AK112" s="269"/>
      <c r="AL112" s="269"/>
      <c r="AM112" s="269">
        <v>1</v>
      </c>
      <c r="AN112" s="269"/>
      <c r="AO112" s="269"/>
      <c r="AP112" s="269">
        <v>1</v>
      </c>
      <c r="AQ112" s="269"/>
      <c r="AR112" s="269"/>
      <c r="AS112" s="269">
        <v>1</v>
      </c>
      <c r="AT112" s="269"/>
      <c r="AU112" s="269"/>
      <c r="AV112" s="269">
        <v>1</v>
      </c>
      <c r="AW112" s="269">
        <v>4</v>
      </c>
      <c r="AX112" s="236"/>
      <c r="AY112" s="236"/>
      <c r="AZ112" s="236"/>
      <c r="BA112" s="239" t="s">
        <v>612</v>
      </c>
      <c r="BB112" s="240">
        <f t="shared" si="90"/>
        <v>0</v>
      </c>
      <c r="BC112" s="240">
        <f t="shared" si="91"/>
        <v>0</v>
      </c>
      <c r="BD112" s="240">
        <f t="shared" si="92"/>
        <v>0</v>
      </c>
      <c r="BE112" s="240">
        <f t="shared" si="93"/>
        <v>0</v>
      </c>
      <c r="BF112" s="240">
        <f t="shared" si="94"/>
        <v>0</v>
      </c>
      <c r="BG112" s="240">
        <f t="shared" si="95"/>
        <v>1</v>
      </c>
      <c r="BH112" s="240">
        <f t="shared" si="96"/>
        <v>0</v>
      </c>
      <c r="BI112" s="240">
        <f t="shared" si="97"/>
        <v>0</v>
      </c>
      <c r="BJ112" s="240">
        <f t="shared" si="98"/>
        <v>0</v>
      </c>
      <c r="BK112" s="240">
        <f t="shared" si="84"/>
        <v>0</v>
      </c>
      <c r="BL112" s="240">
        <f t="shared" si="85"/>
        <v>0</v>
      </c>
      <c r="BM112" s="240">
        <f t="shared" si="86"/>
        <v>3</v>
      </c>
      <c r="BN112" s="211">
        <f t="shared" si="99"/>
        <v>0</v>
      </c>
      <c r="BO112" s="236">
        <f t="shared" si="100"/>
        <v>0</v>
      </c>
      <c r="BP112" s="236">
        <f t="shared" si="101"/>
        <v>0</v>
      </c>
      <c r="BQ112" s="236">
        <f t="shared" si="102"/>
        <v>0</v>
      </c>
      <c r="BR112" s="236">
        <f t="shared" si="103"/>
        <v>0</v>
      </c>
      <c r="BS112" s="236">
        <f t="shared" si="104"/>
        <v>1</v>
      </c>
      <c r="BT112" s="236">
        <f t="shared" si="105"/>
        <v>0</v>
      </c>
      <c r="BU112" s="236">
        <f t="shared" si="106"/>
        <v>0</v>
      </c>
      <c r="BV112" s="236">
        <f t="shared" si="107"/>
        <v>0</v>
      </c>
      <c r="BW112" s="236">
        <f t="shared" si="87"/>
        <v>0</v>
      </c>
      <c r="BX112" s="236">
        <f t="shared" si="88"/>
        <v>0</v>
      </c>
      <c r="BY112" s="236">
        <f t="shared" si="89"/>
        <v>3</v>
      </c>
      <c r="BZ112" s="236"/>
      <c r="CA112" s="275" t="s">
        <v>188</v>
      </c>
      <c r="CB112" s="272" t="str">
        <f t="shared" si="108"/>
        <v>N/A</v>
      </c>
      <c r="CC112" s="272" t="str">
        <f t="shared" si="109"/>
        <v>N/A</v>
      </c>
      <c r="CD112" s="272" t="str">
        <f t="shared" si="110"/>
        <v>N/A</v>
      </c>
      <c r="CE112" s="284" t="str">
        <f t="shared" si="111"/>
        <v>N/A</v>
      </c>
      <c r="CF112" s="284" t="str">
        <f t="shared" si="112"/>
        <v>N/A</v>
      </c>
      <c r="CG112" s="284" t="str">
        <f t="shared" si="113"/>
        <v xml:space="preserve">Dada la dinámica de la etapa de instrucción y la variación mensual (Enero:2014; Febrero: 207; Marzo: 226; Abril:206;Mayo:214 y Junio:226) del inventario de expedientes objeto de evaluación o calificación, para adoptar una decisión (archivo o pliego de cargos), se tomará el promedio del semestre (215) como denominador, para el cálculo del indicador, excluyendo aquellos expedientes cuyo termino de duración de la indagación previa o investigación disciplinaria se encuentra en curso (vigente), de los 215 expedientes reseñados, se adoptaron 131 decisiones de archivo con fundamento en las causales del artículo 90 del Código General Disciplinario y se formuló un (1) pliego de cargos.    
En las reuniones de Autoevaluación mensual de la OCDI se verifica el avance frente al indicador y se acumula el mismo, a saber:EneroFebreroMarzoAbrilMayoJunioIndicador:
 (49) Decisiones de Fondo Adoptadas Etapa Instrucción / (214) Número Total Procesos Evaluados - Etapa Instrucción *100 = 22,89%Indicador:
 (32) Decisiones de Fondo Adoptadas Etapa Instrucción / (207) Número Total Procesos Evaluados - Etapa Instrucción *100 = 15,45%Indicador:
 (25) Decisiones de Fondo Adoptadas Etapa Instrucción / (226) Número Total Procesos Evaluados - Etapa Instrucción *100 = 11,06%Indicador:
 (12) Decisiones de Fondo Adoptadas Etapa Instrucción / (206) Número Total Procesos Evaluados - Etapa Instrucción *100 = 5,82%Indicador:
 (1) Decisiones de Fondo Adoptadas Etapa Instrucción / (214) Número Total Procesos Evaluados - Etapa Instrucción *100 = 0,46%Indicador:
 (14) Decisiones de Fondo Adoptadas Etapa Instrucción / (226) Número Total Procesos Evaluados - Etapa Instrucción *100 = 6,19% 22,89% (49)38,34% (81)49,40 % (106)55,22% (117)55,68% (118)61,87% (132)
La meta programada, esta superada en el 36,39%, ya que para el primer semestre se tenia previsto un avance del 25%, pero se logro el 61,39%     
</v>
      </c>
      <c r="CH112" s="272" t="str">
        <f t="shared" si="114"/>
        <v>N/A</v>
      </c>
      <c r="CI112" s="211" t="str">
        <f t="shared" si="115"/>
        <v>N/A</v>
      </c>
      <c r="CJ112" s="211" t="str">
        <f t="shared" si="116"/>
        <v>N/A</v>
      </c>
      <c r="CK112" s="211" t="str">
        <f t="shared" si="117"/>
        <v>N/A</v>
      </c>
      <c r="CL112" s="211" t="str">
        <f t="shared" si="118"/>
        <v>N/A</v>
      </c>
      <c r="CM112" s="211" t="str">
        <f t="shared" si="119"/>
        <v>N/A</v>
      </c>
      <c r="CO112" s="211" t="s">
        <v>365</v>
      </c>
      <c r="CP112" s="211" t="s">
        <v>143</v>
      </c>
      <c r="CQ112" s="211" t="s">
        <v>230</v>
      </c>
      <c r="CR112" s="211" t="s">
        <v>431</v>
      </c>
      <c r="CS112" s="211" t="s">
        <v>816</v>
      </c>
      <c r="CT112" s="211" t="s">
        <v>230</v>
      </c>
      <c r="CU112" s="211" t="str">
        <f t="shared" si="72"/>
        <v>N/A</v>
      </c>
      <c r="CV112" s="211" t="str">
        <f t="shared" si="73"/>
        <v>N/A</v>
      </c>
      <c r="CW112" s="211" t="str">
        <f t="shared" si="74"/>
        <v>N/A</v>
      </c>
      <c r="CX112" s="211" t="str">
        <f t="shared" si="75"/>
        <v>N/A</v>
      </c>
      <c r="CY112" s="211" t="str">
        <f t="shared" si="76"/>
        <v>N/A</v>
      </c>
      <c r="CZ112" s="211" t="str">
        <f t="shared" si="77"/>
        <v xml:space="preserve">​Durante el segundo trimestre de 21025 se realizaron 16 auditorias del 11 programdas, con el fn de subsanar las 5 auditorias que no se realizaron en el primer trimestre de 2025.  Es así que ala fecha se han ejecutado el 100% de las acutorías programadas para el segundo semestre de 2025.
</v>
      </c>
      <c r="DA112" s="211" t="str">
        <f t="shared" si="78"/>
        <v>N/A</v>
      </c>
      <c r="DB112" s="211" t="str">
        <f t="shared" si="79"/>
        <v>N/A</v>
      </c>
      <c r="DC112" s="211" t="str">
        <f t="shared" si="80"/>
        <v>N/A</v>
      </c>
      <c r="DD112" s="211" t="str">
        <f t="shared" si="81"/>
        <v>N/A</v>
      </c>
      <c r="DE112" s="211" t="str">
        <f t="shared" si="82"/>
        <v>N/A</v>
      </c>
      <c r="DF112" s="211" t="str">
        <f t="shared" si="83"/>
        <v>N/A</v>
      </c>
    </row>
    <row r="113" spans="1:110" s="211" customFormat="1" ht="255">
      <c r="A113" s="348" t="s">
        <v>365</v>
      </c>
      <c r="B113" s="211" t="s">
        <v>143</v>
      </c>
      <c r="C113" s="211" t="s">
        <v>258</v>
      </c>
      <c r="D113" s="211" t="s">
        <v>476</v>
      </c>
      <c r="E113" s="211" t="s">
        <v>477</v>
      </c>
      <c r="F113" s="348" t="s">
        <v>478</v>
      </c>
      <c r="G113" s="211" t="s">
        <v>178</v>
      </c>
      <c r="H113" s="211">
        <v>0.85</v>
      </c>
      <c r="I113" s="323">
        <v>8</v>
      </c>
      <c r="J113" s="323">
        <v>11</v>
      </c>
      <c r="K113" s="288">
        <v>0.72727272727272696</v>
      </c>
      <c r="L113" s="211" t="s">
        <v>2812</v>
      </c>
      <c r="M113" s="211" t="b">
        <v>0</v>
      </c>
      <c r="O113" s="209" t="s">
        <v>2832</v>
      </c>
      <c r="P113" s="211" t="s">
        <v>159</v>
      </c>
      <c r="Q113" s="211" t="s">
        <v>160</v>
      </c>
      <c r="T113" s="236" t="s">
        <v>630</v>
      </c>
      <c r="U113" s="269"/>
      <c r="V113" s="269"/>
      <c r="W113" s="269"/>
      <c r="X113" s="269"/>
      <c r="Y113" s="269"/>
      <c r="Z113" s="269">
        <v>40</v>
      </c>
      <c r="AA113" s="269"/>
      <c r="AB113" s="269"/>
      <c r="AC113" s="269"/>
      <c r="AD113" s="269"/>
      <c r="AE113" s="269"/>
      <c r="AF113" s="269">
        <v>72</v>
      </c>
      <c r="AG113" s="269">
        <v>112</v>
      </c>
      <c r="AH113"/>
      <c r="AI113"/>
      <c r="AJ113" s="236" t="s">
        <v>630</v>
      </c>
      <c r="AK113" s="269"/>
      <c r="AL113" s="269"/>
      <c r="AM113" s="269"/>
      <c r="AN113" s="269"/>
      <c r="AO113" s="269"/>
      <c r="AP113" s="269">
        <v>40</v>
      </c>
      <c r="AQ113" s="269"/>
      <c r="AR113" s="269"/>
      <c r="AS113" s="269"/>
      <c r="AT113" s="269"/>
      <c r="AU113" s="269"/>
      <c r="AV113" s="269">
        <v>60</v>
      </c>
      <c r="AW113" s="269">
        <v>100</v>
      </c>
      <c r="AX113" s="236"/>
      <c r="AY113" s="236"/>
      <c r="AZ113" s="236"/>
      <c r="BA113" s="239" t="s">
        <v>272</v>
      </c>
      <c r="BB113" s="240">
        <f t="shared" si="90"/>
        <v>0</v>
      </c>
      <c r="BC113" s="240">
        <f t="shared" si="91"/>
        <v>0</v>
      </c>
      <c r="BD113" s="240">
        <f t="shared" si="92"/>
        <v>4.625</v>
      </c>
      <c r="BE113" s="240">
        <f t="shared" si="93"/>
        <v>0</v>
      </c>
      <c r="BF113" s="240">
        <f t="shared" si="94"/>
        <v>0</v>
      </c>
      <c r="BG113" s="240">
        <f t="shared" si="95"/>
        <v>5</v>
      </c>
      <c r="BH113" s="240">
        <f t="shared" si="96"/>
        <v>0</v>
      </c>
      <c r="BI113" s="240">
        <f t="shared" si="97"/>
        <v>0</v>
      </c>
      <c r="BJ113" s="240">
        <f t="shared" si="98"/>
        <v>5.75</v>
      </c>
      <c r="BK113" s="240">
        <f t="shared" si="84"/>
        <v>0</v>
      </c>
      <c r="BL113" s="240">
        <f t="shared" si="85"/>
        <v>0</v>
      </c>
      <c r="BM113" s="240">
        <f t="shared" si="86"/>
        <v>66</v>
      </c>
      <c r="BN113" s="211">
        <f t="shared" si="99"/>
        <v>0</v>
      </c>
      <c r="BO113" s="236">
        <f t="shared" si="100"/>
        <v>0</v>
      </c>
      <c r="BP113" s="236">
        <f t="shared" si="101"/>
        <v>9</v>
      </c>
      <c r="BQ113" s="236">
        <f t="shared" si="102"/>
        <v>0</v>
      </c>
      <c r="BR113" s="236">
        <f t="shared" si="103"/>
        <v>0</v>
      </c>
      <c r="BS113" s="236">
        <f t="shared" si="104"/>
        <v>9</v>
      </c>
      <c r="BT113" s="236">
        <f t="shared" si="105"/>
        <v>0</v>
      </c>
      <c r="BU113" s="236">
        <f t="shared" si="106"/>
        <v>0</v>
      </c>
      <c r="BV113" s="236">
        <f t="shared" si="107"/>
        <v>9</v>
      </c>
      <c r="BW113" s="236">
        <f t="shared" si="87"/>
        <v>0</v>
      </c>
      <c r="BX113" s="236">
        <f t="shared" si="88"/>
        <v>0</v>
      </c>
      <c r="BY113" s="236">
        <f t="shared" si="89"/>
        <v>66</v>
      </c>
      <c r="BZ113" s="236"/>
      <c r="CA113" s="275" t="s">
        <v>196</v>
      </c>
      <c r="CB113" s="272" t="str">
        <f t="shared" si="108"/>
        <v>N/A</v>
      </c>
      <c r="CC113" s="272" t="str">
        <f t="shared" si="109"/>
        <v>N/A</v>
      </c>
      <c r="CD113" s="272" t="str">
        <f t="shared" si="110"/>
        <v>N/A</v>
      </c>
      <c r="CE113" s="284" t="str">
        <f t="shared" si="111"/>
        <v>N/A</v>
      </c>
      <c r="CF113" s="284" t="str">
        <f t="shared" si="112"/>
        <v>N/A</v>
      </c>
      <c r="CG113" s="284" t="str">
        <f t="shared" si="113"/>
        <v xml:space="preserve">El inventario de expedientes existentes en el primer semestre 2025, a evaluar en etapa de juzgamiento, para adoptar la decisión de primera instancia, correspondía a cuatro (4) de los cuales se adoptó fallo sancionatorio de primera instancia en dos (2),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
Lo previsto para el primer semestre se alcanzó según o previsto en el indicador, incluso superando la línea base del indicador.
</v>
      </c>
      <c r="CH113" s="272" t="str">
        <f t="shared" si="114"/>
        <v>N/A</v>
      </c>
      <c r="CI113" s="211" t="str">
        <f t="shared" si="115"/>
        <v>N/A</v>
      </c>
      <c r="CJ113" s="211" t="str">
        <f t="shared" si="116"/>
        <v>N/A</v>
      </c>
      <c r="CK113" s="211" t="str">
        <f t="shared" si="117"/>
        <v>N/A</v>
      </c>
      <c r="CL113" s="211" t="str">
        <f t="shared" si="118"/>
        <v>N/A</v>
      </c>
      <c r="CM113" s="211" t="str">
        <f t="shared" si="119"/>
        <v>N/A</v>
      </c>
      <c r="CO113" s="211" t="s">
        <v>365</v>
      </c>
      <c r="CP113" s="211" t="s">
        <v>143</v>
      </c>
      <c r="CQ113" s="211" t="s">
        <v>258</v>
      </c>
      <c r="CR113" s="211" t="s">
        <v>476</v>
      </c>
      <c r="CS113" s="211" t="s">
        <v>2812</v>
      </c>
      <c r="CT113" s="211" t="s">
        <v>258</v>
      </c>
      <c r="CU113" s="211" t="str">
        <f t="shared" si="72"/>
        <v>N/A</v>
      </c>
      <c r="CV113" s="211" t="str">
        <f t="shared" si="73"/>
        <v>N/A</v>
      </c>
      <c r="CW113" s="211" t="str">
        <f t="shared" si="74"/>
        <v>N/A</v>
      </c>
      <c r="CX113" s="211" t="str">
        <f t="shared" si="75"/>
        <v>N/A</v>
      </c>
      <c r="CY113" s="211" t="str">
        <f t="shared" si="76"/>
        <v>N/A</v>
      </c>
      <c r="CZ113" s="211" t="str">
        <f t="shared" si="77"/>
        <v xml:space="preserve">​Teniendo en cuena la contingencia de requerimientos realizada en el segundo trimestre de 2025 a la Dirección de Medidas Especiales de EPS E.A., se evidenció la actualización de 8 fichas de seguimiento de 11 entidades en medida.
</v>
      </c>
      <c r="DA113" s="211" t="str">
        <f t="shared" si="78"/>
        <v>N/A</v>
      </c>
      <c r="DB113" s="211" t="str">
        <f t="shared" si="79"/>
        <v>N/A</v>
      </c>
      <c r="DC113" s="211" t="str">
        <f t="shared" si="80"/>
        <v>N/A</v>
      </c>
      <c r="DD113" s="211" t="str">
        <f t="shared" si="81"/>
        <v>N/A</v>
      </c>
      <c r="DE113" s="211" t="str">
        <f t="shared" si="82"/>
        <v>N/A</v>
      </c>
      <c r="DF113" s="211" t="str">
        <f t="shared" si="83"/>
        <v>N/A</v>
      </c>
    </row>
    <row r="114" spans="1:110" s="211" customFormat="1" ht="156.75">
      <c r="A114" s="348" t="s">
        <v>365</v>
      </c>
      <c r="B114" s="211" t="s">
        <v>143</v>
      </c>
      <c r="C114" s="211" t="s">
        <v>311</v>
      </c>
      <c r="D114" s="211" t="s">
        <v>387</v>
      </c>
      <c r="E114" s="211" t="s">
        <v>388</v>
      </c>
      <c r="F114" s="348" t="s">
        <v>389</v>
      </c>
      <c r="G114" s="211" t="s">
        <v>157</v>
      </c>
      <c r="H114" s="211">
        <v>2</v>
      </c>
      <c r="I114" s="323">
        <v>2</v>
      </c>
      <c r="J114" s="323">
        <v>2</v>
      </c>
      <c r="K114" s="288">
        <v>1</v>
      </c>
      <c r="L114" s="211" t="s">
        <v>815</v>
      </c>
      <c r="M114" s="211" t="b">
        <v>0</v>
      </c>
      <c r="O114" s="209" t="s">
        <v>2832</v>
      </c>
      <c r="P114" s="211" t="s">
        <v>159</v>
      </c>
      <c r="Q114" s="211" t="s">
        <v>160</v>
      </c>
      <c r="T114" s="236" t="s">
        <v>635</v>
      </c>
      <c r="U114" s="269"/>
      <c r="V114" s="269"/>
      <c r="W114" s="269"/>
      <c r="X114" s="269"/>
      <c r="Y114" s="269"/>
      <c r="Z114" s="269">
        <v>7</v>
      </c>
      <c r="AA114" s="269"/>
      <c r="AB114" s="269"/>
      <c r="AC114" s="269"/>
      <c r="AD114" s="269"/>
      <c r="AE114" s="269"/>
      <c r="AF114" s="269">
        <v>17</v>
      </c>
      <c r="AG114" s="269">
        <v>24</v>
      </c>
      <c r="AH114"/>
      <c r="AI114"/>
      <c r="AJ114" s="236" t="s">
        <v>635</v>
      </c>
      <c r="AK114" s="269"/>
      <c r="AL114" s="269"/>
      <c r="AM114" s="269"/>
      <c r="AN114" s="269"/>
      <c r="AO114" s="269"/>
      <c r="AP114" s="269">
        <v>5</v>
      </c>
      <c r="AQ114" s="269"/>
      <c r="AR114" s="269"/>
      <c r="AS114" s="269"/>
      <c r="AT114" s="269"/>
      <c r="AU114" s="269"/>
      <c r="AV114" s="269">
        <v>8</v>
      </c>
      <c r="AW114" s="269">
        <v>13</v>
      </c>
      <c r="AX114" s="236"/>
      <c r="AY114" s="236"/>
      <c r="AZ114" s="236"/>
      <c r="BA114" s="239" t="s">
        <v>284</v>
      </c>
      <c r="BB114" s="240">
        <f t="shared" si="90"/>
        <v>0</v>
      </c>
      <c r="BC114" s="240">
        <f t="shared" si="91"/>
        <v>0</v>
      </c>
      <c r="BD114" s="240">
        <f t="shared" si="92"/>
        <v>30</v>
      </c>
      <c r="BE114" s="240">
        <f t="shared" si="93"/>
        <v>0</v>
      </c>
      <c r="BF114" s="240">
        <f t="shared" si="94"/>
        <v>0</v>
      </c>
      <c r="BG114" s="240">
        <f t="shared" si="95"/>
        <v>23</v>
      </c>
      <c r="BH114" s="240">
        <f t="shared" si="96"/>
        <v>0</v>
      </c>
      <c r="BI114" s="240">
        <f t="shared" si="97"/>
        <v>0</v>
      </c>
      <c r="BJ114" s="240">
        <f t="shared" si="98"/>
        <v>2</v>
      </c>
      <c r="BK114" s="240">
        <f t="shared" si="84"/>
        <v>0</v>
      </c>
      <c r="BL114" s="240">
        <f t="shared" si="85"/>
        <v>0</v>
      </c>
      <c r="BM114" s="240">
        <f t="shared" si="86"/>
        <v>1</v>
      </c>
      <c r="BN114" s="211">
        <f t="shared" si="99"/>
        <v>0</v>
      </c>
      <c r="BO114" s="236">
        <f t="shared" si="100"/>
        <v>0</v>
      </c>
      <c r="BP114" s="236">
        <f t="shared" si="101"/>
        <v>30</v>
      </c>
      <c r="BQ114" s="236">
        <f t="shared" si="102"/>
        <v>0</v>
      </c>
      <c r="BR114" s="236">
        <f t="shared" si="103"/>
        <v>0</v>
      </c>
      <c r="BS114" s="236">
        <f t="shared" si="104"/>
        <v>23</v>
      </c>
      <c r="BT114" s="236">
        <f t="shared" si="105"/>
        <v>0</v>
      </c>
      <c r="BU114" s="236">
        <f t="shared" si="106"/>
        <v>0</v>
      </c>
      <c r="BV114" s="236">
        <f t="shared" si="107"/>
        <v>2</v>
      </c>
      <c r="BW114" s="236">
        <f t="shared" si="87"/>
        <v>0</v>
      </c>
      <c r="BX114" s="236">
        <f t="shared" si="88"/>
        <v>0</v>
      </c>
      <c r="BY114" s="236">
        <f t="shared" si="89"/>
        <v>1</v>
      </c>
      <c r="BZ114" s="236"/>
      <c r="CA114" s="275" t="s">
        <v>381</v>
      </c>
      <c r="CB114" s="272" t="str">
        <f t="shared" si="108"/>
        <v>N/A</v>
      </c>
      <c r="CC114" s="272" t="str">
        <f t="shared" si="109"/>
        <v>N/A</v>
      </c>
      <c r="CD114" s="272" t="str">
        <f t="shared" si="110"/>
        <v xml:space="preserve">​La falta de ejecución de la actividad relacionada con el Programa de Gestión Documental -PGD-, incluida entre las 9 actividades programadas en el PAG para el 1er. trimestre, se debió a que no se tenía la información de la formulación del proyecto de inversión 2026-2030 -trabajo iniciado desde noviembre 2024 con culminación junio 2025-, y que es imprescindible para el PGD. Por lo anterior, se solicitó a la OAP ajuste, aprobándose para cumplirse en abril.
</v>
      </c>
      <c r="CE114" s="284" t="str">
        <f t="shared" si="111"/>
        <v>N/A</v>
      </c>
      <c r="CF114" s="284" t="str">
        <f t="shared" si="112"/>
        <v>N/A</v>
      </c>
      <c r="CG114" s="284" t="str">
        <f t="shared" si="113"/>
        <v>N/A</v>
      </c>
      <c r="CH114" s="272" t="str">
        <f t="shared" si="114"/>
        <v>N/A</v>
      </c>
      <c r="CI114" s="211" t="str">
        <f t="shared" si="115"/>
        <v>N/A</v>
      </c>
      <c r="CJ114" s="211" t="str">
        <f t="shared" si="116"/>
        <v>N/A</v>
      </c>
      <c r="CK114" s="211" t="str">
        <f t="shared" si="117"/>
        <v>N/A</v>
      </c>
      <c r="CL114" s="211" t="str">
        <f t="shared" si="118"/>
        <v>N/A</v>
      </c>
      <c r="CM114" s="211" t="str">
        <f t="shared" si="119"/>
        <v>N/A</v>
      </c>
      <c r="CO114" s="211" t="s">
        <v>365</v>
      </c>
      <c r="CP114" s="211" t="s">
        <v>143</v>
      </c>
      <c r="CQ114" s="211" t="s">
        <v>311</v>
      </c>
      <c r="CR114" s="211" t="s">
        <v>387</v>
      </c>
      <c r="CS114" s="211" t="s">
        <v>815</v>
      </c>
      <c r="CT114" s="211" t="s">
        <v>311</v>
      </c>
      <c r="CU114" s="211" t="str">
        <f t="shared" si="72"/>
        <v>N/A</v>
      </c>
      <c r="CV114" s="211" t="str">
        <f t="shared" si="73"/>
        <v>N/A</v>
      </c>
      <c r="CW114" s="211" t="str">
        <f t="shared" si="74"/>
        <v>N/A</v>
      </c>
      <c r="CX114" s="211" t="str">
        <f t="shared" si="75"/>
        <v>N/A</v>
      </c>
      <c r="CY114" s="211" t="str">
        <f t="shared" si="76"/>
        <v>N/A</v>
      </c>
      <c r="CZ114" s="211" t="str">
        <f t="shared" si="77"/>
        <v xml:space="preserve">​Se ejecutaron los dos seguimiento programados para el segundo trimestre de 2025.
</v>
      </c>
      <c r="DA114" s="211" t="str">
        <f t="shared" si="78"/>
        <v>N/A</v>
      </c>
      <c r="DB114" s="211" t="str">
        <f t="shared" si="79"/>
        <v>N/A</v>
      </c>
      <c r="DC114" s="211" t="str">
        <f t="shared" si="80"/>
        <v>N/A</v>
      </c>
      <c r="DD114" s="211" t="str">
        <f t="shared" si="81"/>
        <v>N/A</v>
      </c>
      <c r="DE114" s="211" t="str">
        <f t="shared" si="82"/>
        <v>N/A</v>
      </c>
      <c r="DF114" s="211" t="str">
        <f t="shared" si="83"/>
        <v>N/A</v>
      </c>
    </row>
    <row r="115" spans="1:110" s="211" customFormat="1" ht="285">
      <c r="A115" s="348" t="s">
        <v>365</v>
      </c>
      <c r="B115" s="211" t="s">
        <v>143</v>
      </c>
      <c r="C115" s="211" t="s">
        <v>510</v>
      </c>
      <c r="D115" s="211" t="s">
        <v>431</v>
      </c>
      <c r="E115" s="211" t="s">
        <v>511</v>
      </c>
      <c r="F115" s="348" t="s">
        <v>512</v>
      </c>
      <c r="G115" s="211" t="s">
        <v>178</v>
      </c>
      <c r="H115" s="211">
        <v>0.8</v>
      </c>
      <c r="I115" s="324">
        <v>0.49</v>
      </c>
      <c r="J115" s="324">
        <v>1</v>
      </c>
      <c r="K115" s="288">
        <v>0.49</v>
      </c>
      <c r="L115" s="211" t="s">
        <v>2983</v>
      </c>
      <c r="M115" s="211" t="b">
        <v>0</v>
      </c>
      <c r="O115" s="209" t="s">
        <v>2832</v>
      </c>
      <c r="P115" s="211" t="s">
        <v>159</v>
      </c>
      <c r="Q115" s="211" t="s">
        <v>160</v>
      </c>
      <c r="T115" s="236" t="s">
        <v>602</v>
      </c>
      <c r="U115" s="269"/>
      <c r="V115" s="269"/>
      <c r="W115" s="269"/>
      <c r="X115" s="269"/>
      <c r="Y115" s="269">
        <v>0</v>
      </c>
      <c r="Z115" s="269">
        <v>1</v>
      </c>
      <c r="AA115" s="269">
        <v>1</v>
      </c>
      <c r="AB115" s="269"/>
      <c r="AC115" s="269"/>
      <c r="AD115" s="269">
        <v>2</v>
      </c>
      <c r="AE115" s="269"/>
      <c r="AF115" s="269"/>
      <c r="AG115" s="269">
        <v>4</v>
      </c>
      <c r="AH115"/>
      <c r="AI115"/>
      <c r="AJ115" s="236" t="s">
        <v>602</v>
      </c>
      <c r="AK115" s="269"/>
      <c r="AL115" s="269"/>
      <c r="AM115" s="269"/>
      <c r="AN115" s="269"/>
      <c r="AO115" s="269">
        <v>1</v>
      </c>
      <c r="AP115" s="269">
        <v>1</v>
      </c>
      <c r="AQ115" s="269">
        <v>1</v>
      </c>
      <c r="AR115" s="269"/>
      <c r="AS115" s="269"/>
      <c r="AT115" s="269">
        <v>2</v>
      </c>
      <c r="AU115" s="269"/>
      <c r="AV115" s="269"/>
      <c r="AW115" s="269">
        <v>5</v>
      </c>
      <c r="AX115" s="236"/>
      <c r="AY115" s="236"/>
      <c r="AZ115" s="236"/>
      <c r="BA115" s="239" t="s">
        <v>563</v>
      </c>
      <c r="BB115" s="240">
        <f t="shared" si="90"/>
        <v>0</v>
      </c>
      <c r="BC115" s="240">
        <f t="shared" si="91"/>
        <v>0</v>
      </c>
      <c r="BD115" s="240">
        <f t="shared" si="92"/>
        <v>0</v>
      </c>
      <c r="BE115" s="240">
        <f t="shared" si="93"/>
        <v>514</v>
      </c>
      <c r="BF115" s="240">
        <f t="shared" si="94"/>
        <v>0</v>
      </c>
      <c r="BG115" s="240">
        <f t="shared" si="95"/>
        <v>0</v>
      </c>
      <c r="BH115" s="240">
        <f t="shared" si="96"/>
        <v>0</v>
      </c>
      <c r="BI115" s="240">
        <f t="shared" si="97"/>
        <v>107</v>
      </c>
      <c r="BJ115" s="240">
        <f t="shared" si="98"/>
        <v>0</v>
      </c>
      <c r="BK115" s="240">
        <f t="shared" si="84"/>
        <v>0</v>
      </c>
      <c r="BL115" s="240">
        <f t="shared" si="85"/>
        <v>0</v>
      </c>
      <c r="BM115" s="240">
        <f t="shared" si="86"/>
        <v>1</v>
      </c>
      <c r="BN115" s="211">
        <f t="shared" si="99"/>
        <v>0</v>
      </c>
      <c r="BO115" s="236">
        <f t="shared" si="100"/>
        <v>0</v>
      </c>
      <c r="BP115" s="236">
        <f t="shared" si="101"/>
        <v>0</v>
      </c>
      <c r="BQ115" s="236">
        <f t="shared" si="102"/>
        <v>514</v>
      </c>
      <c r="BR115" s="236">
        <f t="shared" si="103"/>
        <v>0</v>
      </c>
      <c r="BS115" s="236">
        <f t="shared" si="104"/>
        <v>0</v>
      </c>
      <c r="BT115" s="236">
        <f t="shared" si="105"/>
        <v>0</v>
      </c>
      <c r="BU115" s="236">
        <f t="shared" si="106"/>
        <v>107</v>
      </c>
      <c r="BV115" s="236">
        <f t="shared" si="107"/>
        <v>0</v>
      </c>
      <c r="BW115" s="236">
        <f t="shared" si="87"/>
        <v>0</v>
      </c>
      <c r="BX115" s="236">
        <f t="shared" si="88"/>
        <v>0</v>
      </c>
      <c r="BY115" s="236">
        <f t="shared" si="89"/>
        <v>1</v>
      </c>
      <c r="BZ115" s="236"/>
      <c r="CA115" s="275" t="s">
        <v>236</v>
      </c>
      <c r="CB115" s="272" t="str">
        <f t="shared" si="108"/>
        <v>N/A</v>
      </c>
      <c r="CC115" s="272" t="str">
        <f t="shared" si="109"/>
        <v>N/A</v>
      </c>
      <c r="CD115" s="272" t="str">
        <f t="shared" si="110"/>
        <v xml:space="preserve">En los meses de enero, febrero y marzo de 2025  el Grupo de Almacen realizó campañas de sensibilizacion y asesoria a los funcionarios y contratistas de la Entidad acerca del cuidado y control de los bienes.   
Algunas de las evidencias donde despues de la explicacion del manejo en el Aplicativo de Control de Activos ApliCA; sobre como realizar los traslados y reintegros se les envio  correos electronicos de fechas 17/01/2025, 28/02/2025 y 19/03/2025.                                                                                                                                                                                                                                         Esto con el fin de mantener el uso correcto de los mismos y evitar acciones disciplinarias. Como resultado se ha obtenido que los funcionarios tengan el mayor cuidado de los bienes a cargo de cada uno y asi darle el mejor uso para el desarrollo de las funciones.
</v>
      </c>
      <c r="CE115" s="284" t="str">
        <f t="shared" si="111"/>
        <v>N/A</v>
      </c>
      <c r="CF115" s="284" t="str">
        <f t="shared" si="112"/>
        <v>N/A</v>
      </c>
      <c r="CG115" s="284" t="str">
        <f t="shared" si="113"/>
        <v>N/A</v>
      </c>
      <c r="CH115" s="272" t="str">
        <f t="shared" si="114"/>
        <v>N/A</v>
      </c>
      <c r="CI115" s="211" t="str">
        <f t="shared" si="115"/>
        <v>N/A</v>
      </c>
      <c r="CJ115" s="211" t="str">
        <f t="shared" si="116"/>
        <v>N/A</v>
      </c>
      <c r="CK115" s="211" t="str">
        <f t="shared" si="117"/>
        <v>N/A</v>
      </c>
      <c r="CL115" s="211" t="str">
        <f t="shared" si="118"/>
        <v>N/A</v>
      </c>
      <c r="CM115" s="211" t="str">
        <f t="shared" si="119"/>
        <v>N/A</v>
      </c>
      <c r="CO115" s="211" t="s">
        <v>365</v>
      </c>
      <c r="CP115" s="211" t="s">
        <v>143</v>
      </c>
      <c r="CQ115" s="211" t="s">
        <v>510</v>
      </c>
      <c r="CR115" s="211" t="s">
        <v>431</v>
      </c>
      <c r="CS115" s="211" t="s">
        <v>2983</v>
      </c>
      <c r="CT115" s="211" t="s">
        <v>510</v>
      </c>
      <c r="CU115" s="211" t="str">
        <f t="shared" si="72"/>
        <v>N/A</v>
      </c>
      <c r="CV115" s="211" t="str">
        <f t="shared" si="73"/>
        <v>N/A</v>
      </c>
      <c r="CW115" s="211" t="str">
        <f t="shared" si="74"/>
        <v>N/A</v>
      </c>
      <c r="CX115" s="211" t="str">
        <f t="shared" si="75"/>
        <v>N/A</v>
      </c>
      <c r="CY115" s="211" t="str">
        <f t="shared" si="76"/>
        <v>N/A</v>
      </c>
      <c r="CZ115" s="211" t="str">
        <f t="shared" si="77"/>
        <v xml:space="preserve">​Durante el segundo trimestre de 2025 la Delegada para Entidades de Aseguramiento en Salud, ejjecutó 51 mesas técnicas, respondiendo a las necesidades identificadas durante el periodo. Dentro de las cuales se logro una mediana de 49%
</v>
      </c>
      <c r="DA115" s="211" t="str">
        <f t="shared" si="78"/>
        <v>N/A</v>
      </c>
      <c r="DB115" s="211" t="str">
        <f t="shared" si="79"/>
        <v>N/A</v>
      </c>
      <c r="DC115" s="211" t="str">
        <f t="shared" si="80"/>
        <v>N/A</v>
      </c>
      <c r="DD115" s="211" t="str">
        <f t="shared" si="81"/>
        <v>N/A</v>
      </c>
      <c r="DE115" s="211" t="str">
        <f t="shared" si="82"/>
        <v>N/A</v>
      </c>
      <c r="DF115" s="211" t="str">
        <f t="shared" si="83"/>
        <v>N/A</v>
      </c>
    </row>
    <row r="116" spans="1:110" s="211" customFormat="1" ht="256.5">
      <c r="A116" s="348" t="s">
        <v>365</v>
      </c>
      <c r="B116" s="211" t="s">
        <v>143</v>
      </c>
      <c r="C116" s="211" t="s">
        <v>366</v>
      </c>
      <c r="D116" s="211" t="s">
        <v>367</v>
      </c>
      <c r="E116" s="211" t="s">
        <v>368</v>
      </c>
      <c r="F116" s="348" t="s">
        <v>369</v>
      </c>
      <c r="G116" s="211" t="s">
        <v>178</v>
      </c>
      <c r="H116" s="211">
        <v>0.85</v>
      </c>
      <c r="I116" s="323">
        <v>11</v>
      </c>
      <c r="J116" s="323">
        <v>14</v>
      </c>
      <c r="K116" s="288">
        <v>0.78571428571428603</v>
      </c>
      <c r="L116" s="211" t="s">
        <v>814</v>
      </c>
      <c r="M116" s="211" t="b">
        <v>0</v>
      </c>
      <c r="O116" s="209" t="s">
        <v>2832</v>
      </c>
      <c r="P116" s="211" t="s">
        <v>159</v>
      </c>
      <c r="Q116" s="211" t="s">
        <v>160</v>
      </c>
      <c r="T116" s="236" t="s">
        <v>642</v>
      </c>
      <c r="U116" s="269"/>
      <c r="V116" s="269"/>
      <c r="W116" s="269"/>
      <c r="X116" s="269"/>
      <c r="Y116" s="269"/>
      <c r="Z116" s="269">
        <v>65</v>
      </c>
      <c r="AA116" s="269"/>
      <c r="AB116" s="269"/>
      <c r="AC116" s="269"/>
      <c r="AD116" s="269"/>
      <c r="AE116" s="269">
        <v>32</v>
      </c>
      <c r="AF116" s="269"/>
      <c r="AG116" s="269">
        <v>97</v>
      </c>
      <c r="AH116"/>
      <c r="AI116"/>
      <c r="AJ116" s="236" t="s">
        <v>642</v>
      </c>
      <c r="AK116" s="269"/>
      <c r="AL116" s="269"/>
      <c r="AM116" s="269"/>
      <c r="AN116" s="269"/>
      <c r="AO116" s="269"/>
      <c r="AP116" s="269">
        <v>65</v>
      </c>
      <c r="AQ116" s="269"/>
      <c r="AR116" s="269"/>
      <c r="AS116" s="269"/>
      <c r="AT116" s="269"/>
      <c r="AU116" s="269">
        <v>32</v>
      </c>
      <c r="AV116" s="269"/>
      <c r="AW116" s="269">
        <v>97</v>
      </c>
      <c r="AX116" s="236"/>
      <c r="AY116" s="236"/>
      <c r="AZ116" s="236"/>
      <c r="BA116" s="239" t="s">
        <v>296</v>
      </c>
      <c r="BB116" s="240">
        <f t="shared" si="90"/>
        <v>0</v>
      </c>
      <c r="BC116" s="240">
        <f t="shared" si="91"/>
        <v>0</v>
      </c>
      <c r="BD116" s="240">
        <f t="shared" si="92"/>
        <v>8</v>
      </c>
      <c r="BE116" s="240">
        <f t="shared" si="93"/>
        <v>0</v>
      </c>
      <c r="BF116" s="240">
        <f t="shared" si="94"/>
        <v>0</v>
      </c>
      <c r="BG116" s="240">
        <f t="shared" si="95"/>
        <v>8</v>
      </c>
      <c r="BH116" s="240">
        <f t="shared" si="96"/>
        <v>0</v>
      </c>
      <c r="BI116" s="240">
        <f t="shared" si="97"/>
        <v>0</v>
      </c>
      <c r="BJ116" s="240">
        <f t="shared" si="98"/>
        <v>5</v>
      </c>
      <c r="BK116" s="240">
        <f t="shared" si="84"/>
        <v>0</v>
      </c>
      <c r="BL116" s="240">
        <f t="shared" si="85"/>
        <v>0</v>
      </c>
      <c r="BM116" s="240">
        <f t="shared" si="86"/>
        <v>14</v>
      </c>
      <c r="BN116" s="211">
        <f t="shared" si="99"/>
        <v>0</v>
      </c>
      <c r="BO116" s="236">
        <f t="shared" si="100"/>
        <v>0</v>
      </c>
      <c r="BP116" s="236">
        <f t="shared" si="101"/>
        <v>8</v>
      </c>
      <c r="BQ116" s="236">
        <f t="shared" si="102"/>
        <v>0</v>
      </c>
      <c r="BR116" s="236">
        <f t="shared" si="103"/>
        <v>0</v>
      </c>
      <c r="BS116" s="236">
        <f t="shared" si="104"/>
        <v>8</v>
      </c>
      <c r="BT116" s="236">
        <f t="shared" si="105"/>
        <v>0</v>
      </c>
      <c r="BU116" s="236">
        <f t="shared" si="106"/>
        <v>0</v>
      </c>
      <c r="BV116" s="236">
        <f t="shared" si="107"/>
        <v>8</v>
      </c>
      <c r="BW116" s="236">
        <f t="shared" si="87"/>
        <v>0</v>
      </c>
      <c r="BX116" s="236">
        <f t="shared" si="88"/>
        <v>0</v>
      </c>
      <c r="BY116" s="236">
        <f t="shared" si="89"/>
        <v>8</v>
      </c>
      <c r="BZ116" s="236"/>
      <c r="CA116" s="275" t="s">
        <v>244</v>
      </c>
      <c r="CB116" s="272" t="str">
        <f t="shared" si="108"/>
        <v>N/A</v>
      </c>
      <c r="CC116" s="272" t="str">
        <f t="shared" si="109"/>
        <v>N/A</v>
      </c>
      <c r="CD116" s="272" t="str">
        <f t="shared" si="110"/>
        <v xml:space="preserve">Los funcionarios encargados del componente Ambiental del  Grupo de Recursos Físicos, realizaron el seguimiento y cumplimiento oportuno de las actividades generadas en el cronograma de Hitos ambientales del Sistema de Gestión Ambiental con corte a marzo de 2025, realizando todas las actividades programadas, con el fin de mejorar el rendimiento del Sistema de Gestión Ambiental basado en la ISO 14001:2015. Lo anteior, con el fin de posesionar el sistema de Gestión Ambiental en busca de adherir conocimiento y madures del mismo. 
Se generaron las evidencias correspondientes de las actividades ejecutadas del cronograma.
Se ejecutaron las 16 actividades  programadas generando un avance del 25%  conforme planeación establecida en el cronograma.
</v>
      </c>
      <c r="CE116" s="284" t="str">
        <f t="shared" si="111"/>
        <v>N/A</v>
      </c>
      <c r="CF116" s="284" t="str">
        <f t="shared" si="112"/>
        <v>N/A</v>
      </c>
      <c r="CG116" s="284" t="str">
        <f t="shared" si="113"/>
        <v>N/A</v>
      </c>
      <c r="CH116" s="272" t="str">
        <f t="shared" si="114"/>
        <v>N/A</v>
      </c>
      <c r="CI116" s="211" t="str">
        <f t="shared" si="115"/>
        <v>N/A</v>
      </c>
      <c r="CJ116" s="211" t="str">
        <f t="shared" si="116"/>
        <v>N/A</v>
      </c>
      <c r="CK116" s="211" t="str">
        <f t="shared" si="117"/>
        <v>N/A</v>
      </c>
      <c r="CL116" s="211" t="str">
        <f t="shared" si="118"/>
        <v>N/A</v>
      </c>
      <c r="CM116" s="211" t="str">
        <f t="shared" si="119"/>
        <v>N/A</v>
      </c>
      <c r="CO116" s="211" t="s">
        <v>365</v>
      </c>
      <c r="CP116" s="211" t="s">
        <v>143</v>
      </c>
      <c r="CQ116" s="211" t="s">
        <v>366</v>
      </c>
      <c r="CR116" s="211" t="s">
        <v>367</v>
      </c>
      <c r="CS116" s="211" t="s">
        <v>814</v>
      </c>
      <c r="CT116" s="211" t="s">
        <v>366</v>
      </c>
      <c r="CU116" s="211" t="str">
        <f t="shared" si="72"/>
        <v>N/A</v>
      </c>
      <c r="CV116" s="211" t="str">
        <f t="shared" si="73"/>
        <v>N/A</v>
      </c>
      <c r="CW116" s="211" t="str">
        <f t="shared" si="74"/>
        <v>N/A</v>
      </c>
      <c r="CX116" s="211" t="str">
        <f t="shared" si="75"/>
        <v>N/A</v>
      </c>
      <c r="CY116" s="211" t="str">
        <f t="shared" si="76"/>
        <v>N/A</v>
      </c>
      <c r="CZ116" s="211" t="str">
        <f t="shared" si="77"/>
        <v xml:space="preserve">​Se presentaron demoras en el proceso de gestión debido a la falta de contratación oportuna de los actuarios necesarios la vigencia. La ausencia de personal especializado afectó la eficiencia en el trámite. Sin embargo, en este trimestre se dio celeridad a estos trámites vencidos 
</v>
      </c>
      <c r="DA116" s="211" t="str">
        <f t="shared" si="78"/>
        <v>N/A</v>
      </c>
      <c r="DB116" s="211" t="str">
        <f t="shared" si="79"/>
        <v>N/A</v>
      </c>
      <c r="DC116" s="211" t="str">
        <f t="shared" si="80"/>
        <v>N/A</v>
      </c>
      <c r="DD116" s="211" t="str">
        <f t="shared" si="81"/>
        <v>N/A</v>
      </c>
      <c r="DE116" s="211" t="str">
        <f t="shared" si="82"/>
        <v>N/A</v>
      </c>
      <c r="DF116" s="211" t="str">
        <f t="shared" si="83"/>
        <v>N/A</v>
      </c>
    </row>
    <row r="117" spans="1:110" s="211" customFormat="1" ht="409.5">
      <c r="A117" s="348" t="s">
        <v>152</v>
      </c>
      <c r="B117" s="211" t="s">
        <v>143</v>
      </c>
      <c r="C117" s="211" t="s">
        <v>534</v>
      </c>
      <c r="D117" s="211" t="s">
        <v>636</v>
      </c>
      <c r="E117" s="211" t="s">
        <v>637</v>
      </c>
      <c r="F117" s="348" t="s">
        <v>638</v>
      </c>
      <c r="G117" s="211" t="s">
        <v>157</v>
      </c>
      <c r="H117" s="211">
        <v>7</v>
      </c>
      <c r="I117" s="433">
        <v>7</v>
      </c>
      <c r="J117" s="433">
        <v>7</v>
      </c>
      <c r="K117" s="288">
        <v>1</v>
      </c>
      <c r="L117" s="211" t="s">
        <v>2984</v>
      </c>
      <c r="M117" s="211" t="b">
        <v>0</v>
      </c>
      <c r="O117" s="209" t="s">
        <v>2832</v>
      </c>
      <c r="P117" s="211" t="s">
        <v>159</v>
      </c>
      <c r="Q117" s="211" t="s">
        <v>160</v>
      </c>
      <c r="T117" s="236" t="s">
        <v>646</v>
      </c>
      <c r="U117" s="269"/>
      <c r="V117" s="269"/>
      <c r="W117" s="269"/>
      <c r="X117" s="269"/>
      <c r="Y117" s="269"/>
      <c r="Z117" s="269">
        <v>400</v>
      </c>
      <c r="AA117" s="269"/>
      <c r="AB117" s="269"/>
      <c r="AC117" s="269"/>
      <c r="AD117" s="269"/>
      <c r="AE117" s="269"/>
      <c r="AF117" s="269">
        <v>1240</v>
      </c>
      <c r="AG117" s="269">
        <v>1640</v>
      </c>
      <c r="AH117"/>
      <c r="AI117"/>
      <c r="AJ117" s="236" t="s">
        <v>646</v>
      </c>
      <c r="AK117" s="269"/>
      <c r="AL117" s="269"/>
      <c r="AM117" s="269"/>
      <c r="AN117" s="269"/>
      <c r="AO117" s="269"/>
      <c r="AP117" s="269">
        <v>400</v>
      </c>
      <c r="AQ117" s="269"/>
      <c r="AR117" s="269"/>
      <c r="AS117" s="269"/>
      <c r="AT117" s="269"/>
      <c r="AU117" s="269"/>
      <c r="AV117" s="269">
        <v>1200</v>
      </c>
      <c r="AW117" s="269">
        <v>1600</v>
      </c>
      <c r="AX117" s="236"/>
      <c r="AY117" s="236"/>
      <c r="AZ117" s="236"/>
      <c r="BA117" s="239" t="s">
        <v>547</v>
      </c>
      <c r="BB117" s="240">
        <f t="shared" si="90"/>
        <v>0</v>
      </c>
      <c r="BC117" s="240">
        <f t="shared" si="91"/>
        <v>0</v>
      </c>
      <c r="BD117" s="240">
        <f t="shared" si="92"/>
        <v>0</v>
      </c>
      <c r="BE117" s="240">
        <f t="shared" si="93"/>
        <v>14</v>
      </c>
      <c r="BF117" s="240">
        <f t="shared" si="94"/>
        <v>0</v>
      </c>
      <c r="BG117" s="240">
        <f t="shared" si="95"/>
        <v>0</v>
      </c>
      <c r="BH117" s="240">
        <f t="shared" si="96"/>
        <v>0</v>
      </c>
      <c r="BI117" s="240">
        <f t="shared" si="97"/>
        <v>41</v>
      </c>
      <c r="BJ117" s="240">
        <f t="shared" si="98"/>
        <v>0</v>
      </c>
      <c r="BK117" s="240">
        <f t="shared" si="84"/>
        <v>0</v>
      </c>
      <c r="BL117" s="240">
        <f t="shared" si="85"/>
        <v>0</v>
      </c>
      <c r="BM117" s="240">
        <f t="shared" si="86"/>
        <v>24</v>
      </c>
      <c r="BN117" s="211">
        <f t="shared" si="99"/>
        <v>0</v>
      </c>
      <c r="BO117" s="236">
        <f t="shared" si="100"/>
        <v>0</v>
      </c>
      <c r="BP117" s="236">
        <f t="shared" si="101"/>
        <v>0</v>
      </c>
      <c r="BQ117" s="236">
        <f t="shared" si="102"/>
        <v>14</v>
      </c>
      <c r="BR117" s="236">
        <f t="shared" si="103"/>
        <v>0</v>
      </c>
      <c r="BS117" s="236">
        <f t="shared" si="104"/>
        <v>0</v>
      </c>
      <c r="BT117" s="236">
        <f t="shared" si="105"/>
        <v>0</v>
      </c>
      <c r="BU117" s="236">
        <f t="shared" si="106"/>
        <v>34</v>
      </c>
      <c r="BV117" s="236">
        <f t="shared" si="107"/>
        <v>0</v>
      </c>
      <c r="BW117" s="236">
        <f t="shared" si="87"/>
        <v>0</v>
      </c>
      <c r="BX117" s="236">
        <f t="shared" si="88"/>
        <v>0</v>
      </c>
      <c r="BY117" s="236">
        <f t="shared" si="89"/>
        <v>22</v>
      </c>
      <c r="BZ117" s="236"/>
      <c r="CA117" s="275" t="s">
        <v>1513</v>
      </c>
      <c r="CB117" s="272" t="str">
        <f t="shared" si="108"/>
        <v>N/A</v>
      </c>
      <c r="CC117" s="272" t="str">
        <f t="shared" si="109"/>
        <v>N/A</v>
      </c>
      <c r="CD117" s="272" t="str">
        <f t="shared" si="110"/>
        <v>N/A</v>
      </c>
      <c r="CE117" s="284" t="str">
        <f t="shared" si="111"/>
        <v>N/A</v>
      </c>
      <c r="CF117" s="284" t="str">
        <f t="shared" si="112"/>
        <v>N/A</v>
      </c>
      <c r="CG117" s="284" t="str">
        <f t="shared" si="113"/>
        <v xml:space="preserve">​
ENERO
En el periodo indicado solo se suscribieron contratos en modalidad directa, por lo que no se reportan resultados para dicho indicador.
FEBRERO
En el periodo indicado se suscribió un (1) contrato por Mínima Cuantía al cual se le aplico Abastecimiento estratégico dirigidas a la promoción de la micro, pequeña y mediana empresa. 
 MARZO
En el periodo indicado se suscribieron cinco (5) contratos por Mínima Cuantía a los cuales se le aplico Abastecimiento estratégico dirigidas a la promoción de la micro, pequeña y mediana empresa. 
ABRIL
En el periodo indicado se suscribieron (17) contratos, distribuidos en diferentes modalidades de contratación, entre ellas Selección Abreviada de Subasta Inversa y Contratación Directa, a los cuales se les aplicó el esquema de Abastecimiento Estratégico, dirigido a la promoción de la micro, pequeña y mediana empresa. 
MAYO
En el periodo indicado se suscribieron siete (7) contratos, distribuidos en diversas modalidades de contratación, entre ellas Mínima Cuantía (4), Selección Abreviada Acuerdo Marco de Precios (1), Selección Abreviada de Subasta Inversa (1) y Licitación Pública (1). A estos contratos se les aplicó el esquema de Abastecimiento Estratégico, orientado a la promoción de la micro, pequeña y mediana empresa
JUNIO
En el periodo indicado se suscribieron un (1) contrato por medio de la modalidad de Mínima Cuantía al cual se le aplicó el esquema de Abastecimiento Estratégico, dirigido a la promoción de la micro, pequeña y mediana empresa. 
</v>
      </c>
      <c r="CH117" s="272" t="str">
        <f t="shared" si="114"/>
        <v>N/A</v>
      </c>
      <c r="CI117" s="211" t="str">
        <f t="shared" si="115"/>
        <v>N/A</v>
      </c>
      <c r="CJ117" s="211" t="str">
        <f t="shared" si="116"/>
        <v>N/A</v>
      </c>
      <c r="CK117" s="211" t="str">
        <f t="shared" si="117"/>
        <v>N/A</v>
      </c>
      <c r="CL117" s="211" t="str">
        <f t="shared" si="118"/>
        <v>N/A</v>
      </c>
      <c r="CM117" s="211" t="str">
        <f t="shared" si="119"/>
        <v>N/A</v>
      </c>
      <c r="CO117" s="211" t="s">
        <v>152</v>
      </c>
      <c r="CP117" s="211" t="s">
        <v>143</v>
      </c>
      <c r="CQ117" s="211" t="s">
        <v>534</v>
      </c>
      <c r="CR117" s="211" t="s">
        <v>636</v>
      </c>
      <c r="CS117" s="211" t="s">
        <v>2984</v>
      </c>
      <c r="CT117" s="211" t="s">
        <v>534</v>
      </c>
      <c r="CU117" s="211" t="str">
        <f t="shared" si="72"/>
        <v>N/A</v>
      </c>
      <c r="CV117" s="211" t="str">
        <f t="shared" si="73"/>
        <v>N/A</v>
      </c>
      <c r="CW117" s="211" t="str">
        <f t="shared" si="74"/>
        <v>N/A</v>
      </c>
      <c r="CX117" s="211" t="str">
        <f t="shared" si="75"/>
        <v>N/A</v>
      </c>
      <c r="CY117" s="211" t="str">
        <f t="shared" si="76"/>
        <v>N/A</v>
      </c>
      <c r="CZ117" s="211" t="str">
        <f t="shared" si="77"/>
        <v>​SE REALIZARON CON EXITO LAS SIGUIENTES PREJORNADAS :
1. PRE-JORNADA BOLÍVAR – CÓRDOBA Y SUCRE
2. PRE-JORNADA GUAJIRA Y CESAR
3. PRE-JORNADA ATLÁNTICO – MAGDALENA Y SAN ANDRÉS 
4. PRE-JORNADA META – AMAZONAS – GUAVIARE – VAUPÉS – VICHADA Y GUAINÍA. 
5. PRE-JORNADA CAUCA 
 6. PRE-JORNADA BOYACÁ 
 7. PRE-JORNADA ANTIOQUIA Y CHOCÓ. </v>
      </c>
      <c r="DA117" s="211" t="str">
        <f t="shared" si="78"/>
        <v>N/A</v>
      </c>
      <c r="DB117" s="211" t="str">
        <f t="shared" si="79"/>
        <v>N/A</v>
      </c>
      <c r="DC117" s="211" t="str">
        <f t="shared" si="80"/>
        <v>N/A</v>
      </c>
      <c r="DD117" s="211" t="str">
        <f t="shared" si="81"/>
        <v>N/A</v>
      </c>
      <c r="DE117" s="211" t="str">
        <f t="shared" si="82"/>
        <v>N/A</v>
      </c>
      <c r="DF117" s="211" t="str">
        <f t="shared" si="83"/>
        <v>N/A</v>
      </c>
    </row>
    <row r="118" spans="1:110" s="211" customFormat="1" ht="409.5">
      <c r="A118" s="348" t="s">
        <v>152</v>
      </c>
      <c r="B118" s="211" t="s">
        <v>143</v>
      </c>
      <c r="C118" s="211" t="s">
        <v>536</v>
      </c>
      <c r="D118" s="211" t="s">
        <v>643</v>
      </c>
      <c r="E118" s="211" t="s">
        <v>644</v>
      </c>
      <c r="F118" s="348" t="s">
        <v>645</v>
      </c>
      <c r="G118" s="211" t="s">
        <v>157</v>
      </c>
      <c r="H118" s="211">
        <v>7</v>
      </c>
      <c r="I118" s="433">
        <v>7</v>
      </c>
      <c r="J118" s="433">
        <v>7</v>
      </c>
      <c r="K118" s="288">
        <v>1</v>
      </c>
      <c r="L118" s="211" t="s">
        <v>2985</v>
      </c>
      <c r="M118" s="211" t="b">
        <v>0</v>
      </c>
      <c r="O118" s="209" t="s">
        <v>2832</v>
      </c>
      <c r="P118" s="211" t="s">
        <v>159</v>
      </c>
      <c r="Q118" s="211" t="s">
        <v>160</v>
      </c>
      <c r="T118" s="236" t="s">
        <v>278</v>
      </c>
      <c r="U118" s="269"/>
      <c r="V118" s="269"/>
      <c r="W118" s="269">
        <v>18</v>
      </c>
      <c r="X118" s="269"/>
      <c r="Y118" s="269"/>
      <c r="Z118" s="269">
        <v>23</v>
      </c>
      <c r="AA118" s="269"/>
      <c r="AB118" s="269"/>
      <c r="AC118" s="269">
        <v>50</v>
      </c>
      <c r="AD118" s="269"/>
      <c r="AE118" s="269"/>
      <c r="AF118" s="269">
        <v>1</v>
      </c>
      <c r="AG118" s="269">
        <v>92</v>
      </c>
      <c r="AH118"/>
      <c r="AI118"/>
      <c r="AJ118" s="236" t="s">
        <v>278</v>
      </c>
      <c r="AK118" s="269"/>
      <c r="AL118" s="269"/>
      <c r="AM118" s="269">
        <v>18</v>
      </c>
      <c r="AN118" s="269"/>
      <c r="AO118" s="269"/>
      <c r="AP118" s="269">
        <v>23</v>
      </c>
      <c r="AQ118" s="269"/>
      <c r="AR118" s="269"/>
      <c r="AS118" s="269">
        <v>50</v>
      </c>
      <c r="AT118" s="269"/>
      <c r="AU118" s="269"/>
      <c r="AV118" s="269">
        <v>1</v>
      </c>
      <c r="AW118" s="269">
        <v>92</v>
      </c>
      <c r="AX118" s="236"/>
      <c r="AY118" s="236"/>
      <c r="AZ118" s="236"/>
      <c r="BA118" s="239" t="s">
        <v>510</v>
      </c>
      <c r="BB118" s="240">
        <f t="shared" si="90"/>
        <v>0</v>
      </c>
      <c r="BC118" s="240">
        <f t="shared" si="91"/>
        <v>0</v>
      </c>
      <c r="BD118" s="240">
        <f t="shared" si="92"/>
        <v>0.873</v>
      </c>
      <c r="BE118" s="240">
        <f t="shared" si="93"/>
        <v>0</v>
      </c>
      <c r="BF118" s="240">
        <f t="shared" si="94"/>
        <v>0</v>
      </c>
      <c r="BG118" s="240">
        <f t="shared" si="95"/>
        <v>0.49</v>
      </c>
      <c r="BH118" s="240">
        <f t="shared" si="96"/>
        <v>0</v>
      </c>
      <c r="BI118" s="240">
        <f t="shared" si="97"/>
        <v>0</v>
      </c>
      <c r="BJ118" s="240">
        <f t="shared" si="98"/>
        <v>0.82</v>
      </c>
      <c r="BK118" s="240">
        <f t="shared" si="84"/>
        <v>0</v>
      </c>
      <c r="BL118" s="240">
        <f t="shared" si="85"/>
        <v>0</v>
      </c>
      <c r="BM118" s="240">
        <f t="shared" si="86"/>
        <v>0.76</v>
      </c>
      <c r="BN118" s="211">
        <f t="shared" si="99"/>
        <v>0</v>
      </c>
      <c r="BO118" s="236">
        <f t="shared" si="100"/>
        <v>0</v>
      </c>
      <c r="BP118" s="236">
        <f t="shared" si="101"/>
        <v>1</v>
      </c>
      <c r="BQ118" s="236">
        <f t="shared" si="102"/>
        <v>0</v>
      </c>
      <c r="BR118" s="236">
        <f t="shared" si="103"/>
        <v>0</v>
      </c>
      <c r="BS118" s="236">
        <f t="shared" si="104"/>
        <v>1</v>
      </c>
      <c r="BT118" s="236">
        <f t="shared" si="105"/>
        <v>0</v>
      </c>
      <c r="BU118" s="236">
        <f t="shared" si="106"/>
        <v>0</v>
      </c>
      <c r="BV118" s="236">
        <f t="shared" si="107"/>
        <v>1</v>
      </c>
      <c r="BW118" s="236">
        <f t="shared" si="87"/>
        <v>0</v>
      </c>
      <c r="BX118" s="236">
        <f t="shared" si="88"/>
        <v>0</v>
      </c>
      <c r="BY118" s="236">
        <f t="shared" si="89"/>
        <v>1</v>
      </c>
      <c r="BZ118" s="236"/>
      <c r="CA118" s="278" t="s">
        <v>1522</v>
      </c>
      <c r="CB118" s="272" t="str">
        <f t="shared" si="108"/>
        <v>N/A</v>
      </c>
      <c r="CC118" s="272" t="str">
        <f t="shared" si="109"/>
        <v>N/A</v>
      </c>
      <c r="CD118" s="272" t="str">
        <f t="shared" si="110"/>
        <v>N/A</v>
      </c>
      <c r="CE118" s="284" t="str">
        <f t="shared" si="111"/>
        <v>N/A</v>
      </c>
      <c r="CF118" s="284" t="str">
        <f t="shared" si="112"/>
        <v>N/A</v>
      </c>
      <c r="CG118" s="284" t="str">
        <f t="shared" si="113"/>
        <v xml:space="preserve">​ENERO
En el periodo indicado solo se suscribieron contratos en modalidad directa, por lo que no se reportan resultados para este indicador. 
FEBRERO
En el periodo indicado no se suscribieron contratos a través de la tienda virtual del estado colombiano - TVEC, por lo tanto, no se reportan resultados para este indicador. 
MARZO
SELECCION ABREVIADA ACUERDO MARCO DE PRECIOS 
Contrato No. 71 de 2025, cuyo objeto es: ADQUIRIR LOS SERVICIOS DE NUBE PÚBLICA MICROSOFT AZURE PARA LA SUPERINTENDENCIA NACIONAL DE SALUD. No. S Orden de compra 143254 
ABRIL
En el periodo indicado no se suscribieron contratos a través de la tienda virtual del estado colombiano - TVEC, por lo tanto, no se reportan resultados para este indicador. 
MAYO
SELECCION ABREVIADA ACUERDO MARCO DE PRECIOS 
Contrato No. 96 de 2025, cuyo objeto es: Adquirir los certificados de firma digital con token virtual para la Superintendencia Nacional de Salud  
JUNIO
E n el periodo indicado no se suscribieron contratos a través de la tienda virtual del estado colombiano - TVEC, por lo tanto, no se reportan resultados para este indicador. 
</v>
      </c>
      <c r="CH118" s="272" t="str">
        <f t="shared" si="114"/>
        <v>N/A</v>
      </c>
      <c r="CI118" s="211" t="str">
        <f t="shared" si="115"/>
        <v>N/A</v>
      </c>
      <c r="CJ118" s="211" t="str">
        <f t="shared" si="116"/>
        <v>N/A</v>
      </c>
      <c r="CK118" s="211" t="str">
        <f t="shared" si="117"/>
        <v>N/A</v>
      </c>
      <c r="CL118" s="211" t="str">
        <f t="shared" si="118"/>
        <v>N/A</v>
      </c>
      <c r="CM118" s="211" t="str">
        <f t="shared" si="119"/>
        <v>N/A</v>
      </c>
      <c r="CO118" s="211" t="s">
        <v>152</v>
      </c>
      <c r="CP118" s="211" t="s">
        <v>143</v>
      </c>
      <c r="CQ118" s="211" t="s">
        <v>536</v>
      </c>
      <c r="CR118" s="211" t="s">
        <v>643</v>
      </c>
      <c r="CS118" s="211" t="s">
        <v>2985</v>
      </c>
      <c r="CT118" s="211" t="s">
        <v>536</v>
      </c>
      <c r="CU118" s="211" t="str">
        <f t="shared" si="72"/>
        <v>N/A</v>
      </c>
      <c r="CV118" s="211" t="str">
        <f t="shared" si="73"/>
        <v>N/A</v>
      </c>
      <c r="CW118" s="211" t="str">
        <f t="shared" si="74"/>
        <v>N/A</v>
      </c>
      <c r="CX118" s="211" t="str">
        <f t="shared" si="75"/>
        <v>N/A</v>
      </c>
      <c r="CY118" s="211" t="str">
        <f t="shared" si="76"/>
        <v>N/A</v>
      </c>
      <c r="CZ118" s="211" t="str">
        <f t="shared" si="77"/>
        <v>SE PROGRAMAN 7 JORNADAS FORMALMENTE CON LOS ACTORES DEL SGSSS EN EL PRIMER SEMESTRE; SE REALIZAN POR TIEMPOS DE AGENDA SEGUN LAS SEMANAS QUE TIENEN DIAS FESTIVOS DENTRO DE LOS MESES DE ENERO A JUNIO Y  LA ULTIMA JORNADA POR LO ANTERIOR SE MATERIALIZA LA PRIMERA SEMANA DEL MES DE JULIO; ESTA JORNADA SE REALIZA EN ANTIOQUIA (MEDELLIN ) 
1.​JORNADA BOLÍVAR – CÓRDOBA Y SUCRE 
2. JORNADA GUAJIRA Y CESAR 
3. JORNADA ATLÁNTICO – MAGDALENA Y SAN ANDRÉS
4. JORNADA META – AMAZONAS – GUAVIARE – VAUPÉS – VICHADA  Y GUAINÍA. 
5. JORNADA CAUCA 
 6. JORNADA BOYACÁ  </v>
      </c>
      <c r="DA118" s="211" t="str">
        <f t="shared" si="78"/>
        <v>N/A</v>
      </c>
      <c r="DB118" s="211" t="str">
        <f t="shared" si="79"/>
        <v>N/A</v>
      </c>
      <c r="DC118" s="211" t="str">
        <f t="shared" si="80"/>
        <v>N/A</v>
      </c>
      <c r="DD118" s="211" t="str">
        <f t="shared" si="81"/>
        <v>N/A</v>
      </c>
      <c r="DE118" s="211" t="str">
        <f t="shared" si="82"/>
        <v>N/A</v>
      </c>
      <c r="DF118" s="211" t="str">
        <f t="shared" si="83"/>
        <v>N/A</v>
      </c>
    </row>
    <row r="119" spans="1:110" s="211" customFormat="1" ht="299.25">
      <c r="A119" s="348" t="s">
        <v>152</v>
      </c>
      <c r="B119" s="211" t="s">
        <v>143</v>
      </c>
      <c r="C119" s="211" t="s">
        <v>174</v>
      </c>
      <c r="D119" s="211" t="s">
        <v>175</v>
      </c>
      <c r="E119" s="211" t="s">
        <v>176</v>
      </c>
      <c r="F119" s="348" t="s">
        <v>177</v>
      </c>
      <c r="G119" s="211" t="s">
        <v>178</v>
      </c>
      <c r="H119" s="211">
        <v>1</v>
      </c>
      <c r="I119" s="323">
        <v>2125</v>
      </c>
      <c r="J119" s="323">
        <v>2125</v>
      </c>
      <c r="K119" s="288">
        <v>1</v>
      </c>
      <c r="L119" s="211" t="s">
        <v>2986</v>
      </c>
      <c r="M119" s="211" t="b">
        <v>0</v>
      </c>
      <c r="O119" s="209" t="s">
        <v>2832</v>
      </c>
      <c r="P119" s="211" t="s">
        <v>159</v>
      </c>
      <c r="Q119" s="211" t="s">
        <v>160</v>
      </c>
      <c r="T119" s="236" t="s">
        <v>568</v>
      </c>
      <c r="U119" s="269"/>
      <c r="V119" s="269"/>
      <c r="W119" s="269"/>
      <c r="X119" s="269">
        <v>4</v>
      </c>
      <c r="Y119" s="269"/>
      <c r="Z119" s="269"/>
      <c r="AA119" s="269"/>
      <c r="AB119" s="269">
        <v>5</v>
      </c>
      <c r="AC119" s="269"/>
      <c r="AD119" s="269"/>
      <c r="AE119" s="269"/>
      <c r="AF119" s="269">
        <v>8</v>
      </c>
      <c r="AG119" s="269">
        <v>17</v>
      </c>
      <c r="AH119"/>
      <c r="AI119"/>
      <c r="AJ119" s="236" t="s">
        <v>568</v>
      </c>
      <c r="AK119" s="269"/>
      <c r="AL119" s="269"/>
      <c r="AM119" s="269"/>
      <c r="AN119" s="269">
        <v>4</v>
      </c>
      <c r="AO119" s="269"/>
      <c r="AP119" s="269"/>
      <c r="AQ119" s="269"/>
      <c r="AR119" s="269">
        <v>4</v>
      </c>
      <c r="AS119" s="269"/>
      <c r="AT119" s="269"/>
      <c r="AU119" s="269"/>
      <c r="AV119" s="269">
        <v>3</v>
      </c>
      <c r="AW119" s="269">
        <v>11</v>
      </c>
      <c r="AX119" s="236"/>
      <c r="AY119" s="236"/>
      <c r="AZ119" s="236"/>
      <c r="BA119" s="239" t="s">
        <v>630</v>
      </c>
      <c r="BB119" s="240">
        <f t="shared" si="90"/>
        <v>0</v>
      </c>
      <c r="BC119" s="240">
        <f t="shared" si="91"/>
        <v>0</v>
      </c>
      <c r="BD119" s="240">
        <f t="shared" si="92"/>
        <v>0</v>
      </c>
      <c r="BE119" s="240">
        <f t="shared" si="93"/>
        <v>0</v>
      </c>
      <c r="BF119" s="240">
        <f t="shared" si="94"/>
        <v>0</v>
      </c>
      <c r="BG119" s="240">
        <f t="shared" si="95"/>
        <v>40</v>
      </c>
      <c r="BH119" s="240">
        <f t="shared" si="96"/>
        <v>0</v>
      </c>
      <c r="BI119" s="240">
        <f t="shared" si="97"/>
        <v>0</v>
      </c>
      <c r="BJ119" s="240">
        <f t="shared" si="98"/>
        <v>0</v>
      </c>
      <c r="BK119" s="240">
        <f t="shared" si="84"/>
        <v>0</v>
      </c>
      <c r="BL119" s="240">
        <f t="shared" si="85"/>
        <v>0</v>
      </c>
      <c r="BM119" s="240">
        <f t="shared" si="86"/>
        <v>72</v>
      </c>
      <c r="BN119" s="211">
        <f t="shared" si="99"/>
        <v>0</v>
      </c>
      <c r="BO119" s="236">
        <f t="shared" si="100"/>
        <v>0</v>
      </c>
      <c r="BP119" s="236">
        <f t="shared" si="101"/>
        <v>0</v>
      </c>
      <c r="BQ119" s="236">
        <f t="shared" si="102"/>
        <v>0</v>
      </c>
      <c r="BR119" s="236">
        <f t="shared" si="103"/>
        <v>0</v>
      </c>
      <c r="BS119" s="236">
        <f t="shared" si="104"/>
        <v>40</v>
      </c>
      <c r="BT119" s="236">
        <f t="shared" si="105"/>
        <v>0</v>
      </c>
      <c r="BU119" s="236">
        <f t="shared" si="106"/>
        <v>0</v>
      </c>
      <c r="BV119" s="236">
        <f t="shared" si="107"/>
        <v>0</v>
      </c>
      <c r="BW119" s="236">
        <f t="shared" si="87"/>
        <v>0</v>
      </c>
      <c r="BX119" s="236">
        <f t="shared" si="88"/>
        <v>0</v>
      </c>
      <c r="BY119" s="236">
        <f t="shared" si="89"/>
        <v>60</v>
      </c>
      <c r="BZ119" s="236"/>
      <c r="CA119" s="275" t="s">
        <v>251</v>
      </c>
      <c r="CB119" s="272" t="str">
        <f t="shared" si="108"/>
        <v>N/A</v>
      </c>
      <c r="CC119" s="272" t="str">
        <f t="shared" si="109"/>
        <v>N/A</v>
      </c>
      <c r="CD119" s="272" t="str">
        <f t="shared" si="110"/>
        <v xml:space="preserve">ElPlan Anual de Adquisiciones (PAA) vigencia 2025, a corte marzo, cuenta con 258 líneas programadas y presenta un porcentaje de ejecución del 17,57%, con un avance en recursos de inversión del 16,65% y en recursos de funcionamiento del 24,24%. Se encuentran pendientes por radicar 4 líneas PAA por parte de diferentes dependencias. El PAA ha sido publicado en SECOP II y en la página web de la Superintendencia Nacional de Salud, con una publicación inicial y 7 actualizaciones realizadas en el primer trimestre del año.
Se ha realizado seguimiento continuo al PAA mediante acciones como revisiones por parte de la Dirección de Contratación, socialización con el ordenador del gasto, reuniones de trabajo con las dependencias y reporte del avance a la Secretaría General, garantizando así el cumplimiento de los lineamientos establecidos.
</v>
      </c>
      <c r="CE119" s="284" t="str">
        <f t="shared" si="111"/>
        <v>N/A</v>
      </c>
      <c r="CF119" s="284" t="str">
        <f t="shared" si="112"/>
        <v>N/A</v>
      </c>
      <c r="CG119" s="284" t="str">
        <f t="shared" si="113"/>
        <v>N/A</v>
      </c>
      <c r="CH119" s="272" t="str">
        <f t="shared" si="114"/>
        <v>N/A</v>
      </c>
      <c r="CI119" s="211" t="str">
        <f t="shared" si="115"/>
        <v>N/A</v>
      </c>
      <c r="CJ119" s="211" t="str">
        <f t="shared" si="116"/>
        <v>N/A</v>
      </c>
      <c r="CK119" s="211" t="str">
        <f t="shared" si="117"/>
        <v>N/A</v>
      </c>
      <c r="CL119" s="211" t="str">
        <f t="shared" si="118"/>
        <v>N/A</v>
      </c>
      <c r="CM119" s="211" t="str">
        <f t="shared" si="119"/>
        <v>N/A</v>
      </c>
      <c r="CO119" s="211" t="s">
        <v>152</v>
      </c>
      <c r="CP119" s="211" t="s">
        <v>143</v>
      </c>
      <c r="CQ119" s="211" t="s">
        <v>174</v>
      </c>
      <c r="CR119" s="211" t="s">
        <v>175</v>
      </c>
      <c r="CS119" s="211" t="s">
        <v>2986</v>
      </c>
      <c r="CT119" s="211" t="s">
        <v>174</v>
      </c>
      <c r="CU119" s="211" t="str">
        <f t="shared" si="72"/>
        <v>N/A</v>
      </c>
      <c r="CV119" s="211" t="str">
        <f t="shared" si="73"/>
        <v>N/A</v>
      </c>
      <c r="CW119" s="211" t="str">
        <f t="shared" si="74"/>
        <v>N/A</v>
      </c>
      <c r="CX119" s="211" t="str">
        <f t="shared" si="75"/>
        <v>N/A</v>
      </c>
      <c r="CY119" s="211" t="str">
        <f t="shared" si="76"/>
        <v>N/A</v>
      </c>
      <c r="CZ119" s="211" t="str">
        <f t="shared" si="77"/>
        <v xml:space="preserve">EL NUMERO DE AUDIENCIAS REALIZADAS EN EL PERIODO  FUE DE 2125 Y EL TOTAL DE SOLICITUDES DE CONCILIACIÓN A PETICIÓN DE PARTE  ADMITIDAS FUERON DE 2125  EN EL SEGUNDO TRIMESTRE DEL 2025
</v>
      </c>
      <c r="DA119" s="211" t="str">
        <f t="shared" si="78"/>
        <v>N/A</v>
      </c>
      <c r="DB119" s="211" t="str">
        <f t="shared" si="79"/>
        <v>N/A</v>
      </c>
      <c r="DC119" s="211" t="str">
        <f t="shared" si="80"/>
        <v>N/A</v>
      </c>
      <c r="DD119" s="211" t="str">
        <f t="shared" si="81"/>
        <v>N/A</v>
      </c>
      <c r="DE119" s="211" t="str">
        <f t="shared" si="82"/>
        <v>N/A</v>
      </c>
      <c r="DF119" s="211" t="str">
        <f t="shared" si="83"/>
        <v>N/A</v>
      </c>
    </row>
    <row r="120" spans="1:110" s="211" customFormat="1" ht="409.5">
      <c r="A120" s="348" t="s">
        <v>152</v>
      </c>
      <c r="B120" s="211" t="s">
        <v>143</v>
      </c>
      <c r="C120" s="211" t="s">
        <v>183</v>
      </c>
      <c r="D120" s="211" t="s">
        <v>184</v>
      </c>
      <c r="E120" s="211" t="s">
        <v>185</v>
      </c>
      <c r="F120" s="348" t="s">
        <v>186</v>
      </c>
      <c r="G120" s="211" t="s">
        <v>178</v>
      </c>
      <c r="H120" s="211">
        <v>1</v>
      </c>
      <c r="I120" s="323">
        <v>87</v>
      </c>
      <c r="J120" s="323">
        <v>87</v>
      </c>
      <c r="K120" s="288">
        <v>1</v>
      </c>
      <c r="L120" s="211" t="s">
        <v>647</v>
      </c>
      <c r="M120" s="211" t="b">
        <v>0</v>
      </c>
      <c r="O120" s="209" t="s">
        <v>2832</v>
      </c>
      <c r="P120" s="211" t="s">
        <v>159</v>
      </c>
      <c r="Q120" s="211" t="s">
        <v>160</v>
      </c>
      <c r="T120" s="236" t="s">
        <v>301</v>
      </c>
      <c r="U120" s="269"/>
      <c r="V120" s="269"/>
      <c r="W120" s="269">
        <v>24</v>
      </c>
      <c r="X120" s="269"/>
      <c r="Y120" s="269"/>
      <c r="Z120" s="269">
        <v>20</v>
      </c>
      <c r="AA120" s="269"/>
      <c r="AB120" s="269"/>
      <c r="AC120" s="269">
        <v>21</v>
      </c>
      <c r="AD120" s="269"/>
      <c r="AE120" s="269"/>
      <c r="AF120" s="269">
        <v>15</v>
      </c>
      <c r="AG120" s="269">
        <v>80</v>
      </c>
      <c r="AH120"/>
      <c r="AI120"/>
      <c r="AJ120" s="236" t="s">
        <v>301</v>
      </c>
      <c r="AK120" s="269"/>
      <c r="AL120" s="269"/>
      <c r="AM120" s="269">
        <v>20</v>
      </c>
      <c r="AN120" s="269"/>
      <c r="AO120" s="269"/>
      <c r="AP120" s="269">
        <v>20</v>
      </c>
      <c r="AQ120" s="269"/>
      <c r="AR120" s="269"/>
      <c r="AS120" s="269">
        <v>20</v>
      </c>
      <c r="AT120" s="269"/>
      <c r="AU120" s="269"/>
      <c r="AV120" s="269">
        <v>20</v>
      </c>
      <c r="AW120" s="269">
        <v>80</v>
      </c>
      <c r="AX120" s="236"/>
      <c r="AY120" s="236"/>
      <c r="AZ120" s="236"/>
      <c r="BA120" s="239" t="s">
        <v>635</v>
      </c>
      <c r="BB120" s="240">
        <f t="shared" si="90"/>
        <v>0</v>
      </c>
      <c r="BC120" s="240">
        <f t="shared" si="91"/>
        <v>0</v>
      </c>
      <c r="BD120" s="240">
        <f t="shared" si="92"/>
        <v>0</v>
      </c>
      <c r="BE120" s="240">
        <f t="shared" si="93"/>
        <v>0</v>
      </c>
      <c r="BF120" s="240">
        <f t="shared" si="94"/>
        <v>0</v>
      </c>
      <c r="BG120" s="240">
        <f t="shared" si="95"/>
        <v>7</v>
      </c>
      <c r="BH120" s="240">
        <f t="shared" si="96"/>
        <v>0</v>
      </c>
      <c r="BI120" s="240">
        <f t="shared" si="97"/>
        <v>0</v>
      </c>
      <c r="BJ120" s="240">
        <f t="shared" si="98"/>
        <v>0</v>
      </c>
      <c r="BK120" s="240">
        <f t="shared" si="84"/>
        <v>0</v>
      </c>
      <c r="BL120" s="240">
        <f t="shared" si="85"/>
        <v>0</v>
      </c>
      <c r="BM120" s="240">
        <f t="shared" si="86"/>
        <v>17</v>
      </c>
      <c r="BN120" s="211">
        <f t="shared" si="99"/>
        <v>0</v>
      </c>
      <c r="BO120" s="236">
        <f t="shared" si="100"/>
        <v>0</v>
      </c>
      <c r="BP120" s="236">
        <f t="shared" si="101"/>
        <v>0</v>
      </c>
      <c r="BQ120" s="236">
        <f t="shared" si="102"/>
        <v>0</v>
      </c>
      <c r="BR120" s="236">
        <f t="shared" si="103"/>
        <v>0</v>
      </c>
      <c r="BS120" s="236">
        <f t="shared" si="104"/>
        <v>5</v>
      </c>
      <c r="BT120" s="236">
        <f t="shared" si="105"/>
        <v>0</v>
      </c>
      <c r="BU120" s="236">
        <f t="shared" si="106"/>
        <v>0</v>
      </c>
      <c r="BV120" s="236">
        <f t="shared" si="107"/>
        <v>0</v>
      </c>
      <c r="BW120" s="236">
        <f t="shared" si="87"/>
        <v>0</v>
      </c>
      <c r="BX120" s="236">
        <f t="shared" si="88"/>
        <v>0</v>
      </c>
      <c r="BY120" s="236">
        <f t="shared" si="89"/>
        <v>8</v>
      </c>
      <c r="BZ120" s="236"/>
      <c r="CA120" s="275" t="s">
        <v>1530</v>
      </c>
      <c r="CB120" s="272" t="str">
        <f t="shared" si="108"/>
        <v>N/A</v>
      </c>
      <c r="CC120" s="272" t="str">
        <f t="shared" si="109"/>
        <v>N/A</v>
      </c>
      <c r="CD120" s="272" t="str">
        <f t="shared" si="110"/>
        <v>N/A</v>
      </c>
      <c r="CE120" s="284" t="str">
        <f t="shared" si="111"/>
        <v>N/A</v>
      </c>
      <c r="CF120" s="284" t="str">
        <f t="shared" si="112"/>
        <v>N/A</v>
      </c>
      <c r="CG120" s="284" t="str">
        <f t="shared" si="113"/>
        <v xml:space="preserve">ENERO
En el periodo indicado se suscribieron catorce (14) contratos en la modalidad directa, trece (13) por prestación de servicios y un (1) contrato interadministrativo,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14 contratos.
FEBRERO
En el periodo indicado se suscribieron treinta y ocho (38) contratos, de los cuales treinta y siete (37) fueron bajo la modalidad de Contratación Directa y uno (1) por Mínima Cuantía,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38 contratos.
MARZO
En el periodo indicado se suscribieron veinte (20) contratos, de los catorce (14) fueron bajo la modalidad de Contratación Directa y cinco (5) por Mínima Cuantía y un (1) por selección abreviada acuerdo marco de precios,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20 contratos.
ABRIL
En el periodo indicado se suscribieron diecisiete (17) contratos, de los cuales dieciséis (16) fueron bajo la modalidad de Contratación Directa y uno (1) por Selección Abreviada – Subasta Inversa.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MAYO
En el periodo indicado se suscribieron veinticinco (25) contratos, de los cuales dieciocho (18) fueron bajo la modalidad de Contratación Directa, cuatro (4) por Mínima Cuantía, uno (1) por Selección Abreviada por Acuerdo Marco de Precios, uno (1) por Selección Abreviada mediante Subasta Inversa y uno (1) por Licitación Pública.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JUNIO
En el periodo indicado se suscribieron diecisiete (17) contratos, de los cuales quince (15) fueron bajo la modalidad de Contratación Directa y dos (2) por Mínima Cuantía.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v>
      </c>
      <c r="CH120" s="272" t="str">
        <f t="shared" si="114"/>
        <v>N/A</v>
      </c>
      <c r="CI120" s="211" t="str">
        <f t="shared" si="115"/>
        <v>N/A</v>
      </c>
      <c r="CJ120" s="211" t="str">
        <f t="shared" si="116"/>
        <v>N/A</v>
      </c>
      <c r="CK120" s="211" t="str">
        <f t="shared" si="117"/>
        <v>N/A</v>
      </c>
      <c r="CL120" s="211" t="str">
        <f t="shared" si="118"/>
        <v>N/A</v>
      </c>
      <c r="CM120" s="211" t="str">
        <f t="shared" si="119"/>
        <v>N/A</v>
      </c>
      <c r="CO120" s="211" t="s">
        <v>152</v>
      </c>
      <c r="CP120" s="211" t="s">
        <v>143</v>
      </c>
      <c r="CQ120" s="211" t="s">
        <v>183</v>
      </c>
      <c r="CR120" s="211" t="s">
        <v>184</v>
      </c>
      <c r="CS120" s="211" t="s">
        <v>647</v>
      </c>
      <c r="CT120" s="211" t="s">
        <v>183</v>
      </c>
      <c r="CU120" s="211" t="str">
        <f t="shared" si="72"/>
        <v>N/A</v>
      </c>
      <c r="CV120" s="211" t="str">
        <f t="shared" si="73"/>
        <v>N/A</v>
      </c>
      <c r="CW120" s="211" t="str">
        <f t="shared" si="74"/>
        <v>N/A</v>
      </c>
      <c r="CX120" s="211" t="str">
        <f t="shared" si="75"/>
        <v>N/A</v>
      </c>
      <c r="CY120" s="211" t="str">
        <f t="shared" si="76"/>
        <v>N/A</v>
      </c>
      <c r="CZ120" s="211" t="str">
        <f t="shared" si="77"/>
        <v xml:space="preserve">​Se informa que el número de acuerdos conciliatorios con seguimientos  realizados fueron 87; a su vez , el  número de acuerdos conciliatorios suscritos que sean exigibles fueron tambien 87 , cunpliendose la regla establecida en el indicador 
</v>
      </c>
      <c r="DA120" s="211" t="str">
        <f t="shared" si="78"/>
        <v>N/A</v>
      </c>
      <c r="DB120" s="211" t="str">
        <f t="shared" si="79"/>
        <v>N/A</v>
      </c>
      <c r="DC120" s="211" t="str">
        <f t="shared" si="80"/>
        <v>N/A</v>
      </c>
      <c r="DD120" s="211" t="str">
        <f t="shared" si="81"/>
        <v>N/A</v>
      </c>
      <c r="DE120" s="211" t="str">
        <f t="shared" si="82"/>
        <v>N/A</v>
      </c>
      <c r="DF120" s="211" t="str">
        <f t="shared" si="83"/>
        <v>N/A</v>
      </c>
    </row>
    <row r="121" spans="1:110" s="211" customFormat="1" ht="185.25">
      <c r="A121" s="348" t="s">
        <v>152</v>
      </c>
      <c r="B121" s="211" t="s">
        <v>143</v>
      </c>
      <c r="C121" s="211" t="s">
        <v>153</v>
      </c>
      <c r="D121" s="211" t="s">
        <v>154</v>
      </c>
      <c r="E121" s="211" t="s">
        <v>155</v>
      </c>
      <c r="F121" s="348" t="s">
        <v>156</v>
      </c>
      <c r="G121" s="211" t="s">
        <v>157</v>
      </c>
      <c r="H121" s="211">
        <v>45</v>
      </c>
      <c r="I121" s="323">
        <v>45</v>
      </c>
      <c r="J121" s="323">
        <v>45</v>
      </c>
      <c r="K121" s="288">
        <v>1</v>
      </c>
      <c r="L121" s="211" t="s">
        <v>2813</v>
      </c>
      <c r="M121" s="211" t="b">
        <v>0</v>
      </c>
      <c r="O121" s="209" t="s">
        <v>2832</v>
      </c>
      <c r="P121" s="211" t="s">
        <v>159</v>
      </c>
      <c r="Q121" s="211" t="s">
        <v>160</v>
      </c>
      <c r="T121" s="236" t="s">
        <v>307</v>
      </c>
      <c r="U121" s="269"/>
      <c r="V121" s="269"/>
      <c r="W121" s="269">
        <v>3</v>
      </c>
      <c r="X121" s="269">
        <v>6</v>
      </c>
      <c r="Y121" s="269">
        <v>4</v>
      </c>
      <c r="Z121" s="269">
        <v>2</v>
      </c>
      <c r="AA121" s="269">
        <v>9</v>
      </c>
      <c r="AB121" s="269"/>
      <c r="AC121" s="269"/>
      <c r="AD121" s="269"/>
      <c r="AE121" s="269">
        <v>17</v>
      </c>
      <c r="AF121" s="269">
        <v>0</v>
      </c>
      <c r="AG121" s="269">
        <v>41</v>
      </c>
      <c r="AH121"/>
      <c r="AI121"/>
      <c r="AJ121" s="236" t="s">
        <v>307</v>
      </c>
      <c r="AK121" s="269"/>
      <c r="AL121" s="269"/>
      <c r="AM121" s="269">
        <v>3</v>
      </c>
      <c r="AN121" s="269">
        <v>6</v>
      </c>
      <c r="AO121" s="269">
        <v>7</v>
      </c>
      <c r="AP121" s="269">
        <v>7</v>
      </c>
      <c r="AQ121" s="269">
        <v>7</v>
      </c>
      <c r="AR121" s="269"/>
      <c r="AS121" s="269"/>
      <c r="AT121" s="269"/>
      <c r="AU121" s="269">
        <v>1</v>
      </c>
      <c r="AV121" s="269">
        <v>2</v>
      </c>
      <c r="AW121" s="269">
        <v>33</v>
      </c>
      <c r="AX121" s="236"/>
      <c r="AY121" s="236"/>
      <c r="AZ121" s="236"/>
      <c r="BA121" s="239" t="s">
        <v>602</v>
      </c>
      <c r="BB121" s="240">
        <f t="shared" si="90"/>
        <v>0</v>
      </c>
      <c r="BC121" s="240">
        <f t="shared" si="91"/>
        <v>0</v>
      </c>
      <c r="BD121" s="240">
        <f t="shared" si="92"/>
        <v>0</v>
      </c>
      <c r="BE121" s="240">
        <f t="shared" si="93"/>
        <v>0</v>
      </c>
      <c r="BF121" s="240">
        <f t="shared" si="94"/>
        <v>0</v>
      </c>
      <c r="BG121" s="240">
        <f t="shared" si="95"/>
        <v>1</v>
      </c>
      <c r="BH121" s="240">
        <f t="shared" si="96"/>
        <v>1</v>
      </c>
      <c r="BI121" s="240">
        <f t="shared" si="97"/>
        <v>0</v>
      </c>
      <c r="BJ121" s="240">
        <f t="shared" si="98"/>
        <v>0</v>
      </c>
      <c r="BK121" s="240">
        <f t="shared" si="84"/>
        <v>2</v>
      </c>
      <c r="BL121" s="240">
        <f t="shared" si="85"/>
        <v>0</v>
      </c>
      <c r="BM121" s="240">
        <f t="shared" si="86"/>
        <v>0</v>
      </c>
      <c r="BN121" s="211">
        <f t="shared" si="99"/>
        <v>0</v>
      </c>
      <c r="BO121" s="236">
        <f t="shared" si="100"/>
        <v>0</v>
      </c>
      <c r="BP121" s="236">
        <f t="shared" si="101"/>
        <v>0</v>
      </c>
      <c r="BQ121" s="236">
        <f t="shared" si="102"/>
        <v>0</v>
      </c>
      <c r="BR121" s="236">
        <f t="shared" si="103"/>
        <v>1</v>
      </c>
      <c r="BS121" s="236">
        <f t="shared" si="104"/>
        <v>1</v>
      </c>
      <c r="BT121" s="236">
        <f t="shared" si="105"/>
        <v>1</v>
      </c>
      <c r="BU121" s="236">
        <f t="shared" si="106"/>
        <v>0</v>
      </c>
      <c r="BV121" s="236">
        <f t="shared" si="107"/>
        <v>0</v>
      </c>
      <c r="BW121" s="236">
        <f t="shared" si="87"/>
        <v>2</v>
      </c>
      <c r="BX121" s="236">
        <f t="shared" si="88"/>
        <v>0</v>
      </c>
      <c r="BY121" s="236">
        <f t="shared" si="89"/>
        <v>0</v>
      </c>
      <c r="BZ121" s="236"/>
      <c r="CA121" s="275" t="s">
        <v>398</v>
      </c>
      <c r="CB121" s="272" t="str">
        <f t="shared" si="108"/>
        <v>N/A</v>
      </c>
      <c r="CC121" s="272" t="str">
        <f t="shared" si="109"/>
        <v>N/A</v>
      </c>
      <c r="CD121" s="272" t="str">
        <f t="shared" si="110"/>
        <v xml:space="preserve">​De 149.479 documentos radicados en el primer trimestre (enero, febrero y marzo) de 2025, se tomó una muestra del 5% lo cual arrojó un resultado de 7.473 documentos radicados que fueron revisados en los cuales se encontraron un total de 7.428 documentos asignados correctamente y que proyectados al total de radicados son 148.567 que cumplen con la asignación correcta a las dependencias; lo que representa un porcentaje de cumplimiento del  99,39% en dicho periodo, teniendo en cuenta que la meta es del 98%, el indicador se cumplió. 
</v>
      </c>
      <c r="CE121" s="284" t="str">
        <f t="shared" si="111"/>
        <v>N/A</v>
      </c>
      <c r="CF121" s="284" t="str">
        <f t="shared" si="112"/>
        <v>N/A</v>
      </c>
      <c r="CG121" s="284" t="str">
        <f t="shared" si="113"/>
        <v>N/A</v>
      </c>
      <c r="CH121" s="272" t="str">
        <f t="shared" si="114"/>
        <v>N/A</v>
      </c>
      <c r="CI121" s="211" t="str">
        <f t="shared" si="115"/>
        <v>N/A</v>
      </c>
      <c r="CJ121" s="211" t="str">
        <f t="shared" si="116"/>
        <v>N/A</v>
      </c>
      <c r="CK121" s="211" t="str">
        <f t="shared" si="117"/>
        <v>N/A</v>
      </c>
      <c r="CL121" s="211" t="str">
        <f t="shared" si="118"/>
        <v>N/A</v>
      </c>
      <c r="CM121" s="211" t="str">
        <f t="shared" si="119"/>
        <v>N/A</v>
      </c>
      <c r="CO121" s="211" t="s">
        <v>152</v>
      </c>
      <c r="CP121" s="211" t="s">
        <v>143</v>
      </c>
      <c r="CQ121" s="211" t="s">
        <v>153</v>
      </c>
      <c r="CR121" s="211" t="s">
        <v>154</v>
      </c>
      <c r="CS121" s="211" t="s">
        <v>2813</v>
      </c>
      <c r="CT121" s="211" t="s">
        <v>153</v>
      </c>
      <c r="CU121" s="211" t="str">
        <f t="shared" si="72"/>
        <v>N/A</v>
      </c>
      <c r="CV121" s="211" t="str">
        <f t="shared" si="73"/>
        <v>N/A</v>
      </c>
      <c r="CW121" s="211" t="str">
        <f t="shared" si="74"/>
        <v>N/A</v>
      </c>
      <c r="CX121" s="211" t="str">
        <f t="shared" si="75"/>
        <v>N/A</v>
      </c>
      <c r="CY121" s="211" t="str">
        <f t="shared" si="76"/>
        <v>N/A</v>
      </c>
      <c r="CZ121" s="211" t="str">
        <f t="shared" si="77"/>
        <v xml:space="preserve">​Durante el periodo del segundo trimestre , la verificacion de medicion de esta actividad , se evidencio el cumplimiento de este indicador segun la meta establecida , fueron gestionados 45 providencias de glosas y devoluciones ; se ha disminuido notablemente el numero de expedientes que habia en represamiento y hasta el momento ya el año 2024 esta siendo terminado en su totalidad quedando pendientes cerca de 34 expedientes .
</v>
      </c>
      <c r="DA121" s="211" t="str">
        <f t="shared" si="78"/>
        <v>N/A</v>
      </c>
      <c r="DB121" s="211" t="str">
        <f t="shared" si="79"/>
        <v>N/A</v>
      </c>
      <c r="DC121" s="211" t="str">
        <f t="shared" si="80"/>
        <v>N/A</v>
      </c>
      <c r="DD121" s="211" t="str">
        <f t="shared" si="81"/>
        <v>N/A</v>
      </c>
      <c r="DE121" s="211" t="str">
        <f t="shared" si="82"/>
        <v>N/A</v>
      </c>
      <c r="DF121" s="211" t="str">
        <f t="shared" si="83"/>
        <v>N/A</v>
      </c>
    </row>
    <row r="122" spans="1:110" s="211" customFormat="1" ht="185.25">
      <c r="A122" s="348" t="s">
        <v>152</v>
      </c>
      <c r="B122" s="211" t="s">
        <v>143</v>
      </c>
      <c r="C122" s="211" t="s">
        <v>165</v>
      </c>
      <c r="D122" s="211" t="s">
        <v>166</v>
      </c>
      <c r="E122" s="211" t="s">
        <v>167</v>
      </c>
      <c r="F122" s="348" t="s">
        <v>168</v>
      </c>
      <c r="G122" s="211" t="s">
        <v>157</v>
      </c>
      <c r="H122" s="211">
        <v>140</v>
      </c>
      <c r="I122" s="323">
        <v>140</v>
      </c>
      <c r="J122" s="323">
        <v>140</v>
      </c>
      <c r="K122" s="288">
        <v>1</v>
      </c>
      <c r="L122" s="211" t="s">
        <v>650</v>
      </c>
      <c r="M122" s="211" t="b">
        <v>0</v>
      </c>
      <c r="O122" s="209" t="s">
        <v>2832</v>
      </c>
      <c r="P122" s="211" t="s">
        <v>159</v>
      </c>
      <c r="Q122" s="211" t="s">
        <v>160</v>
      </c>
      <c r="T122" s="236" t="s">
        <v>649</v>
      </c>
      <c r="U122" s="269"/>
      <c r="V122" s="269"/>
      <c r="W122" s="269"/>
      <c r="X122" s="269"/>
      <c r="Y122" s="269"/>
      <c r="Z122" s="269">
        <v>1</v>
      </c>
      <c r="AA122" s="269"/>
      <c r="AB122" s="269"/>
      <c r="AC122" s="269"/>
      <c r="AD122" s="269"/>
      <c r="AE122" s="269"/>
      <c r="AF122" s="269">
        <v>1</v>
      </c>
      <c r="AG122" s="269">
        <v>2</v>
      </c>
      <c r="AH122"/>
      <c r="AI122"/>
      <c r="AJ122" s="236" t="s">
        <v>649</v>
      </c>
      <c r="AK122" s="269"/>
      <c r="AL122" s="269"/>
      <c r="AM122" s="269"/>
      <c r="AN122" s="269"/>
      <c r="AO122" s="269"/>
      <c r="AP122" s="269">
        <v>1</v>
      </c>
      <c r="AQ122" s="269"/>
      <c r="AR122" s="269"/>
      <c r="AS122" s="269"/>
      <c r="AT122" s="269"/>
      <c r="AU122" s="269"/>
      <c r="AV122" s="269">
        <v>1</v>
      </c>
      <c r="AW122" s="269">
        <v>2</v>
      </c>
      <c r="AX122" s="236"/>
      <c r="AY122" s="236"/>
      <c r="AZ122" s="236"/>
      <c r="BA122" s="239" t="s">
        <v>642</v>
      </c>
      <c r="BB122" s="240">
        <f t="shared" si="90"/>
        <v>0</v>
      </c>
      <c r="BC122" s="240">
        <f t="shared" si="91"/>
        <v>0</v>
      </c>
      <c r="BD122" s="240">
        <f t="shared" si="92"/>
        <v>0</v>
      </c>
      <c r="BE122" s="240">
        <f t="shared" si="93"/>
        <v>0</v>
      </c>
      <c r="BF122" s="240">
        <f t="shared" si="94"/>
        <v>0</v>
      </c>
      <c r="BG122" s="240">
        <f t="shared" si="95"/>
        <v>65</v>
      </c>
      <c r="BH122" s="240">
        <f t="shared" si="96"/>
        <v>0</v>
      </c>
      <c r="BI122" s="240">
        <f t="shared" si="97"/>
        <v>0</v>
      </c>
      <c r="BJ122" s="240">
        <f t="shared" si="98"/>
        <v>0</v>
      </c>
      <c r="BK122" s="240">
        <f t="shared" si="84"/>
        <v>0</v>
      </c>
      <c r="BL122" s="240">
        <f t="shared" si="85"/>
        <v>32</v>
      </c>
      <c r="BM122" s="240">
        <f t="shared" si="86"/>
        <v>0</v>
      </c>
      <c r="BN122" s="211">
        <f t="shared" si="99"/>
        <v>0</v>
      </c>
      <c r="BO122" s="236">
        <f t="shared" si="100"/>
        <v>0</v>
      </c>
      <c r="BP122" s="236">
        <f t="shared" si="101"/>
        <v>0</v>
      </c>
      <c r="BQ122" s="236">
        <f t="shared" si="102"/>
        <v>0</v>
      </c>
      <c r="BR122" s="236">
        <f t="shared" si="103"/>
        <v>0</v>
      </c>
      <c r="BS122" s="236">
        <f t="shared" si="104"/>
        <v>65</v>
      </c>
      <c r="BT122" s="236">
        <f t="shared" si="105"/>
        <v>0</v>
      </c>
      <c r="BU122" s="236">
        <f t="shared" si="106"/>
        <v>0</v>
      </c>
      <c r="BV122" s="236">
        <f t="shared" si="107"/>
        <v>0</v>
      </c>
      <c r="BW122" s="236">
        <f t="shared" si="87"/>
        <v>0</v>
      </c>
      <c r="BX122" s="236">
        <f t="shared" si="88"/>
        <v>32</v>
      </c>
      <c r="BY122" s="236">
        <f t="shared" si="89"/>
        <v>0</v>
      </c>
      <c r="BZ122" s="236"/>
      <c r="CA122" s="275" t="s">
        <v>403</v>
      </c>
      <c r="CB122" s="272" t="str">
        <f t="shared" si="108"/>
        <v>N/A</v>
      </c>
      <c r="CC122" s="272" t="str">
        <f t="shared" si="109"/>
        <v>N/A</v>
      </c>
      <c r="CD122" s="272" t="str">
        <f t="shared" si="110"/>
        <v xml:space="preserve">​De 149.479 documentos digitalizados en el primer trimestre (enero, febrero y marzo) de 2025, se tomó una muestra del 5% lo cual arrojó un resultado de 7.473 documentos digitalizados que fueron revisados en los cuales se encontraron un total de 7.467 documentos digitalizados correctamente y que proyectados al total de digitalizados son 149.344 que cumplen con la digitalización correcta; lo que representa un porcentaje de cumplimiento del  99,91% en dicho periodo, teniendo en cuenta que la meta es del 99.87%, el indicador se cumplió
</v>
      </c>
      <c r="CE122" s="284" t="str">
        <f t="shared" si="111"/>
        <v>N/A</v>
      </c>
      <c r="CF122" s="284" t="str">
        <f t="shared" si="112"/>
        <v>N/A</v>
      </c>
      <c r="CG122" s="284" t="str">
        <f t="shared" si="113"/>
        <v>N/A</v>
      </c>
      <c r="CH122" s="272" t="str">
        <f t="shared" si="114"/>
        <v>N/A</v>
      </c>
      <c r="CI122" s="211" t="str">
        <f t="shared" si="115"/>
        <v>N/A</v>
      </c>
      <c r="CJ122" s="211" t="str">
        <f t="shared" si="116"/>
        <v>N/A</v>
      </c>
      <c r="CK122" s="211" t="str">
        <f t="shared" si="117"/>
        <v>N/A</v>
      </c>
      <c r="CL122" s="211" t="str">
        <f t="shared" si="118"/>
        <v>N/A</v>
      </c>
      <c r="CM122" s="211" t="str">
        <f t="shared" si="119"/>
        <v>N/A</v>
      </c>
      <c r="CO122" s="211" t="s">
        <v>152</v>
      </c>
      <c r="CP122" s="211" t="s">
        <v>143</v>
      </c>
      <c r="CQ122" s="211" t="s">
        <v>165</v>
      </c>
      <c r="CR122" s="211" t="s">
        <v>166</v>
      </c>
      <c r="CS122" s="211" t="s">
        <v>650</v>
      </c>
      <c r="CT122" s="211" t="s">
        <v>165</v>
      </c>
      <c r="CU122" s="211" t="str">
        <f t="shared" si="72"/>
        <v>N/A</v>
      </c>
      <c r="CV122" s="211" t="str">
        <f t="shared" si="73"/>
        <v>N/A</v>
      </c>
      <c r="CW122" s="211" t="str">
        <f t="shared" si="74"/>
        <v>N/A</v>
      </c>
      <c r="CX122" s="211" t="str">
        <f t="shared" si="75"/>
        <v>N/A</v>
      </c>
      <c r="CY122" s="211" t="str">
        <f t="shared" si="76"/>
        <v>N/A</v>
      </c>
      <c r="CZ122" s="211" t="str">
        <f t="shared" si="77"/>
        <v xml:space="preserve">El Indicador correspondiente al numero de Providencias gestionadas y finalizadas por el Grupo de reconocimiento económico en el segundo trimestre del año 2025, correspondieron a un total de 140 providencias, proyectos que se ingresaron al despacho para aprobación  firma del Delegado durante el periodo comprendido entre abril a junio de 2025. Es de anotar que se ha logrado disminuir el numero de providencias represadas del año 2024 hasta lograr llegar a 34 providencias pendientes de dicho periodo , mejorando ostensiblemente la gestion . 
</v>
      </c>
      <c r="DA122" s="211" t="str">
        <f t="shared" si="78"/>
        <v>N/A</v>
      </c>
      <c r="DB122" s="211" t="str">
        <f t="shared" si="79"/>
        <v>N/A</v>
      </c>
      <c r="DC122" s="211" t="str">
        <f t="shared" si="80"/>
        <v>N/A</v>
      </c>
      <c r="DD122" s="211" t="str">
        <f t="shared" si="81"/>
        <v>N/A</v>
      </c>
      <c r="DE122" s="211" t="str">
        <f t="shared" si="82"/>
        <v>N/A</v>
      </c>
      <c r="DF122" s="211" t="str">
        <f t="shared" si="83"/>
        <v>N/A</v>
      </c>
    </row>
    <row r="123" spans="1:110" s="211" customFormat="1" ht="140.25">
      <c r="A123" s="348" t="s">
        <v>152</v>
      </c>
      <c r="B123" s="211" t="s">
        <v>143</v>
      </c>
      <c r="C123" s="211" t="s">
        <v>551</v>
      </c>
      <c r="D123" s="211" t="s">
        <v>652</v>
      </c>
      <c r="E123" s="211" t="s">
        <v>653</v>
      </c>
      <c r="F123" s="348" t="s">
        <v>654</v>
      </c>
      <c r="G123" s="211" t="s">
        <v>178</v>
      </c>
      <c r="H123" s="211">
        <v>1</v>
      </c>
      <c r="I123" s="323">
        <v>643</v>
      </c>
      <c r="J123" s="323">
        <v>643</v>
      </c>
      <c r="K123" s="288">
        <v>1</v>
      </c>
      <c r="L123" s="211" t="s">
        <v>655</v>
      </c>
      <c r="M123" s="211" t="b">
        <v>0</v>
      </c>
      <c r="O123" s="209" t="s">
        <v>2832</v>
      </c>
      <c r="P123" s="211" t="s">
        <v>159</v>
      </c>
      <c r="Q123" s="211" t="s">
        <v>160</v>
      </c>
      <c r="T123" s="236" t="s">
        <v>651</v>
      </c>
      <c r="U123" s="269"/>
      <c r="V123" s="269"/>
      <c r="W123" s="269"/>
      <c r="X123" s="269"/>
      <c r="Y123" s="269"/>
      <c r="Z123" s="269">
        <v>10</v>
      </c>
      <c r="AA123" s="269"/>
      <c r="AB123" s="269"/>
      <c r="AC123" s="269"/>
      <c r="AD123" s="269"/>
      <c r="AE123" s="269"/>
      <c r="AF123" s="269">
        <v>7</v>
      </c>
      <c r="AG123" s="269">
        <v>17</v>
      </c>
      <c r="AH123"/>
      <c r="AI123"/>
      <c r="AJ123" s="236" t="s">
        <v>651</v>
      </c>
      <c r="AK123" s="269"/>
      <c r="AL123" s="269"/>
      <c r="AM123" s="269"/>
      <c r="AN123" s="269"/>
      <c r="AO123" s="269"/>
      <c r="AP123" s="269">
        <v>10</v>
      </c>
      <c r="AQ123" s="269"/>
      <c r="AR123" s="269"/>
      <c r="AS123" s="269"/>
      <c r="AT123" s="269"/>
      <c r="AU123" s="269"/>
      <c r="AV123" s="269">
        <v>7</v>
      </c>
      <c r="AW123" s="269">
        <v>17</v>
      </c>
      <c r="AX123" s="236"/>
      <c r="AY123" s="236"/>
      <c r="AZ123" s="236"/>
      <c r="BA123" s="239" t="s">
        <v>646</v>
      </c>
      <c r="BB123" s="240">
        <f t="shared" si="90"/>
        <v>0</v>
      </c>
      <c r="BC123" s="240">
        <f t="shared" si="91"/>
        <v>0</v>
      </c>
      <c r="BD123" s="240">
        <f t="shared" si="92"/>
        <v>0</v>
      </c>
      <c r="BE123" s="240">
        <f t="shared" si="93"/>
        <v>0</v>
      </c>
      <c r="BF123" s="240">
        <f t="shared" si="94"/>
        <v>0</v>
      </c>
      <c r="BG123" s="240">
        <f t="shared" si="95"/>
        <v>400</v>
      </c>
      <c r="BH123" s="240">
        <f t="shared" si="96"/>
        <v>0</v>
      </c>
      <c r="BI123" s="240">
        <f t="shared" si="97"/>
        <v>0</v>
      </c>
      <c r="BJ123" s="240">
        <f t="shared" si="98"/>
        <v>0</v>
      </c>
      <c r="BK123" s="240">
        <f t="shared" si="84"/>
        <v>0</v>
      </c>
      <c r="BL123" s="240">
        <f t="shared" si="85"/>
        <v>0</v>
      </c>
      <c r="BM123" s="240">
        <f t="shared" si="86"/>
        <v>1240</v>
      </c>
      <c r="BN123" s="211">
        <f t="shared" si="99"/>
        <v>0</v>
      </c>
      <c r="BO123" s="236">
        <f t="shared" si="100"/>
        <v>0</v>
      </c>
      <c r="BP123" s="236">
        <f t="shared" si="101"/>
        <v>0</v>
      </c>
      <c r="BQ123" s="236">
        <f t="shared" si="102"/>
        <v>0</v>
      </c>
      <c r="BR123" s="236">
        <f t="shared" si="103"/>
        <v>0</v>
      </c>
      <c r="BS123" s="236">
        <f t="shared" si="104"/>
        <v>400</v>
      </c>
      <c r="BT123" s="236">
        <f t="shared" si="105"/>
        <v>0</v>
      </c>
      <c r="BU123" s="236">
        <f t="shared" si="106"/>
        <v>0</v>
      </c>
      <c r="BV123" s="236">
        <f t="shared" si="107"/>
        <v>0</v>
      </c>
      <c r="BW123" s="236">
        <f t="shared" si="87"/>
        <v>0</v>
      </c>
      <c r="BX123" s="236">
        <f t="shared" si="88"/>
        <v>0</v>
      </c>
      <c r="BY123" s="236">
        <f t="shared" si="89"/>
        <v>1200</v>
      </c>
      <c r="BZ123" s="236"/>
      <c r="CA123" s="275" t="s">
        <v>408</v>
      </c>
      <c r="CB123" s="272" t="str">
        <f t="shared" si="108"/>
        <v>N/A</v>
      </c>
      <c r="CC123" s="272" t="str">
        <f t="shared" si="109"/>
        <v>N/A</v>
      </c>
      <c r="CD123" s="272" t="str">
        <f t="shared" si="110"/>
        <v xml:space="preserve">​En el primer trimestre de 2025 (enero, febrero y marzo) se realizaron tres campañas de comunicaciones. El indicador se cumplió. 
</v>
      </c>
      <c r="CE123" s="284" t="str">
        <f t="shared" si="111"/>
        <v>N/A</v>
      </c>
      <c r="CF123" s="284" t="str">
        <f t="shared" si="112"/>
        <v>N/A</v>
      </c>
      <c r="CG123" s="284" t="str">
        <f t="shared" si="113"/>
        <v>N/A</v>
      </c>
      <c r="CH123" s="272" t="str">
        <f t="shared" si="114"/>
        <v>N/A</v>
      </c>
      <c r="CI123" s="211" t="str">
        <f t="shared" si="115"/>
        <v>N/A</v>
      </c>
      <c r="CJ123" s="211" t="str">
        <f t="shared" si="116"/>
        <v>N/A</v>
      </c>
      <c r="CK123" s="211" t="str">
        <f t="shared" si="117"/>
        <v>N/A</v>
      </c>
      <c r="CL123" s="211" t="str">
        <f t="shared" si="118"/>
        <v>N/A</v>
      </c>
      <c r="CM123" s="211" t="str">
        <f t="shared" si="119"/>
        <v>N/A</v>
      </c>
      <c r="CO123" s="211" t="s">
        <v>152</v>
      </c>
      <c r="CP123" s="211" t="s">
        <v>143</v>
      </c>
      <c r="CQ123" s="211" t="s">
        <v>551</v>
      </c>
      <c r="CR123" s="211" t="s">
        <v>652</v>
      </c>
      <c r="CS123" s="211" t="s">
        <v>655</v>
      </c>
      <c r="CT123" s="211" t="s">
        <v>551</v>
      </c>
      <c r="CU123" s="211" t="str">
        <f t="shared" si="72"/>
        <v>N/A</v>
      </c>
      <c r="CV123" s="211" t="str">
        <f t="shared" si="73"/>
        <v>N/A</v>
      </c>
      <c r="CW123" s="211" t="str">
        <f t="shared" si="74"/>
        <v>N/A</v>
      </c>
      <c r="CX123" s="211" t="str">
        <f t="shared" si="75"/>
        <v>N/A</v>
      </c>
      <c r="CY123" s="211" t="str">
        <f t="shared" si="76"/>
        <v>N/A</v>
      </c>
      <c r="CZ123" s="211" t="str">
        <f t="shared" si="77"/>
        <v xml:space="preserve">​El número de demandas gestionadas en el semestre fueron de 643; la totalidad de las demandas radicadas en igual período fueron en total 643 y se gestionaron la totalidad , es decir el 100% y fueron a demanda regular en la Delegada. 
</v>
      </c>
      <c r="DA123" s="211" t="str">
        <f t="shared" si="78"/>
        <v>N/A</v>
      </c>
      <c r="DB123" s="211" t="str">
        <f t="shared" si="79"/>
        <v>N/A</v>
      </c>
      <c r="DC123" s="211" t="str">
        <f t="shared" si="80"/>
        <v>N/A</v>
      </c>
      <c r="DD123" s="211" t="str">
        <f t="shared" si="81"/>
        <v>N/A</v>
      </c>
      <c r="DE123" s="211" t="str">
        <f t="shared" si="82"/>
        <v>N/A</v>
      </c>
      <c r="DF123" s="211" t="str">
        <f t="shared" si="83"/>
        <v>N/A</v>
      </c>
    </row>
    <row r="124" spans="1:110" s="211" customFormat="1" ht="142.5">
      <c r="A124" s="348" t="s">
        <v>152</v>
      </c>
      <c r="B124" s="211" t="s">
        <v>143</v>
      </c>
      <c r="C124" s="211" t="s">
        <v>556</v>
      </c>
      <c r="D124" s="211" t="s">
        <v>668</v>
      </c>
      <c r="E124" s="211" t="s">
        <v>669</v>
      </c>
      <c r="F124" s="348" t="s">
        <v>670</v>
      </c>
      <c r="G124" s="211" t="s">
        <v>157</v>
      </c>
      <c r="H124" s="211">
        <v>7</v>
      </c>
      <c r="I124" s="323">
        <v>7</v>
      </c>
      <c r="J124" s="323">
        <v>7</v>
      </c>
      <c r="K124" s="288">
        <v>1</v>
      </c>
      <c r="L124" s="211" t="s">
        <v>671</v>
      </c>
      <c r="M124" s="211" t="b">
        <v>0</v>
      </c>
      <c r="O124" s="209" t="s">
        <v>2832</v>
      </c>
      <c r="P124" s="211" t="s">
        <v>159</v>
      </c>
      <c r="Q124" s="211" t="s">
        <v>160</v>
      </c>
      <c r="T124" s="236" t="s">
        <v>366</v>
      </c>
      <c r="U124" s="269"/>
      <c r="V124" s="269"/>
      <c r="W124" s="269">
        <v>12</v>
      </c>
      <c r="X124" s="269"/>
      <c r="Y124" s="269"/>
      <c r="Z124" s="269">
        <v>11</v>
      </c>
      <c r="AA124" s="269"/>
      <c r="AB124" s="269"/>
      <c r="AC124" s="269">
        <v>19</v>
      </c>
      <c r="AD124" s="269"/>
      <c r="AE124" s="269"/>
      <c r="AF124" s="269">
        <v>5</v>
      </c>
      <c r="AG124" s="269">
        <v>47</v>
      </c>
      <c r="AH124"/>
      <c r="AI124"/>
      <c r="AJ124" s="236" t="s">
        <v>366</v>
      </c>
      <c r="AK124" s="269"/>
      <c r="AL124" s="269"/>
      <c r="AM124" s="269">
        <v>14</v>
      </c>
      <c r="AN124" s="269"/>
      <c r="AO124" s="269"/>
      <c r="AP124" s="269">
        <v>14</v>
      </c>
      <c r="AQ124" s="269"/>
      <c r="AR124" s="269"/>
      <c r="AS124" s="269">
        <v>21</v>
      </c>
      <c r="AT124" s="269"/>
      <c r="AU124" s="269"/>
      <c r="AV124" s="269">
        <v>5</v>
      </c>
      <c r="AW124" s="269">
        <v>54</v>
      </c>
      <c r="AX124" s="236"/>
      <c r="AY124" s="236"/>
      <c r="AZ124" s="236"/>
      <c r="BA124" s="239" t="s">
        <v>278</v>
      </c>
      <c r="BB124" s="240">
        <f t="shared" si="90"/>
        <v>0</v>
      </c>
      <c r="BC124" s="240">
        <f t="shared" si="91"/>
        <v>0</v>
      </c>
      <c r="BD124" s="240">
        <f t="shared" si="92"/>
        <v>18</v>
      </c>
      <c r="BE124" s="240">
        <f t="shared" si="93"/>
        <v>0</v>
      </c>
      <c r="BF124" s="240">
        <f t="shared" si="94"/>
        <v>0</v>
      </c>
      <c r="BG124" s="240">
        <f t="shared" si="95"/>
        <v>23</v>
      </c>
      <c r="BH124" s="240">
        <f t="shared" si="96"/>
        <v>0</v>
      </c>
      <c r="BI124" s="240">
        <f t="shared" si="97"/>
        <v>0</v>
      </c>
      <c r="BJ124" s="240">
        <f t="shared" si="98"/>
        <v>50</v>
      </c>
      <c r="BK124" s="240">
        <f t="shared" si="84"/>
        <v>0</v>
      </c>
      <c r="BL124" s="240">
        <f t="shared" si="85"/>
        <v>0</v>
      </c>
      <c r="BM124" s="240">
        <f t="shared" si="86"/>
        <v>1</v>
      </c>
      <c r="BN124" s="211">
        <f t="shared" si="99"/>
        <v>0</v>
      </c>
      <c r="BO124" s="236">
        <f t="shared" si="100"/>
        <v>0</v>
      </c>
      <c r="BP124" s="236">
        <f t="shared" si="101"/>
        <v>18</v>
      </c>
      <c r="BQ124" s="236">
        <f t="shared" si="102"/>
        <v>0</v>
      </c>
      <c r="BR124" s="236">
        <f t="shared" si="103"/>
        <v>0</v>
      </c>
      <c r="BS124" s="236">
        <f t="shared" si="104"/>
        <v>23</v>
      </c>
      <c r="BT124" s="236">
        <f t="shared" si="105"/>
        <v>0</v>
      </c>
      <c r="BU124" s="236">
        <f t="shared" si="106"/>
        <v>0</v>
      </c>
      <c r="BV124" s="236">
        <f t="shared" si="107"/>
        <v>50</v>
      </c>
      <c r="BW124" s="236">
        <f t="shared" si="87"/>
        <v>0</v>
      </c>
      <c r="BX124" s="236">
        <f t="shared" si="88"/>
        <v>0</v>
      </c>
      <c r="BY124" s="236">
        <f t="shared" si="89"/>
        <v>1</v>
      </c>
      <c r="BZ124" s="236"/>
      <c r="CA124" s="275" t="s">
        <v>191</v>
      </c>
      <c r="CB124" s="272" t="str">
        <f t="shared" si="108"/>
        <v>N/A</v>
      </c>
      <c r="CC124" s="272" t="str">
        <f t="shared" si="109"/>
        <v>N/A</v>
      </c>
      <c r="CD124" s="272" t="str">
        <f t="shared" si="110"/>
        <v xml:space="preserve">Al corte del 31 de marzo de 2025 en la entidad se expidieron 1927 resoluciones las cuales ingresaron en su totalidad al Grupo de Gestion de Notificaciones y Comunicaciones, se gestionaron 1869, dejando en trámite 52 actos administrativos en su gran mayoría expedidos en los últimos días del mes y los cuales por distintos tramites se encuentra en gestion al corte del mes de este reporte. 
</v>
      </c>
      <c r="CE124" s="284" t="str">
        <f t="shared" si="111"/>
        <v>N/A</v>
      </c>
      <c r="CF124" s="284" t="str">
        <f t="shared" si="112"/>
        <v>N/A</v>
      </c>
      <c r="CG124" s="284" t="str">
        <f t="shared" si="113"/>
        <v>N/A</v>
      </c>
      <c r="CH124" s="272" t="str">
        <f t="shared" si="114"/>
        <v>N/A</v>
      </c>
      <c r="CI124" s="211" t="str">
        <f t="shared" si="115"/>
        <v>N/A</v>
      </c>
      <c r="CJ124" s="211" t="str">
        <f t="shared" si="116"/>
        <v>N/A</v>
      </c>
      <c r="CK124" s="211" t="str">
        <f t="shared" si="117"/>
        <v>N/A</v>
      </c>
      <c r="CL124" s="211" t="str">
        <f t="shared" si="118"/>
        <v>N/A</v>
      </c>
      <c r="CM124" s="211" t="str">
        <f t="shared" si="119"/>
        <v>N/A</v>
      </c>
      <c r="CO124" s="211" t="s">
        <v>152</v>
      </c>
      <c r="CP124" s="211" t="s">
        <v>143</v>
      </c>
      <c r="CQ124" s="211" t="s">
        <v>556</v>
      </c>
      <c r="CR124" s="211" t="s">
        <v>668</v>
      </c>
      <c r="CS124" s="211" t="s">
        <v>671</v>
      </c>
      <c r="CT124" s="211" t="s">
        <v>556</v>
      </c>
      <c r="CU124" s="211" t="str">
        <f t="shared" si="72"/>
        <v>N/A</v>
      </c>
      <c r="CV124" s="211" t="str">
        <f t="shared" si="73"/>
        <v>N/A</v>
      </c>
      <c r="CW124" s="211" t="str">
        <f t="shared" si="74"/>
        <v>N/A</v>
      </c>
      <c r="CX124" s="211" t="str">
        <f t="shared" si="75"/>
        <v>N/A</v>
      </c>
      <c r="CY124" s="211" t="str">
        <f t="shared" si="76"/>
        <v>N/A</v>
      </c>
      <c r="CZ124" s="211" t="str">
        <f t="shared" si="77"/>
        <v xml:space="preserve">​Se cumple con el numero de socializaciones de las funciones y actuvidades de la DFJC a los actores del SGSSS establecidas para el semestre , se anexan los informes , certificaciones y evidencias de asistencia tanto de los funcinarios como los actores del SGSSS. 
</v>
      </c>
      <c r="DA124" s="211" t="str">
        <f t="shared" si="78"/>
        <v>N/A</v>
      </c>
      <c r="DB124" s="211" t="str">
        <f t="shared" si="79"/>
        <v>N/A</v>
      </c>
      <c r="DC124" s="211" t="str">
        <f t="shared" si="80"/>
        <v>N/A</v>
      </c>
      <c r="DD124" s="211" t="str">
        <f t="shared" si="81"/>
        <v>N/A</v>
      </c>
      <c r="DE124" s="211" t="str">
        <f t="shared" si="82"/>
        <v>N/A</v>
      </c>
      <c r="DF124" s="211" t="str">
        <f t="shared" si="83"/>
        <v>N/A</v>
      </c>
    </row>
    <row r="125" spans="1:110" s="211" customFormat="1" ht="306">
      <c r="A125" s="348" t="s">
        <v>271</v>
      </c>
      <c r="B125" s="211" t="s">
        <v>143</v>
      </c>
      <c r="C125" s="211" t="s">
        <v>225</v>
      </c>
      <c r="D125" s="211" t="s">
        <v>293</v>
      </c>
      <c r="E125" s="211" t="s">
        <v>294</v>
      </c>
      <c r="F125" s="348" t="s">
        <v>295</v>
      </c>
      <c r="G125" s="211" t="s">
        <v>157</v>
      </c>
      <c r="H125" s="211">
        <v>5</v>
      </c>
      <c r="I125" s="323">
        <v>16</v>
      </c>
      <c r="J125" s="323">
        <v>5</v>
      </c>
      <c r="K125" s="288">
        <v>3.2</v>
      </c>
      <c r="L125" s="211" t="s">
        <v>2987</v>
      </c>
      <c r="M125" s="211" t="b">
        <v>1</v>
      </c>
      <c r="N125" s="211" t="s">
        <v>791</v>
      </c>
      <c r="O125" s="209" t="s">
        <v>2832</v>
      </c>
      <c r="P125" s="211" t="s">
        <v>159</v>
      </c>
      <c r="Q125" s="211" t="s">
        <v>160</v>
      </c>
      <c r="T125" s="236" t="s">
        <v>658</v>
      </c>
      <c r="U125" s="269"/>
      <c r="V125" s="269"/>
      <c r="W125" s="269"/>
      <c r="X125" s="269"/>
      <c r="Y125" s="269"/>
      <c r="Z125" s="269">
        <v>1</v>
      </c>
      <c r="AA125" s="269"/>
      <c r="AB125" s="269"/>
      <c r="AC125" s="269"/>
      <c r="AD125" s="269"/>
      <c r="AE125" s="269"/>
      <c r="AF125" s="269">
        <v>1</v>
      </c>
      <c r="AG125" s="269">
        <v>2</v>
      </c>
      <c r="AH125"/>
      <c r="AI125"/>
      <c r="AJ125" s="236" t="s">
        <v>658</v>
      </c>
      <c r="AK125" s="269"/>
      <c r="AL125" s="269"/>
      <c r="AM125" s="269"/>
      <c r="AN125" s="269"/>
      <c r="AO125" s="269"/>
      <c r="AP125" s="269">
        <v>1</v>
      </c>
      <c r="AQ125" s="269"/>
      <c r="AR125" s="269"/>
      <c r="AS125" s="269"/>
      <c r="AT125" s="269"/>
      <c r="AU125" s="269"/>
      <c r="AV125" s="269">
        <v>1</v>
      </c>
      <c r="AW125" s="269">
        <v>2</v>
      </c>
      <c r="BA125" s="239" t="s">
        <v>568</v>
      </c>
      <c r="BB125" s="240">
        <f t="shared" si="90"/>
        <v>0</v>
      </c>
      <c r="BC125" s="240">
        <f t="shared" si="91"/>
        <v>0</v>
      </c>
      <c r="BD125" s="240">
        <f t="shared" si="92"/>
        <v>0</v>
      </c>
      <c r="BE125" s="240">
        <f t="shared" si="93"/>
        <v>4</v>
      </c>
      <c r="BF125" s="240">
        <f t="shared" si="94"/>
        <v>0</v>
      </c>
      <c r="BG125" s="240">
        <f t="shared" si="95"/>
        <v>0</v>
      </c>
      <c r="BH125" s="240">
        <f t="shared" si="96"/>
        <v>0</v>
      </c>
      <c r="BI125" s="240">
        <f t="shared" si="97"/>
        <v>5</v>
      </c>
      <c r="BJ125" s="240">
        <f t="shared" si="98"/>
        <v>0</v>
      </c>
      <c r="BK125" s="240">
        <f t="shared" si="84"/>
        <v>0</v>
      </c>
      <c r="BL125" s="240">
        <f t="shared" si="85"/>
        <v>0</v>
      </c>
      <c r="BM125" s="240">
        <f t="shared" si="86"/>
        <v>8</v>
      </c>
      <c r="BN125" s="211">
        <f t="shared" si="99"/>
        <v>0</v>
      </c>
      <c r="BO125" s="236">
        <f t="shared" si="100"/>
        <v>0</v>
      </c>
      <c r="BP125" s="236">
        <f t="shared" si="101"/>
        <v>0</v>
      </c>
      <c r="BQ125" s="236">
        <f t="shared" si="102"/>
        <v>4</v>
      </c>
      <c r="BR125" s="236">
        <f t="shared" si="103"/>
        <v>0</v>
      </c>
      <c r="BS125" s="236">
        <f t="shared" si="104"/>
        <v>0</v>
      </c>
      <c r="BT125" s="236">
        <f t="shared" si="105"/>
        <v>0</v>
      </c>
      <c r="BU125" s="236">
        <f t="shared" si="106"/>
        <v>4</v>
      </c>
      <c r="BV125" s="236">
        <f t="shared" si="107"/>
        <v>0</v>
      </c>
      <c r="BW125" s="236">
        <f t="shared" si="87"/>
        <v>0</v>
      </c>
      <c r="BX125" s="236">
        <f t="shared" si="88"/>
        <v>0</v>
      </c>
      <c r="BY125" s="236">
        <f t="shared" si="89"/>
        <v>3</v>
      </c>
      <c r="BZ125" s="236"/>
      <c r="CA125" s="275" t="s">
        <v>397</v>
      </c>
      <c r="CB125" s="272" t="str">
        <f t="shared" si="108"/>
        <v>N/A</v>
      </c>
      <c r="CC125" s="272" t="str">
        <f t="shared" si="109"/>
        <v>N/A</v>
      </c>
      <c r="CD125" s="272" t="str">
        <f t="shared" si="110"/>
        <v>N/A</v>
      </c>
      <c r="CE125" s="284" t="str">
        <f t="shared" si="111"/>
        <v>N/A</v>
      </c>
      <c r="CF125" s="284" t="str">
        <f t="shared" si="112"/>
        <v>N/A</v>
      </c>
      <c r="CG125" s="284" t="str">
        <f t="shared" si="113"/>
        <v xml:space="preserve">Entre las actividades realizadas para la sensibilización se solicitó a través de la dirección administrativa la creación y divulgación de una pieza grafica con información relacionada al formato DIFT05 por el cual los vigilados pueden autorizar la notificación electrónica de los actos administrativos tramitados por el grupo de gestión de notificación y comunicaciones de la dirección administrativa, se adjunta evidencia de la campaña ya realizada por correo institucional. 
</v>
      </c>
      <c r="CH125" s="272" t="str">
        <f t="shared" si="114"/>
        <v>N/A</v>
      </c>
      <c r="CI125" s="211" t="str">
        <f t="shared" si="115"/>
        <v>N/A</v>
      </c>
      <c r="CJ125" s="211" t="str">
        <f t="shared" si="116"/>
        <v>N/A</v>
      </c>
      <c r="CK125" s="211" t="str">
        <f t="shared" si="117"/>
        <v>N/A</v>
      </c>
      <c r="CL125" s="211" t="str">
        <f t="shared" si="118"/>
        <v>N/A</v>
      </c>
      <c r="CM125" s="211" t="str">
        <f t="shared" si="119"/>
        <v>N/A</v>
      </c>
      <c r="CO125" s="211" t="s">
        <v>271</v>
      </c>
      <c r="CP125" s="211" t="s">
        <v>143</v>
      </c>
      <c r="CQ125" s="211" t="s">
        <v>225</v>
      </c>
      <c r="CR125" s="211" t="s">
        <v>293</v>
      </c>
      <c r="CS125" s="211" t="s">
        <v>2987</v>
      </c>
      <c r="CT125" s="211" t="s">
        <v>225</v>
      </c>
      <c r="CU125" s="211" t="str">
        <f t="shared" si="72"/>
        <v>N/A</v>
      </c>
      <c r="CV125" s="211" t="str">
        <f t="shared" si="73"/>
        <v>N/A</v>
      </c>
      <c r="CW125" s="211" t="str">
        <f t="shared" si="74"/>
        <v>N/A</v>
      </c>
      <c r="CX125" s="211" t="str">
        <f t="shared" si="75"/>
        <v>N/A</v>
      </c>
      <c r="CY125" s="211" t="str">
        <f t="shared" si="76"/>
        <v>N/A</v>
      </c>
      <c r="CZ125" s="211" t="str">
        <f t="shared" si="77"/>
        <v xml:space="preserve">​En razón a la necesidad de avcanzar con el cierre de procesos de auditoría en curso, se efectuaron 16 seguimientos asi:
En abril: Belalcázar, Dosquebradas, Morales (Bolívar).
     En mayo: Dabeiba, Tunja, Puerto Boyacá
     En junio: Frontino, Pitalito
     Desde la Dirección Regional Occidental, se realizaron tres (3) seguimientos   a auditorías: El Dovio - Valle del Cauca, Timbiquí - Cauca y Florida - Valle   del Cauca. 
     Desde la Dirección de Generadores, Recaudadroes y Administradores de   Recursos del SGSSS, se relaizaron los siguientes seguimientos:
     * A las entidades territoriales de Santander, Meta y Chocó.
     * A los generadores de recursos de las loterías de Santander, Medellín y   Bogotá y a la Unidad de Licores del Meta.
     * Al recaudador y administrador de recursos Coljuegos.
</v>
      </c>
      <c r="DA125" s="211" t="str">
        <f t="shared" si="78"/>
        <v>N/A</v>
      </c>
      <c r="DB125" s="211" t="str">
        <f t="shared" si="79"/>
        <v>N/A</v>
      </c>
      <c r="DC125" s="211" t="str">
        <f t="shared" si="80"/>
        <v>N/A</v>
      </c>
      <c r="DD125" s="211" t="str">
        <f t="shared" si="81"/>
        <v>N/A</v>
      </c>
      <c r="DE125" s="211" t="str">
        <f t="shared" si="82"/>
        <v>N/A</v>
      </c>
      <c r="DF125" s="211" t="str">
        <f t="shared" si="83"/>
        <v>N/A</v>
      </c>
    </row>
    <row r="126" spans="1:110" s="211" customFormat="1" ht="409.5">
      <c r="A126" s="348" t="s">
        <v>271</v>
      </c>
      <c r="B126" s="211" t="s">
        <v>143</v>
      </c>
      <c r="C126" s="211" t="s">
        <v>289</v>
      </c>
      <c r="D126" s="211" t="s">
        <v>290</v>
      </c>
      <c r="E126" s="211" t="s">
        <v>291</v>
      </c>
      <c r="F126" s="348" t="s">
        <v>292</v>
      </c>
      <c r="G126" s="211" t="s">
        <v>157</v>
      </c>
      <c r="H126" s="211">
        <v>2</v>
      </c>
      <c r="I126" s="323">
        <v>4</v>
      </c>
      <c r="J126" s="323">
        <v>2</v>
      </c>
      <c r="K126" s="288">
        <v>2</v>
      </c>
      <c r="L126" s="211" t="s">
        <v>2801</v>
      </c>
      <c r="M126" s="211" t="b">
        <v>1</v>
      </c>
      <c r="N126" s="211" t="s">
        <v>790</v>
      </c>
      <c r="O126" s="209" t="s">
        <v>2832</v>
      </c>
      <c r="P126" s="211" t="s">
        <v>159</v>
      </c>
      <c r="Q126" s="211" t="s">
        <v>160</v>
      </c>
      <c r="T126" s="236" t="s">
        <v>1313</v>
      </c>
      <c r="U126" s="269"/>
      <c r="V126" s="269"/>
      <c r="W126" s="269"/>
      <c r="X126" s="269"/>
      <c r="Y126" s="269"/>
      <c r="Z126" s="269"/>
      <c r="AA126" s="269">
        <v>0.5</v>
      </c>
      <c r="AB126" s="269"/>
      <c r="AC126" s="269"/>
      <c r="AD126" s="269"/>
      <c r="AE126" s="269"/>
      <c r="AF126" s="269">
        <v>1</v>
      </c>
      <c r="AG126" s="269">
        <v>1.5</v>
      </c>
      <c r="AH126"/>
      <c r="AI126"/>
      <c r="AJ126" s="236" t="s">
        <v>1313</v>
      </c>
      <c r="AK126" s="269"/>
      <c r="AL126" s="269"/>
      <c r="AM126" s="269"/>
      <c r="AN126" s="269"/>
      <c r="AO126" s="269"/>
      <c r="AP126" s="269"/>
      <c r="AQ126" s="269">
        <v>1</v>
      </c>
      <c r="AR126" s="269"/>
      <c r="AS126" s="269"/>
      <c r="AT126" s="269"/>
      <c r="AU126" s="269"/>
      <c r="AV126" s="269">
        <v>1</v>
      </c>
      <c r="AW126" s="269">
        <v>2</v>
      </c>
      <c r="BA126" s="239" t="s">
        <v>301</v>
      </c>
      <c r="BB126" s="240">
        <f t="shared" si="90"/>
        <v>0</v>
      </c>
      <c r="BC126" s="240">
        <f t="shared" si="91"/>
        <v>0</v>
      </c>
      <c r="BD126" s="240">
        <f t="shared" si="92"/>
        <v>24</v>
      </c>
      <c r="BE126" s="240">
        <f t="shared" si="93"/>
        <v>0</v>
      </c>
      <c r="BF126" s="240">
        <f t="shared" si="94"/>
        <v>0</v>
      </c>
      <c r="BG126" s="240">
        <f t="shared" si="95"/>
        <v>20</v>
      </c>
      <c r="BH126" s="240">
        <f t="shared" si="96"/>
        <v>0</v>
      </c>
      <c r="BI126" s="240">
        <f t="shared" si="97"/>
        <v>0</v>
      </c>
      <c r="BJ126" s="240">
        <f t="shared" si="98"/>
        <v>21</v>
      </c>
      <c r="BK126" s="240">
        <f t="shared" si="84"/>
        <v>0</v>
      </c>
      <c r="BL126" s="240">
        <f t="shared" si="85"/>
        <v>0</v>
      </c>
      <c r="BM126" s="240">
        <f t="shared" si="86"/>
        <v>15</v>
      </c>
      <c r="BN126" s="211">
        <f t="shared" si="99"/>
        <v>0</v>
      </c>
      <c r="BO126" s="236">
        <f t="shared" si="100"/>
        <v>0</v>
      </c>
      <c r="BP126" s="236">
        <f t="shared" si="101"/>
        <v>20</v>
      </c>
      <c r="BQ126" s="236">
        <f t="shared" si="102"/>
        <v>0</v>
      </c>
      <c r="BR126" s="236">
        <f t="shared" si="103"/>
        <v>0</v>
      </c>
      <c r="BS126" s="236">
        <f t="shared" si="104"/>
        <v>20</v>
      </c>
      <c r="BT126" s="236">
        <f t="shared" si="105"/>
        <v>0</v>
      </c>
      <c r="BU126" s="236">
        <f t="shared" si="106"/>
        <v>0</v>
      </c>
      <c r="BV126" s="236">
        <f t="shared" si="107"/>
        <v>20</v>
      </c>
      <c r="BW126" s="236">
        <f t="shared" si="87"/>
        <v>0</v>
      </c>
      <c r="BX126" s="236">
        <f t="shared" si="88"/>
        <v>0</v>
      </c>
      <c r="BY126" s="236">
        <f t="shared" si="89"/>
        <v>20</v>
      </c>
      <c r="BZ126" s="236"/>
      <c r="CA126" s="275" t="s">
        <v>226</v>
      </c>
      <c r="CB126" s="272" t="str">
        <f t="shared" si="108"/>
        <v>N/A</v>
      </c>
      <c r="CC126" s="272" t="str">
        <f t="shared" si="109"/>
        <v>N/A</v>
      </c>
      <c r="CD126" s="272" t="str">
        <f t="shared" si="110"/>
        <v xml:space="preserve">​Se llevó a cabo el cumplimiento de las 4 actividades programadas para el primer trimestre de la siguiente manera:                                                                                                                                                Enero:
Actividad 1:
*Se envió el 4 de febrero de 2025 a través de correo electrónico institucional el Informe de la Ejecución Presupuestal a cada una de las Dependencias junto con los saldos de RP al corte de enero de 2025.
*Se realizó Mesa de trabajo el 6 de febrero de 2025 con los enlaces de las dependencias que tienen asignado recursos de funcionamiento e inversión en la vigencia 2025 abordar los siguientes temas:
1.Informar la Ejecución Presupuestal de la entidad y de las dependencias al 31 de Enero 2025
2.Informar la Ejecución de Tiquetes aéreos al 31 de Enero 2025
3.Reservas Presupuestales al 31 de Diciembre de 2024 (Ejecutar en 2025)
4.Lineamientos frente a trámites presupuestales
Febrero:
Actividad 2:
*Se envió el 3 de marzo de 2025 a través de correo electrónico institucional el Informe de la Ejecución Presupuestal a cada una de las Dependencias junto con los saldos de RP al corte de febrero de 2025.
*Se realizó Mesa de trabajo el 7 de marzo de 2025 con los enlaces de las dependencias que tienen asignado recursos de funcionamiento e inversión en la vigencia 2025 abordar los siguientes temas:
*Informar la Ejecución Presupuestal de la entidad y de las dependencias al 28 de Febrero 2025 
*Informar la Ejecución de Tiquetes aéreos al 28 de Febrero 2025 
*Reservas Presupuestales al 31 de Diciembre de 2024 (Ejecutadas en 2025) 
*Lineamientos frente a trámites presupuestales 
Marzo:
Actividad 3:
*Se envió el 2 de abril de 2025 a través de correo electrónico institucional el Informe de la Ejecución Presupuestal a cada una de las Dependencias junto con los saldos de RP al corte de marzo de 2025.
*Se realizó Mesa de trabajo el 7 de abril de 2025 con los enlaces de las dependencias que tienen asignado recursos de funcionamiento e inversión en la vigencia 2025 abordar los siguientes temas:
•Informar la Ejecución Presupuestal de la entidad y de las dependencias al 31 de marzo 2025
•Informar la Ejecución de Tiquetes aéreos al 31 de marzo 2025
•Reservas Presupuestales al 31 de diciembre de 2024 (Ejecutadas en 2025)
•Lineamientos frente a trámites presupuestales
Actividad 4:
Se realizó la primera capacitación a las dependencias que ejecutan el presupuesto sobre los procedimientos y trámites de gestión presupuestal en la cual se abordo temas como:
-Programación Presupuestal
-Ejecución Presupuestal (CDP, Registro Presupuestal, Reserva Presupuestal, (ezago Presupuestal)
-Traslados Presupuestales y Vigencias Futuras
-Seguimiento a la Ejecución Presupuestal
Se adjuntan carpetas con evidencias de las actividades realizadas.
</v>
      </c>
      <c r="CE126" s="284" t="str">
        <f t="shared" si="111"/>
        <v>N/A</v>
      </c>
      <c r="CF126" s="284" t="str">
        <f t="shared" si="112"/>
        <v>N/A</v>
      </c>
      <c r="CG126" s="284" t="str">
        <f t="shared" si="113"/>
        <v>N/A</v>
      </c>
      <c r="CH126" s="272" t="str">
        <f t="shared" si="114"/>
        <v>N/A</v>
      </c>
      <c r="CI126" s="211" t="str">
        <f t="shared" si="115"/>
        <v>N/A</v>
      </c>
      <c r="CJ126" s="211" t="str">
        <f t="shared" si="116"/>
        <v>N/A</v>
      </c>
      <c r="CK126" s="211" t="str">
        <f t="shared" si="117"/>
        <v>N/A</v>
      </c>
      <c r="CL126" s="211" t="str">
        <f t="shared" si="118"/>
        <v>N/A</v>
      </c>
      <c r="CM126" s="211" t="str">
        <f t="shared" si="119"/>
        <v>N/A</v>
      </c>
      <c r="CO126" s="211" t="s">
        <v>271</v>
      </c>
      <c r="CP126" s="211" t="s">
        <v>143</v>
      </c>
      <c r="CQ126" s="211" t="s">
        <v>289</v>
      </c>
      <c r="CR126" s="211" t="s">
        <v>290</v>
      </c>
      <c r="CS126" s="211" t="s">
        <v>2801</v>
      </c>
      <c r="CT126" s="211" t="s">
        <v>289</v>
      </c>
      <c r="CU126" s="211" t="str">
        <f t="shared" si="72"/>
        <v>N/A</v>
      </c>
      <c r="CV126" s="211" t="str">
        <f t="shared" si="73"/>
        <v>N/A</v>
      </c>
      <c r="CW126" s="211" t="str">
        <f t="shared" si="74"/>
        <v>N/A</v>
      </c>
      <c r="CX126" s="211" t="str">
        <f t="shared" si="75"/>
        <v>N/A</v>
      </c>
      <c r="CY126" s="211" t="str">
        <f t="shared" si="76"/>
        <v>N/A</v>
      </c>
      <c r="CZ126" s="211" t="str">
        <f t="shared" si="77"/>
        <v>Durante el periodo se activaron cuatro (4) redes de controladores, en razón a alertas en aalgunos territorios, por lo que se superó la meta programada, así:
1. El   16 de abril de 2025 a pedido del Procurador Regional y el defensor del Pueblo   Regional del Vichada, se realizó la activación de la Red de Controladores del   Sector Salud del departamento del Vichada, donde se trató la problemática de   desnutrición, desabastecimiento de medicamentos, referencia y   contrareferencia entre otros.
     2. Se llevo a cabo el 4 de junio del año en curso la activación de la Red   de Controladores del Sector Salud del departamento del Huila, la cual se   desarrolló para ver la problemática de salud del Departamento, y a su vez   para ver como estaban preparados para realizar las fiestas en una emergencia   de Fiebre Amarilla. Se revisaron los planes de contingencia presentados por   el CRUE.
     3. El 12 de junio de 2025 se activó la Red de Controladores del Sector   Salud del departamento del Putumayo, lo anterior debido a la cantidad de   casos de Epizootias y posibles casos de Fiebre Amarilla reportados por el   Instituto Nacional de Salud en el departamento.
     4. Con fecha 18 de junio se llevo a cabo la activación   de la Red de Controladores del Sector Salud del departamento de Bolívar, con   énfasis en la problemática presentada por la Caja de Previsión de la   Universidad de Cartagena. Se asistió con el acompañamiento de la delegatura   de DEAS.
     5. Entre el 25, 26 y 27 de junio se realizó el seguimiento a los   compromisos generados de la Red de Controladores del Sector Salud de los   departamentos del Eje Cafetero (Caldas, Quindío y Risaralda), donde se   citaron a las EPS intervenidas, con el fin de levantar un acta de compromisos   por parte de ellos y la Entidades Territoriales de cada departamento.</v>
      </c>
      <c r="DA126" s="211" t="str">
        <f t="shared" si="78"/>
        <v>N/A</v>
      </c>
      <c r="DB126" s="211" t="str">
        <f t="shared" si="79"/>
        <v>N/A</v>
      </c>
      <c r="DC126" s="211" t="str">
        <f t="shared" si="80"/>
        <v>N/A</v>
      </c>
      <c r="DD126" s="211" t="str">
        <f t="shared" si="81"/>
        <v>N/A</v>
      </c>
      <c r="DE126" s="211" t="str">
        <f t="shared" si="82"/>
        <v>N/A</v>
      </c>
      <c r="DF126" s="211" t="str">
        <f t="shared" si="83"/>
        <v>N/A</v>
      </c>
    </row>
    <row r="127" spans="1:110" s="211" customFormat="1" ht="409.5">
      <c r="A127" s="348" t="s">
        <v>271</v>
      </c>
      <c r="B127" s="211" t="s">
        <v>143</v>
      </c>
      <c r="C127" s="211" t="s">
        <v>272</v>
      </c>
      <c r="D127" s="211" t="s">
        <v>273</v>
      </c>
      <c r="E127" s="211" t="s">
        <v>274</v>
      </c>
      <c r="F127" s="348" t="s">
        <v>275</v>
      </c>
      <c r="G127" s="211" t="s">
        <v>178</v>
      </c>
      <c r="H127" s="211">
        <v>0.55000000000000004</v>
      </c>
      <c r="I127" s="323">
        <v>5</v>
      </c>
      <c r="J127" s="323">
        <v>9</v>
      </c>
      <c r="K127" s="288">
        <v>0.55555555555555602</v>
      </c>
      <c r="L127" s="211" t="s">
        <v>2988</v>
      </c>
      <c r="M127" s="211" t="b">
        <v>1</v>
      </c>
      <c r="N127" s="211" t="s">
        <v>786</v>
      </c>
      <c r="O127" s="209" t="s">
        <v>2832</v>
      </c>
      <c r="P127" s="211" t="s">
        <v>159</v>
      </c>
      <c r="Q127" s="211" t="s">
        <v>160</v>
      </c>
      <c r="T127" s="236" t="s">
        <v>1306</v>
      </c>
      <c r="U127" s="269"/>
      <c r="V127" s="269"/>
      <c r="W127" s="269"/>
      <c r="X127" s="269"/>
      <c r="Y127" s="269"/>
      <c r="Z127" s="269"/>
      <c r="AA127" s="269"/>
      <c r="AB127" s="269"/>
      <c r="AC127" s="269">
        <v>0.5</v>
      </c>
      <c r="AD127" s="269"/>
      <c r="AE127" s="269"/>
      <c r="AF127" s="269">
        <v>1</v>
      </c>
      <c r="AG127" s="269">
        <v>1.5</v>
      </c>
      <c r="AH127"/>
      <c r="AI127"/>
      <c r="AJ127" s="236" t="s">
        <v>1306</v>
      </c>
      <c r="AK127" s="269"/>
      <c r="AL127" s="269"/>
      <c r="AM127" s="269"/>
      <c r="AN127" s="269"/>
      <c r="AO127" s="269"/>
      <c r="AP127" s="269"/>
      <c r="AQ127" s="269"/>
      <c r="AR127" s="269"/>
      <c r="AS127" s="269">
        <v>1</v>
      </c>
      <c r="AT127" s="269"/>
      <c r="AU127" s="269"/>
      <c r="AV127" s="269">
        <v>1</v>
      </c>
      <c r="AW127" s="269">
        <v>2</v>
      </c>
      <c r="BA127" s="239" t="s">
        <v>307</v>
      </c>
      <c r="BB127" s="240">
        <f t="shared" si="90"/>
        <v>0</v>
      </c>
      <c r="BC127" s="240">
        <f t="shared" si="91"/>
        <v>0</v>
      </c>
      <c r="BD127" s="240">
        <f t="shared" si="92"/>
        <v>3</v>
      </c>
      <c r="BE127" s="240">
        <f t="shared" si="93"/>
        <v>6</v>
      </c>
      <c r="BF127" s="240">
        <f t="shared" si="94"/>
        <v>4</v>
      </c>
      <c r="BG127" s="240">
        <f t="shared" si="95"/>
        <v>2</v>
      </c>
      <c r="BH127" s="240">
        <f t="shared" si="96"/>
        <v>9</v>
      </c>
      <c r="BI127" s="240">
        <f t="shared" si="97"/>
        <v>0</v>
      </c>
      <c r="BJ127" s="240">
        <f t="shared" si="98"/>
        <v>0</v>
      </c>
      <c r="BK127" s="240">
        <f t="shared" si="84"/>
        <v>0</v>
      </c>
      <c r="BL127" s="240">
        <f t="shared" si="85"/>
        <v>17</v>
      </c>
      <c r="BM127" s="240">
        <f t="shared" si="86"/>
        <v>0</v>
      </c>
      <c r="BN127" s="211">
        <f t="shared" si="99"/>
        <v>0</v>
      </c>
      <c r="BO127" s="236">
        <f t="shared" si="100"/>
        <v>0</v>
      </c>
      <c r="BP127" s="236">
        <f t="shared" si="101"/>
        <v>3</v>
      </c>
      <c r="BQ127" s="236">
        <f t="shared" si="102"/>
        <v>6</v>
      </c>
      <c r="BR127" s="236">
        <f t="shared" si="103"/>
        <v>7</v>
      </c>
      <c r="BS127" s="236">
        <f t="shared" si="104"/>
        <v>7</v>
      </c>
      <c r="BT127" s="236">
        <f t="shared" si="105"/>
        <v>7</v>
      </c>
      <c r="BU127" s="236">
        <f t="shared" si="106"/>
        <v>0</v>
      </c>
      <c r="BV127" s="236">
        <f t="shared" si="107"/>
        <v>0</v>
      </c>
      <c r="BW127" s="236">
        <f t="shared" si="87"/>
        <v>0</v>
      </c>
      <c r="BX127" s="236">
        <f t="shared" si="88"/>
        <v>1</v>
      </c>
      <c r="BY127" s="236">
        <f t="shared" si="89"/>
        <v>2</v>
      </c>
      <c r="BZ127" s="236"/>
      <c r="CA127" s="275" t="s">
        <v>231</v>
      </c>
      <c r="CB127" s="272" t="str">
        <f t="shared" si="108"/>
        <v>N/A</v>
      </c>
      <c r="CC127" s="272" t="str">
        <f t="shared" si="109"/>
        <v>N/A</v>
      </c>
      <c r="CD127" s="272" t="str">
        <f t="shared" si="110"/>
        <v xml:space="preserve"> La apropiación asignada a la Superintendencia Nacional de Salud (SNS) para la vigencia 2025 ascendió a $326.211.744.691. De este total, se ejecutaron compromisos por la suma de $96.859.043.620, lo que representa el 29,7% de la apropiación. Este resultado es mayor al 20% al programado en los indicadores de gestión, significa que se cumple a satisfacción el indicador.
En cuanto a la ejecución presupuestal de los recursos de funcionamiento e inversión, se presenta lo siguiente:
• Recursos de funcionamiento: $67.687.413.848,64, lo que representa el 28,3% de la apropiación vigente de $239.012.900.000.
• Recursos de inversión: $29.171.629.771,44, equivalente al 33,5% de la apropiación vigente de $87.198.844.691
Es importante resaltar que la ejecución por obligaciones alcanzó los $49.670.956.864,92 lo que representa el 15,2%, y la ejecución por pagos fue de $49.626.084.256,92 equivalente al 15,2%.
</v>
      </c>
      <c r="CE127" s="284" t="str">
        <f t="shared" si="111"/>
        <v>N/A</v>
      </c>
      <c r="CF127" s="284" t="str">
        <f t="shared" si="112"/>
        <v>N/A</v>
      </c>
      <c r="CG127" s="284" t="str">
        <f t="shared" si="113"/>
        <v>N/A</v>
      </c>
      <c r="CH127" s="272" t="str">
        <f t="shared" si="114"/>
        <v>N/A</v>
      </c>
      <c r="CI127" s="211" t="str">
        <f t="shared" si="115"/>
        <v>N/A</v>
      </c>
      <c r="CJ127" s="211" t="str">
        <f t="shared" si="116"/>
        <v>N/A</v>
      </c>
      <c r="CK127" s="211" t="str">
        <f t="shared" si="117"/>
        <v>N/A</v>
      </c>
      <c r="CL127" s="211" t="str">
        <f t="shared" si="118"/>
        <v>N/A</v>
      </c>
      <c r="CM127" s="211" t="str">
        <f t="shared" si="119"/>
        <v>N/A</v>
      </c>
      <c r="CO127" s="211" t="s">
        <v>271</v>
      </c>
      <c r="CP127" s="211" t="s">
        <v>143</v>
      </c>
      <c r="CQ127" s="211" t="s">
        <v>272</v>
      </c>
      <c r="CR127" s="211" t="s">
        <v>273</v>
      </c>
      <c r="CS127" s="211" t="s">
        <v>2988</v>
      </c>
      <c r="CT127" s="211" t="s">
        <v>272</v>
      </c>
      <c r="CU127" s="211" t="str">
        <f t="shared" si="72"/>
        <v>N/A</v>
      </c>
      <c r="CV127" s="211" t="str">
        <f t="shared" si="73"/>
        <v>N/A</v>
      </c>
      <c r="CW127" s="211" t="str">
        <f t="shared" si="74"/>
        <v>N/A</v>
      </c>
      <c r="CX127" s="211" t="str">
        <f t="shared" si="75"/>
        <v>N/A</v>
      </c>
      <c r="CY127" s="211" t="str">
        <f t="shared" si="76"/>
        <v>N/A</v>
      </c>
      <c r="CZ127" s="211" t="str">
        <f t="shared" si="77"/>
        <v xml:space="preserve">Para   este primer trimestre se avanzó en la implementación de acciones con   prestadores de servicios de salud en las Direcciones Regionales.
     Sumando los 4 actores iniciales más el 100% del nuevo   actor (prestadores) y comparándolos con los 9 para el cuatrienio, se tiene un   alcance de 5 actores de 9 previstos, alcanzando el 55% programado para junio   de 2025, lo que además, representa un avance importante rumbo a la meta de   66% propuesta para 2025.
     El indicador representa un buen avance para el segundo trimestre, dado que   se vienen generando más acciones que dan cuenta de esta de este   abordaje.
     A continuación se relacionan las acciones adelantadas durante el trimestre,   asl cuales corresponden al monitoreo de referencia y contrareferencia en   coordinación con la Superintendencia Delegada para Prestadores de Servicios   de Salud:
     Dirección Regional Caribe:
     2/04/2025 - La Guajira - Maicao: Hospital San José de Maicao
     7/04/2025 - La Guajira - San Juan del Cesar: Hospital San Rafael de San   Juan Cesar
     28/05/2025 - Magdalena - Santa Marta: ESE   Alejandro Próspero Reverend
     25/06/2025 - Cesar - Valledupar: Hospital Eduardo Arrendondo Daza
     Dirección Regional Norte:
     1/04/2025 - Bolívar - Cartagena: 
     28/04/2025 - Sucre - Sincelejo: ESE Hospital Universitario de Sincelejo   Sucre
     26/05/2025 - Córdoba - Montería: ESE Hospital San Jeronimo de   Montería
     Dirección Regional Occidental: 
     21/05/2025 - Cauca - Popayán: 
     Dirección Regional Sur:
     19/06/2025 - Ibague - Tolima: Hospital Federico   LLeras
     26/06/2025 - Ibague - Tolima: Hospital Federico Lleras
     Se precisa que fue emitida el el 13 de mayo de 2025 fue emitida la Circular   interna 2025500000000007-4 de 2025, bajo la cual se imparten instrucciones   para mejorar la capacidad resolutiva de las Direcciones Regionales de la   Superintendencia Nacional de Salud. En esta circular, se definen acciones   dirigidas a los sujetos vigilados de la SNS y que podrán ser adelantadas por   las Direcciones Regionales, en articulación y coordinación con el nivel   central. Esto favorece ampliar el campo de acción en territorio.
</v>
      </c>
      <c r="DA127" s="211" t="str">
        <f t="shared" si="78"/>
        <v>N/A</v>
      </c>
      <c r="DB127" s="211" t="str">
        <f t="shared" si="79"/>
        <v>N/A</v>
      </c>
      <c r="DC127" s="211" t="str">
        <f t="shared" si="80"/>
        <v>N/A</v>
      </c>
      <c r="DD127" s="211" t="str">
        <f t="shared" si="81"/>
        <v>N/A</v>
      </c>
      <c r="DE127" s="211" t="str">
        <f t="shared" si="82"/>
        <v>N/A</v>
      </c>
      <c r="DF127" s="211" t="str">
        <f t="shared" si="83"/>
        <v>N/A</v>
      </c>
    </row>
    <row r="128" spans="1:110" s="211" customFormat="1" ht="409.5">
      <c r="A128" s="348" t="s">
        <v>271</v>
      </c>
      <c r="B128" s="211" t="s">
        <v>143</v>
      </c>
      <c r="C128" s="211" t="s">
        <v>284</v>
      </c>
      <c r="D128" s="211" t="s">
        <v>285</v>
      </c>
      <c r="E128" s="211" t="s">
        <v>286</v>
      </c>
      <c r="F128" s="348" t="s">
        <v>287</v>
      </c>
      <c r="G128" s="211" t="s">
        <v>178</v>
      </c>
      <c r="H128" s="211">
        <v>1</v>
      </c>
      <c r="I128" s="323">
        <v>23</v>
      </c>
      <c r="J128" s="323">
        <v>23</v>
      </c>
      <c r="K128" s="288">
        <v>1</v>
      </c>
      <c r="L128" s="211" t="s">
        <v>2989</v>
      </c>
      <c r="M128" s="211" t="b">
        <v>1</v>
      </c>
      <c r="N128" s="211" t="s">
        <v>789</v>
      </c>
      <c r="O128" s="209" t="s">
        <v>2832</v>
      </c>
      <c r="P128" s="211" t="s">
        <v>159</v>
      </c>
      <c r="Q128" s="211" t="s">
        <v>160</v>
      </c>
      <c r="T128" s="236" t="s">
        <v>1245</v>
      </c>
      <c r="U128" s="269"/>
      <c r="V128" s="269"/>
      <c r="W128" s="269"/>
      <c r="X128" s="269"/>
      <c r="Y128" s="269"/>
      <c r="Z128" s="269"/>
      <c r="AA128" s="269"/>
      <c r="AB128" s="269"/>
      <c r="AC128" s="269">
        <v>1</v>
      </c>
      <c r="AD128" s="269"/>
      <c r="AE128" s="269"/>
      <c r="AF128" s="269"/>
      <c r="AG128" s="269">
        <v>1</v>
      </c>
      <c r="AH128"/>
      <c r="AI128"/>
      <c r="AJ128" s="236" t="s">
        <v>1245</v>
      </c>
      <c r="AK128" s="269"/>
      <c r="AL128" s="269"/>
      <c r="AM128" s="269"/>
      <c r="AN128" s="269"/>
      <c r="AO128" s="269"/>
      <c r="AP128" s="269"/>
      <c r="AQ128" s="269"/>
      <c r="AR128" s="269"/>
      <c r="AS128" s="269">
        <v>1</v>
      </c>
      <c r="AT128" s="269"/>
      <c r="AU128" s="269"/>
      <c r="AV128" s="269"/>
      <c r="AW128" s="269">
        <v>1</v>
      </c>
      <c r="BA128" s="239" t="s">
        <v>649</v>
      </c>
      <c r="BB128" s="240">
        <f t="shared" si="90"/>
        <v>0</v>
      </c>
      <c r="BC128" s="240">
        <f t="shared" si="91"/>
        <v>0</v>
      </c>
      <c r="BD128" s="240">
        <f t="shared" si="92"/>
        <v>0</v>
      </c>
      <c r="BE128" s="240">
        <f t="shared" si="93"/>
        <v>0</v>
      </c>
      <c r="BF128" s="240">
        <f t="shared" si="94"/>
        <v>0</v>
      </c>
      <c r="BG128" s="240">
        <f t="shared" si="95"/>
        <v>1</v>
      </c>
      <c r="BH128" s="240">
        <f t="shared" si="96"/>
        <v>0</v>
      </c>
      <c r="BI128" s="240">
        <f t="shared" si="97"/>
        <v>0</v>
      </c>
      <c r="BJ128" s="240">
        <f t="shared" si="98"/>
        <v>0</v>
      </c>
      <c r="BK128" s="240">
        <f t="shared" si="84"/>
        <v>0</v>
      </c>
      <c r="BL128" s="240">
        <f t="shared" si="85"/>
        <v>0</v>
      </c>
      <c r="BM128" s="240">
        <f t="shared" si="86"/>
        <v>1</v>
      </c>
      <c r="BN128" s="211">
        <f t="shared" si="99"/>
        <v>0</v>
      </c>
      <c r="BO128" s="236">
        <f t="shared" si="100"/>
        <v>0</v>
      </c>
      <c r="BP128" s="236">
        <f t="shared" si="101"/>
        <v>0</v>
      </c>
      <c r="BQ128" s="236">
        <f t="shared" si="102"/>
        <v>0</v>
      </c>
      <c r="BR128" s="236">
        <f t="shared" si="103"/>
        <v>0</v>
      </c>
      <c r="BS128" s="236">
        <f t="shared" si="104"/>
        <v>1</v>
      </c>
      <c r="BT128" s="236">
        <f t="shared" si="105"/>
        <v>0</v>
      </c>
      <c r="BU128" s="236">
        <f t="shared" si="106"/>
        <v>0</v>
      </c>
      <c r="BV128" s="236">
        <f t="shared" si="107"/>
        <v>0</v>
      </c>
      <c r="BW128" s="236">
        <f t="shared" si="87"/>
        <v>0</v>
      </c>
      <c r="BX128" s="236">
        <f t="shared" si="88"/>
        <v>0</v>
      </c>
      <c r="BY128" s="236">
        <f t="shared" si="89"/>
        <v>1</v>
      </c>
      <c r="BZ128" s="236"/>
      <c r="CA128" s="275" t="s">
        <v>216</v>
      </c>
      <c r="CB128" s="272" t="str">
        <f t="shared" si="108"/>
        <v>​Durante el mes de Enero, se gestionaron  42 cuentas que fueron radicadas en los tiempos estipulados de acuerdo con la Circular Interna 2022920020000026-4 de 2022,asi mismo, los documentos radicados despues del dia 25 calendario se tramitaron en el siguiente mes. Por lo cual, se cumplió con la meta del indicador del 100%, (42/42) habiendo gestionado la totalidad de las cuentas radicadas con un tiempo de gestión de 1,1 dias hábiles. Se adjunta base con relación de cuentas radicadas y gestionadas, asi como el reporte del indicador con la correspondiente gráfica.</v>
      </c>
      <c r="CC128" s="272" t="str">
        <f t="shared" si="109"/>
        <v>N/A</v>
      </c>
      <c r="CD128" s="272" t="str">
        <f t="shared" si="110"/>
        <v>N/A</v>
      </c>
      <c r="CE128" s="284" t="str">
        <f t="shared" si="111"/>
        <v>N/A</v>
      </c>
      <c r="CF128" s="284" t="str">
        <f t="shared" si="112"/>
        <v>N/A</v>
      </c>
      <c r="CG128" s="284" t="str">
        <f t="shared" si="113"/>
        <v>N/A</v>
      </c>
      <c r="CH128" s="272" t="str">
        <f t="shared" si="114"/>
        <v>N/A</v>
      </c>
      <c r="CI128" s="211" t="str">
        <f t="shared" si="115"/>
        <v>N/A</v>
      </c>
      <c r="CJ128" s="211" t="str">
        <f t="shared" si="116"/>
        <v>N/A</v>
      </c>
      <c r="CK128" s="211" t="str">
        <f t="shared" si="117"/>
        <v>N/A</v>
      </c>
      <c r="CL128" s="211" t="str">
        <f t="shared" si="118"/>
        <v>N/A</v>
      </c>
      <c r="CM128" s="211" t="str">
        <f t="shared" si="119"/>
        <v>N/A</v>
      </c>
      <c r="CO128" s="211" t="s">
        <v>271</v>
      </c>
      <c r="CP128" s="211" t="s">
        <v>143</v>
      </c>
      <c r="CQ128" s="211" t="s">
        <v>284</v>
      </c>
      <c r="CR128" s="211" t="s">
        <v>285</v>
      </c>
      <c r="CS128" s="211" t="s">
        <v>2989</v>
      </c>
      <c r="CT128" s="211" t="s">
        <v>284</v>
      </c>
      <c r="CU128" s="211" t="str">
        <f t="shared" si="72"/>
        <v>N/A</v>
      </c>
      <c r="CV128" s="211" t="str">
        <f t="shared" si="73"/>
        <v>N/A</v>
      </c>
      <c r="CW128" s="211" t="str">
        <f t="shared" si="74"/>
        <v>N/A</v>
      </c>
      <c r="CX128" s="211" t="str">
        <f t="shared" si="75"/>
        <v>N/A</v>
      </c>
      <c r="CY128" s="211" t="str">
        <f t="shared" si="76"/>
        <v>N/A</v>
      </c>
      <c r="CZ128" s="211" t="str">
        <f t="shared" si="77"/>
        <v>Se   realiza informe de seguimiento a las alertas generadas en las acciones de   Inspección y Vigilancia a Generadores, Recaudadores y Administradores de   recursos del SGSSS.
     En el informe, frente a cada alerta que se encuentra abierta, se relacionan   las acciones que se han realizado para su seguimiento o supervisión.
     Puede evidenciarse que para cada una de las 23 alertas   encontradas hay acciones de supervisión o   seguimiento generadas, es decir, se tiene el 100% de cumplimiento.
     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
     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v>
      </c>
      <c r="DA128" s="211" t="str">
        <f t="shared" si="78"/>
        <v>N/A</v>
      </c>
      <c r="DB128" s="211" t="str">
        <f t="shared" si="79"/>
        <v>N/A</v>
      </c>
      <c r="DC128" s="211" t="str">
        <f t="shared" si="80"/>
        <v>N/A</v>
      </c>
      <c r="DD128" s="211" t="str">
        <f t="shared" si="81"/>
        <v>N/A</v>
      </c>
      <c r="DE128" s="211" t="str">
        <f t="shared" si="82"/>
        <v>N/A</v>
      </c>
      <c r="DF128" s="211" t="str">
        <f t="shared" si="83"/>
        <v>N/A</v>
      </c>
    </row>
    <row r="129" spans="1:110" s="211" customFormat="1" ht="210">
      <c r="A129" s="348" t="s">
        <v>271</v>
      </c>
      <c r="B129" s="211" t="s">
        <v>143</v>
      </c>
      <c r="C129" s="211" t="s">
        <v>296</v>
      </c>
      <c r="D129" s="211" t="s">
        <v>297</v>
      </c>
      <c r="E129" s="211" t="s">
        <v>298</v>
      </c>
      <c r="F129" s="348" t="s">
        <v>299</v>
      </c>
      <c r="G129" s="211" t="s">
        <v>157</v>
      </c>
      <c r="H129" s="211">
        <v>8</v>
      </c>
      <c r="I129" s="323">
        <v>8</v>
      </c>
      <c r="J129" s="323">
        <v>8</v>
      </c>
      <c r="K129" s="288">
        <v>1</v>
      </c>
      <c r="L129" s="211" t="s">
        <v>2990</v>
      </c>
      <c r="M129" s="211" t="b">
        <v>1</v>
      </c>
      <c r="N129" s="211" t="s">
        <v>792</v>
      </c>
      <c r="O129" s="209" t="s">
        <v>2832</v>
      </c>
      <c r="P129" s="211" t="s">
        <v>159</v>
      </c>
      <c r="Q129" s="211" t="s">
        <v>160</v>
      </c>
      <c r="T129" s="236" t="s">
        <v>1229</v>
      </c>
      <c r="U129" s="269"/>
      <c r="V129" s="269"/>
      <c r="W129" s="269"/>
      <c r="X129" s="269"/>
      <c r="Y129" s="269"/>
      <c r="Z129" s="269"/>
      <c r="AA129" s="269"/>
      <c r="AB129" s="269">
        <v>100</v>
      </c>
      <c r="AC129" s="269"/>
      <c r="AD129" s="269"/>
      <c r="AE129" s="269"/>
      <c r="AF129" s="269"/>
      <c r="AG129" s="269">
        <v>100</v>
      </c>
      <c r="AH129"/>
      <c r="AI129"/>
      <c r="AJ129" s="236" t="s">
        <v>1229</v>
      </c>
      <c r="AK129" s="269"/>
      <c r="AL129" s="269"/>
      <c r="AM129" s="269"/>
      <c r="AN129" s="269"/>
      <c r="AO129" s="269"/>
      <c r="AP129" s="269"/>
      <c r="AQ129" s="269"/>
      <c r="AR129" s="269">
        <v>100</v>
      </c>
      <c r="AS129" s="269"/>
      <c r="AT129" s="269"/>
      <c r="AU129" s="269"/>
      <c r="AV129" s="269"/>
      <c r="AW129" s="269">
        <v>100</v>
      </c>
      <c r="BA129" s="239" t="s">
        <v>651</v>
      </c>
      <c r="BB129" s="240">
        <f t="shared" si="90"/>
        <v>0</v>
      </c>
      <c r="BC129" s="240">
        <f t="shared" si="91"/>
        <v>0</v>
      </c>
      <c r="BD129" s="240">
        <f t="shared" si="92"/>
        <v>0</v>
      </c>
      <c r="BE129" s="240">
        <f t="shared" si="93"/>
        <v>0</v>
      </c>
      <c r="BF129" s="240">
        <f t="shared" si="94"/>
        <v>0</v>
      </c>
      <c r="BG129" s="240">
        <f t="shared" si="95"/>
        <v>10</v>
      </c>
      <c r="BH129" s="240">
        <f t="shared" si="96"/>
        <v>0</v>
      </c>
      <c r="BI129" s="240">
        <f t="shared" si="97"/>
        <v>0</v>
      </c>
      <c r="BJ129" s="240">
        <f t="shared" si="98"/>
        <v>0</v>
      </c>
      <c r="BK129" s="240">
        <f t="shared" si="84"/>
        <v>0</v>
      </c>
      <c r="BL129" s="240">
        <f t="shared" si="85"/>
        <v>0</v>
      </c>
      <c r="BM129" s="240">
        <f t="shared" si="86"/>
        <v>7</v>
      </c>
      <c r="BN129" s="211">
        <f t="shared" si="99"/>
        <v>0</v>
      </c>
      <c r="BO129" s="236">
        <f t="shared" si="100"/>
        <v>0</v>
      </c>
      <c r="BP129" s="236">
        <f t="shared" si="101"/>
        <v>0</v>
      </c>
      <c r="BQ129" s="236">
        <f t="shared" si="102"/>
        <v>0</v>
      </c>
      <c r="BR129" s="236">
        <f t="shared" si="103"/>
        <v>0</v>
      </c>
      <c r="BS129" s="236">
        <f t="shared" si="104"/>
        <v>10</v>
      </c>
      <c r="BT129" s="236">
        <f t="shared" si="105"/>
        <v>0</v>
      </c>
      <c r="BU129" s="236">
        <f t="shared" si="106"/>
        <v>0</v>
      </c>
      <c r="BV129" s="236">
        <f t="shared" si="107"/>
        <v>0</v>
      </c>
      <c r="BW129" s="236">
        <f t="shared" si="87"/>
        <v>0</v>
      </c>
      <c r="BX129" s="236">
        <f t="shared" si="88"/>
        <v>0</v>
      </c>
      <c r="BY129" s="236">
        <f t="shared" si="89"/>
        <v>7</v>
      </c>
      <c r="BZ129" s="236"/>
      <c r="CA129" s="275" t="s">
        <v>459</v>
      </c>
      <c r="CB129" s="272" t="str">
        <f t="shared" si="108"/>
        <v>N/A</v>
      </c>
      <c r="CC129" s="272" t="str">
        <f t="shared" si="109"/>
        <v>N/A</v>
      </c>
      <c r="CD129" s="272" t="str">
        <f t="shared" si="110"/>
        <v>N/A</v>
      </c>
      <c r="CE129" s="284" t="str">
        <f t="shared" si="111"/>
        <v xml:space="preserve">​Teniendo en cuenta el indicador Plan Anual de Gestión (PAG) correspondiente al Grupo de Cobro Persuasivo y Jurisdicción Coactiva de cara a resolver en el término establecido por la Ley excepciones a Mandamientos de Pago y Facilidades de pago, cuya solicitud cumpla con las condiciones establecidas, se entiende que durante el primer cuatrimestre del año 2025, se recibieron 6 facilidades de pago y 5 excepciones a mandamiento de pago, todas estas solicitudes cumplían con las condiciones necesarias para iniciar el trámite correspondiente, por lo que las 11 fueron atendidas dentro del plazo legal, alcanzando así un cumplimiento del 100%. 
</v>
      </c>
      <c r="CF129" s="284" t="str">
        <f t="shared" si="112"/>
        <v>N/A</v>
      </c>
      <c r="CG129" s="284" t="str">
        <f t="shared" si="113"/>
        <v>N/A</v>
      </c>
      <c r="CH129" s="272" t="str">
        <f t="shared" si="114"/>
        <v>N/A</v>
      </c>
      <c r="CI129" s="211" t="str">
        <f t="shared" si="115"/>
        <v>N/A</v>
      </c>
      <c r="CJ129" s="211" t="str">
        <f t="shared" si="116"/>
        <v>N/A</v>
      </c>
      <c r="CK129" s="211" t="str">
        <f t="shared" si="117"/>
        <v>N/A</v>
      </c>
      <c r="CL129" s="211" t="str">
        <f t="shared" si="118"/>
        <v>N/A</v>
      </c>
      <c r="CM129" s="211" t="str">
        <f t="shared" si="119"/>
        <v>N/A</v>
      </c>
      <c r="CO129" s="211" t="s">
        <v>271</v>
      </c>
      <c r="CP129" s="211" t="s">
        <v>143</v>
      </c>
      <c r="CQ129" s="211" t="s">
        <v>296</v>
      </c>
      <c r="CR129" s="211" t="s">
        <v>297</v>
      </c>
      <c r="CS129" s="211" t="s">
        <v>2990</v>
      </c>
      <c r="CT129" s="211" t="s">
        <v>296</v>
      </c>
      <c r="CU129" s="211" t="str">
        <f t="shared" si="72"/>
        <v>N/A</v>
      </c>
      <c r="CV129" s="211" t="str">
        <f t="shared" si="73"/>
        <v>N/A</v>
      </c>
      <c r="CW129" s="211" t="str">
        <f t="shared" si="74"/>
        <v>N/A</v>
      </c>
      <c r="CX129" s="211" t="str">
        <f t="shared" si="75"/>
        <v>N/A</v>
      </c>
      <c r="CY129" s="211" t="str">
        <f t="shared" si="76"/>
        <v>N/A</v>
      </c>
      <c r="CZ129" s="211" t="str">
        <f t="shared" si="77"/>
        <v>En el   marco de la estrategia de Plan Padrino / madrina, se realizaron 7   seguimientos a las siguientes sedes regionales:
     1. Dirección Regional Andina
     2. Dirección Regional Caribe
     3. Dirección Regional Chocó
     4. Dirección Regional Norte
     5. Dirección Regional Occidental
     6. Dirección Regional Orinoquía
     7. Sede Agualongo
     8. Sede Insular</v>
      </c>
      <c r="DA129" s="211" t="str">
        <f t="shared" si="78"/>
        <v>N/A</v>
      </c>
      <c r="DB129" s="211" t="str">
        <f t="shared" si="79"/>
        <v>N/A</v>
      </c>
      <c r="DC129" s="211" t="str">
        <f t="shared" si="80"/>
        <v>N/A</v>
      </c>
      <c r="DD129" s="211" t="str">
        <f t="shared" si="81"/>
        <v>N/A</v>
      </c>
      <c r="DE129" s="211" t="str">
        <f t="shared" si="82"/>
        <v>N/A</v>
      </c>
      <c r="DF129" s="211" t="str">
        <f t="shared" si="83"/>
        <v>N/A</v>
      </c>
    </row>
    <row r="130" spans="1:110" s="211" customFormat="1" ht="409.5">
      <c r="A130" s="348" t="s">
        <v>271</v>
      </c>
      <c r="B130" s="211" t="s">
        <v>143</v>
      </c>
      <c r="C130" s="211" t="s">
        <v>278</v>
      </c>
      <c r="D130" s="211" t="s">
        <v>787</v>
      </c>
      <c r="E130" s="211" t="s">
        <v>280</v>
      </c>
      <c r="F130" s="348" t="s">
        <v>281</v>
      </c>
      <c r="G130" s="211" t="s">
        <v>178</v>
      </c>
      <c r="H130" s="211">
        <v>1</v>
      </c>
      <c r="I130" s="323">
        <v>23</v>
      </c>
      <c r="J130" s="323">
        <v>23</v>
      </c>
      <c r="K130" s="288">
        <v>1</v>
      </c>
      <c r="L130" s="211" t="s">
        <v>2991</v>
      </c>
      <c r="M130" s="211" t="b">
        <v>1</v>
      </c>
      <c r="N130" s="211" t="s">
        <v>788</v>
      </c>
      <c r="O130" s="209" t="s">
        <v>2832</v>
      </c>
      <c r="P130" s="211" t="s">
        <v>159</v>
      </c>
      <c r="Q130" s="211" t="s">
        <v>160</v>
      </c>
      <c r="T130" s="236" t="s">
        <v>1218</v>
      </c>
      <c r="U130" s="269"/>
      <c r="V130" s="269"/>
      <c r="W130" s="269"/>
      <c r="X130" s="269"/>
      <c r="Y130" s="269"/>
      <c r="Z130" s="269"/>
      <c r="AA130" s="269"/>
      <c r="AB130" s="269"/>
      <c r="AC130" s="269">
        <v>13</v>
      </c>
      <c r="AD130" s="269"/>
      <c r="AE130" s="269"/>
      <c r="AF130" s="269">
        <v>68</v>
      </c>
      <c r="AG130" s="269">
        <v>81</v>
      </c>
      <c r="AH130"/>
      <c r="AI130"/>
      <c r="AJ130" s="236" t="s">
        <v>1218</v>
      </c>
      <c r="AK130" s="269"/>
      <c r="AL130" s="269"/>
      <c r="AM130" s="269"/>
      <c r="AN130" s="269"/>
      <c r="AO130" s="269"/>
      <c r="AP130" s="269"/>
      <c r="AQ130" s="269"/>
      <c r="AR130" s="269"/>
      <c r="AS130" s="269">
        <v>77</v>
      </c>
      <c r="AT130" s="269"/>
      <c r="AU130" s="269"/>
      <c r="AV130" s="269">
        <v>77</v>
      </c>
      <c r="AW130" s="269">
        <v>154</v>
      </c>
      <c r="BA130" s="239" t="s">
        <v>366</v>
      </c>
      <c r="BB130" s="240">
        <f t="shared" si="90"/>
        <v>0</v>
      </c>
      <c r="BC130" s="240">
        <f t="shared" si="91"/>
        <v>0</v>
      </c>
      <c r="BD130" s="240">
        <f t="shared" si="92"/>
        <v>12</v>
      </c>
      <c r="BE130" s="240">
        <f t="shared" si="93"/>
        <v>0</v>
      </c>
      <c r="BF130" s="240">
        <f t="shared" si="94"/>
        <v>0</v>
      </c>
      <c r="BG130" s="240">
        <f t="shared" si="95"/>
        <v>11</v>
      </c>
      <c r="BH130" s="240">
        <f t="shared" si="96"/>
        <v>0</v>
      </c>
      <c r="BI130" s="240">
        <f t="shared" si="97"/>
        <v>0</v>
      </c>
      <c r="BJ130" s="240">
        <f t="shared" si="98"/>
        <v>19</v>
      </c>
      <c r="BK130" s="240">
        <f t="shared" si="84"/>
        <v>0</v>
      </c>
      <c r="BL130" s="240">
        <f t="shared" si="85"/>
        <v>0</v>
      </c>
      <c r="BM130" s="240">
        <f t="shared" si="86"/>
        <v>5</v>
      </c>
      <c r="BN130" s="211">
        <f t="shared" si="99"/>
        <v>0</v>
      </c>
      <c r="BO130" s="236">
        <f t="shared" si="100"/>
        <v>0</v>
      </c>
      <c r="BP130" s="236">
        <f t="shared" si="101"/>
        <v>14</v>
      </c>
      <c r="BQ130" s="236">
        <f t="shared" si="102"/>
        <v>0</v>
      </c>
      <c r="BR130" s="236">
        <f t="shared" si="103"/>
        <v>0</v>
      </c>
      <c r="BS130" s="236">
        <f t="shared" si="104"/>
        <v>14</v>
      </c>
      <c r="BT130" s="236">
        <f t="shared" si="105"/>
        <v>0</v>
      </c>
      <c r="BU130" s="236">
        <f t="shared" si="106"/>
        <v>0</v>
      </c>
      <c r="BV130" s="236">
        <f t="shared" si="107"/>
        <v>21</v>
      </c>
      <c r="BW130" s="236">
        <f t="shared" si="87"/>
        <v>0</v>
      </c>
      <c r="BX130" s="236">
        <f t="shared" si="88"/>
        <v>0</v>
      </c>
      <c r="BY130" s="236">
        <f t="shared" si="89"/>
        <v>5</v>
      </c>
      <c r="BZ130" s="236"/>
      <c r="CA130" s="275" t="s">
        <v>465</v>
      </c>
      <c r="CB130" s="272" t="str">
        <f t="shared" si="108"/>
        <v>N/A</v>
      </c>
      <c r="CC130" s="272" t="str">
        <f t="shared" si="109"/>
        <v>N/A</v>
      </c>
      <c r="CD130" s="272" t="str">
        <f t="shared" si="110"/>
        <v>N/A</v>
      </c>
      <c r="CE130" s="284" t="str">
        <f t="shared" si="111"/>
        <v xml:space="preserve">​Durante el primer cuatrimestre de la vigencia 2025, se logró la conciliación de cartera con 8 entidades sin proceso concursal, enlistadas a continuación: Departamento del Cesar; Gobierno Departamental del Tolima; Municipio de Piedras; Empresa Social del Estado Hospital Sagrado Corazón; Dental Solution Limitada; Empresa Social del Estado Hospital San Juan de Dios Floridablanca; Municipio de Planeta Rica; Empresa Social del Estado Hospital de Ponedora. Logrando cumplir la meta del 100%.
</v>
      </c>
      <c r="CF130" s="284" t="str">
        <f t="shared" si="112"/>
        <v>N/A</v>
      </c>
      <c r="CG130" s="284" t="str">
        <f t="shared" si="113"/>
        <v>N/A</v>
      </c>
      <c r="CH130" s="272" t="str">
        <f t="shared" si="114"/>
        <v>N/A</v>
      </c>
      <c r="CI130" s="211" t="str">
        <f t="shared" si="115"/>
        <v>N/A</v>
      </c>
      <c r="CJ130" s="211" t="str">
        <f t="shared" si="116"/>
        <v>N/A</v>
      </c>
      <c r="CK130" s="211" t="str">
        <f t="shared" si="117"/>
        <v>N/A</v>
      </c>
      <c r="CL130" s="211" t="str">
        <f t="shared" si="118"/>
        <v>N/A</v>
      </c>
      <c r="CM130" s="211" t="str">
        <f t="shared" si="119"/>
        <v>N/A</v>
      </c>
      <c r="CO130" s="211" t="s">
        <v>271</v>
      </c>
      <c r="CP130" s="211" t="s">
        <v>143</v>
      </c>
      <c r="CQ130" s="211" t="s">
        <v>278</v>
      </c>
      <c r="CR130" s="211" t="s">
        <v>787</v>
      </c>
      <c r="CS130" s="211" t="s">
        <v>2991</v>
      </c>
      <c r="CT130" s="211" t="s">
        <v>278</v>
      </c>
      <c r="CU130" s="211" t="str">
        <f t="shared" si="72"/>
        <v>N/A</v>
      </c>
      <c r="CV130" s="211" t="str">
        <f t="shared" si="73"/>
        <v>N/A</v>
      </c>
      <c r="CW130" s="211" t="str">
        <f t="shared" si="74"/>
        <v>N/A</v>
      </c>
      <c r="CX130" s="211" t="str">
        <f t="shared" si="75"/>
        <v>N/A</v>
      </c>
      <c r="CY130" s="211" t="str">
        <f t="shared" si="76"/>
        <v>N/A</v>
      </c>
      <c r="CZ130" s="211" t="str">
        <f t="shared" si="77"/>
        <v>Durante   el segundo trimestre se abordaron un total de 23 nuevos territorios por parte   de las Direcciones Regionales, así:
     Dirección Regional Andina (5 nuevos territorios):   Se impactaron los territorios con mesas IV en Marmato y Neira en Caldas y   Guarne en Antioquia.
     Con Jornadas de Atención al usuario a Villa María y Filadelfia en   Caldas.
     Dirección Regional Norte (2 nuevos territorios): Se efectuó jornada de atención al usuario en los   corregimientos de Bayunca y La Boquilla en Cartagena.
     Dirección Regional Sur (4 nuevos territorios): Teniendo en cuenta la declaratoria de emergencia por fiebre   amarilla se realizaron mesas de IV en los municipios de Ataco, Coyaima,   Icononzo y Melgar (Tolima) con el fin, de garantizar que los municipios de   alto riesgo dieran cumplimiento a la reglamentación vigente en pro de   disminuir el indicadore del evento.
     Dirección Regional Nororiental (4 nuevos   territorios): 
     - JAU en el municipio de Chitagá, Norte de Santander el 08 de abril de   2025.
     - Mesa IV Sotaquirá, Boyacá el 05 y 06 de mayo de 2025.
     - Mesa IV Chitagá, Norte de Santander el 12 y 13 de mayo de 2025.
     - Mesa IV Chitaraque, Boyacá el 26 y 27 de junio de 2025.
     Dirección Regional Caribe (3 nuevos   territorios):
     - 1 mesa de IV en el Municipio de Gonzalez   -Cesar.
     - 2 Auditorias específicas en los municipios de Gamarra – Cesar y El Piñon   -Magdalena.
     Dirección Regional Occidental (5 nuevos   territorios):
     - Mesa de IV: Timbiquí Cauca, Piendamó Cauca,  López de Micay Cauca
     - Jornada de atención al usuario: Chachagüi Nariño
     - Acción Integral en el Territorio: Olaya Herrera Nariño</v>
      </c>
      <c r="DA130" s="211" t="str">
        <f t="shared" si="78"/>
        <v>N/A</v>
      </c>
      <c r="DB130" s="211" t="str">
        <f t="shared" si="79"/>
        <v>N/A</v>
      </c>
      <c r="DC130" s="211" t="str">
        <f t="shared" si="80"/>
        <v>N/A</v>
      </c>
      <c r="DD130" s="211" t="str">
        <f t="shared" si="81"/>
        <v>N/A</v>
      </c>
      <c r="DE130" s="211" t="str">
        <f t="shared" si="82"/>
        <v>N/A</v>
      </c>
      <c r="DF130" s="211" t="str">
        <f t="shared" si="83"/>
        <v>N/A</v>
      </c>
    </row>
    <row r="131" spans="1:110" s="211" customFormat="1" ht="390">
      <c r="A131" s="348" t="s">
        <v>271</v>
      </c>
      <c r="B131" s="211" t="s">
        <v>143</v>
      </c>
      <c r="C131" s="211" t="s">
        <v>301</v>
      </c>
      <c r="D131" s="211" t="s">
        <v>302</v>
      </c>
      <c r="E131" s="211" t="s">
        <v>303</v>
      </c>
      <c r="F131" s="348" t="s">
        <v>304</v>
      </c>
      <c r="G131" s="211" t="s">
        <v>157</v>
      </c>
      <c r="H131" s="211">
        <v>20</v>
      </c>
      <c r="I131" s="323">
        <v>20</v>
      </c>
      <c r="J131" s="323">
        <v>20</v>
      </c>
      <c r="K131" s="288">
        <v>1</v>
      </c>
      <c r="L131" s="211" t="s">
        <v>2992</v>
      </c>
      <c r="M131" s="211" t="b">
        <v>1</v>
      </c>
      <c r="N131" s="211" t="s">
        <v>793</v>
      </c>
      <c r="O131" s="209" t="s">
        <v>2832</v>
      </c>
      <c r="P131" s="211" t="s">
        <v>159</v>
      </c>
      <c r="Q131" s="211" t="s">
        <v>160</v>
      </c>
      <c r="T131" s="236" t="s">
        <v>1032</v>
      </c>
      <c r="U131" s="269"/>
      <c r="V131" s="269"/>
      <c r="W131" s="269"/>
      <c r="X131" s="269"/>
      <c r="Y131" s="269"/>
      <c r="Z131" s="269"/>
      <c r="AA131" s="269"/>
      <c r="AB131" s="269"/>
      <c r="AC131" s="269"/>
      <c r="AD131" s="269"/>
      <c r="AE131" s="269">
        <v>11</v>
      </c>
      <c r="AF131" s="269">
        <v>11</v>
      </c>
      <c r="AG131" s="269">
        <v>22</v>
      </c>
      <c r="AH131"/>
      <c r="AI131"/>
      <c r="AJ131" s="236" t="s">
        <v>1032</v>
      </c>
      <c r="AK131" s="269"/>
      <c r="AL131" s="269"/>
      <c r="AM131" s="269"/>
      <c r="AN131" s="269"/>
      <c r="AO131" s="269"/>
      <c r="AP131" s="269"/>
      <c r="AQ131" s="269"/>
      <c r="AR131" s="269"/>
      <c r="AS131" s="269"/>
      <c r="AT131" s="269"/>
      <c r="AU131" s="269">
        <v>11</v>
      </c>
      <c r="AV131" s="269">
        <v>11</v>
      </c>
      <c r="AW131" s="269">
        <v>22</v>
      </c>
      <c r="AZ131" s="211">
        <v>129</v>
      </c>
      <c r="BA131" s="239" t="s">
        <v>658</v>
      </c>
      <c r="BB131" s="240">
        <f t="shared" si="90"/>
        <v>0</v>
      </c>
      <c r="BC131" s="240">
        <f t="shared" si="91"/>
        <v>0</v>
      </c>
      <c r="BD131" s="240">
        <f t="shared" si="92"/>
        <v>0</v>
      </c>
      <c r="BE131" s="240">
        <f t="shared" si="93"/>
        <v>0</v>
      </c>
      <c r="BF131" s="240">
        <f t="shared" si="94"/>
        <v>0</v>
      </c>
      <c r="BG131" s="240">
        <f t="shared" si="95"/>
        <v>1</v>
      </c>
      <c r="BH131" s="240">
        <f t="shared" si="96"/>
        <v>0</v>
      </c>
      <c r="BI131" s="240">
        <f t="shared" si="97"/>
        <v>0</v>
      </c>
      <c r="BJ131" s="240">
        <f t="shared" si="98"/>
        <v>0</v>
      </c>
      <c r="BK131" s="240">
        <f t="shared" si="84"/>
        <v>0</v>
      </c>
      <c r="BL131" s="240">
        <f t="shared" si="85"/>
        <v>0</v>
      </c>
      <c r="BM131" s="240">
        <f t="shared" si="86"/>
        <v>1</v>
      </c>
      <c r="BN131" s="211">
        <f t="shared" si="99"/>
        <v>0</v>
      </c>
      <c r="BO131" s="236">
        <f t="shared" si="100"/>
        <v>0</v>
      </c>
      <c r="BP131" s="236">
        <f t="shared" si="101"/>
        <v>0</v>
      </c>
      <c r="BQ131" s="236">
        <f t="shared" si="102"/>
        <v>0</v>
      </c>
      <c r="BR131" s="236">
        <f t="shared" si="103"/>
        <v>0</v>
      </c>
      <c r="BS131" s="236">
        <f t="shared" si="104"/>
        <v>1</v>
      </c>
      <c r="BT131" s="236">
        <f t="shared" si="105"/>
        <v>0</v>
      </c>
      <c r="BU131" s="236">
        <f t="shared" si="106"/>
        <v>0</v>
      </c>
      <c r="BV131" s="236">
        <f t="shared" si="107"/>
        <v>0</v>
      </c>
      <c r="BW131" s="236">
        <f t="shared" si="87"/>
        <v>0</v>
      </c>
      <c r="BX131" s="236">
        <f t="shared" si="88"/>
        <v>0</v>
      </c>
      <c r="BY131" s="236">
        <f t="shared" si="89"/>
        <v>1</v>
      </c>
      <c r="BZ131" s="236"/>
      <c r="CA131" s="275" t="s">
        <v>453</v>
      </c>
      <c r="CB131" s="272" t="str">
        <f t="shared" ref="CB131" si="120">+VLOOKUP(CA131,CT:DF,2,FALSE)</f>
        <v>N/A</v>
      </c>
      <c r="CC131" s="272" t="str">
        <f t="shared" si="109"/>
        <v>N/A</v>
      </c>
      <c r="CD131" s="272" t="str">
        <f t="shared" si="110"/>
        <v>N/A</v>
      </c>
      <c r="CE131" s="284" t="str">
        <f t="shared" si="111"/>
        <v>N/A</v>
      </c>
      <c r="CF131" s="284" t="str">
        <f t="shared" si="112"/>
        <v>N/A</v>
      </c>
      <c r="CG131" s="284" t="str">
        <f t="shared" si="113"/>
        <v xml:space="preserve">​El Grupo de Cobro Persuasivo reporta el avance del recaudo hasta el mes de mayo de 2025 dado que  por los cierres financieros el archivo de recaudo lo envían los primeros 10 días hábiles del mes, y al reportarse el indicador PAG el 8 de julio, aún NO se tiene el mencionado informe. (Se anexa el detalle del recaudo hasta el mes de mayo) . Es importante aclarar que, de acuerdo con la formulación actual del  indicador la meta para la vigencia 2025 es igual a = $26.161.920.186, equivalente al 20% del valor total de cartera clasificada como cobrable con corte al cierre de la vigencia 2024 ($130.809.600.838)  y su proyección de metas durante la vigencia 2025, Junio 5% y Diciembre 15%, tomando como el 100% el valor de la meta $26.161.920.186 corresponden en realidad a proyección de metas Junio 25% ($ 6.540.480.042) y Diciembre 75% ($19.621.440.126). Por lo cual, durante este primer reporte, se ha superado la meta establecida, dado el resultado de $12.912.549.248, equivalente al 49,35% a corte del mes de Mayo.  Nota: Se debe realizar modificación en la fórmula del indicador, en el cual, se refleje como numerador el valor de recaudo del periodo / valor de recaudo establecido como meta, reflejando el avance.
</v>
      </c>
      <c r="CH131" s="272" t="str">
        <f t="shared" si="114"/>
        <v>N/A</v>
      </c>
      <c r="CI131" s="211" t="str">
        <f t="shared" si="115"/>
        <v>N/A</v>
      </c>
      <c r="CJ131" s="211" t="str">
        <f t="shared" si="116"/>
        <v>N/A</v>
      </c>
      <c r="CK131" s="211" t="str">
        <f t="shared" si="117"/>
        <v>N/A</v>
      </c>
      <c r="CL131" s="211" t="str">
        <f t="shared" si="118"/>
        <v>N/A</v>
      </c>
      <c r="CM131" s="211" t="str">
        <f t="shared" si="119"/>
        <v>N/A</v>
      </c>
      <c r="CO131" s="211" t="s">
        <v>271</v>
      </c>
      <c r="CP131" s="211" t="s">
        <v>143</v>
      </c>
      <c r="CQ131" s="211" t="s">
        <v>301</v>
      </c>
      <c r="CR131" s="211" t="s">
        <v>302</v>
      </c>
      <c r="CS131" s="211" t="s">
        <v>2992</v>
      </c>
      <c r="CT131" s="211" t="s">
        <v>301</v>
      </c>
      <c r="CU131" s="211" t="str">
        <f t="shared" ref="CU131:CU194" si="121">+IF(CP131=$CU$1,CS131,"N/A")</f>
        <v>N/A</v>
      </c>
      <c r="CV131" s="211" t="str">
        <f t="shared" ref="CV131:CV194" si="122">+IF(CP131=$CV$1,CS131,"N/A")</f>
        <v>N/A</v>
      </c>
      <c r="CW131" s="211" t="str">
        <f t="shared" ref="CW131:CW194" si="123">+IF(CP131=$CW$1,CS131,"N/A")</f>
        <v>N/A</v>
      </c>
      <c r="CX131" s="211" t="str">
        <f t="shared" ref="CX131:CX194" si="124">+IF(CP131=$CX$1,CS131,"N/A")</f>
        <v>N/A</v>
      </c>
      <c r="CY131" s="211" t="str">
        <f t="shared" ref="CY131:CY194" si="125">+IF(CP131=$CY$1,CS131,"N/A")</f>
        <v>N/A</v>
      </c>
      <c r="CZ131" s="211" t="str">
        <f t="shared" ref="CZ131:CZ194" si="126">+IF(CP131=$CZ$1,CS131,"N/A")</f>
        <v xml:space="preserve">Se   realizaron 22 asistencias al desarrollo de mesas de saneamiento de cartera de   Circular Conjunta 030 de 2013, de las siguientes ET: Antioquia, Arauca,   Barranquilla, Bogotá, Boyacá, Caldas, Cali, Casanare, Cauca, Cesar, Chocó,   Córdoba, Huila, Meta, Nariño, Norte de Santander, Risaralda, San Andrés,   Santa Marta, Santander, Sucre y Tolima.
     Estas asistencias se soportan a través de informes de resultados del   ejercicio de acompañamiento.
</v>
      </c>
      <c r="DA131" s="211" t="str">
        <f t="shared" ref="DA131:DA194" si="127">+IF(CP131=$DA$1,CS131,"N/A")</f>
        <v>N/A</v>
      </c>
      <c r="DB131" s="211" t="str">
        <f t="shared" ref="DB131:DB194" si="128">+IF(CP131=$DB$1,CS131,"N/A")</f>
        <v>N/A</v>
      </c>
      <c r="DC131" s="211" t="str">
        <f t="shared" ref="DC131:DC194" si="129">+IF(CP131=$DC$1,CS131,"N/A")</f>
        <v>N/A</v>
      </c>
      <c r="DD131" s="211" t="str">
        <f t="shared" ref="DD131:DD194" si="130">+IF(CP131=$DD$1,CS131,"N/A")</f>
        <v>N/A</v>
      </c>
      <c r="DE131" s="211" t="str">
        <f t="shared" ref="DE131:DE194" si="131">+IF(CP131=$DE$1,CS131,"N/A")</f>
        <v>N/A</v>
      </c>
      <c r="DF131" s="211" t="str">
        <f t="shared" ref="DF131:DF194" si="132">+IF(CP131=$DF$1,CS131,"N/A")</f>
        <v>N/A</v>
      </c>
    </row>
    <row r="132" spans="1:110" s="211" customFormat="1" ht="191.25">
      <c r="A132" s="348" t="s">
        <v>271</v>
      </c>
      <c r="B132" s="211" t="s">
        <v>143</v>
      </c>
      <c r="C132" s="211" t="s">
        <v>307</v>
      </c>
      <c r="D132" s="211" t="s">
        <v>308</v>
      </c>
      <c r="E132" s="211" t="s">
        <v>309</v>
      </c>
      <c r="F132" s="348" t="s">
        <v>310</v>
      </c>
      <c r="G132" s="211" t="s">
        <v>157</v>
      </c>
      <c r="H132" s="211">
        <v>7</v>
      </c>
      <c r="I132" s="323">
        <v>2</v>
      </c>
      <c r="J132" s="323">
        <v>7</v>
      </c>
      <c r="K132" s="288">
        <v>0.28571428571428598</v>
      </c>
      <c r="L132" s="211" t="s">
        <v>2993</v>
      </c>
      <c r="M132" s="211" t="b">
        <v>1</v>
      </c>
      <c r="N132" s="211" t="s">
        <v>794</v>
      </c>
      <c r="O132" s="209" t="s">
        <v>2832</v>
      </c>
      <c r="P132" s="211" t="s">
        <v>159</v>
      </c>
      <c r="Q132" s="211" t="s">
        <v>160</v>
      </c>
      <c r="T132" s="236" t="s">
        <v>1205</v>
      </c>
      <c r="U132" s="269"/>
      <c r="V132" s="269"/>
      <c r="W132" s="269"/>
      <c r="X132" s="269"/>
      <c r="Y132" s="269"/>
      <c r="Z132" s="269"/>
      <c r="AA132" s="269"/>
      <c r="AB132" s="269"/>
      <c r="AC132" s="269"/>
      <c r="AD132" s="269">
        <v>39</v>
      </c>
      <c r="AE132" s="269"/>
      <c r="AF132" s="269">
        <v>71</v>
      </c>
      <c r="AG132" s="269">
        <v>110</v>
      </c>
      <c r="AH132"/>
      <c r="AI132"/>
      <c r="AJ132" s="236" t="s">
        <v>1205</v>
      </c>
      <c r="AK132" s="269"/>
      <c r="AL132" s="269"/>
      <c r="AM132" s="269"/>
      <c r="AN132" s="269"/>
      <c r="AO132" s="269"/>
      <c r="AP132" s="269"/>
      <c r="AQ132" s="269"/>
      <c r="AR132" s="269"/>
      <c r="AS132" s="269"/>
      <c r="AT132" s="269">
        <v>73</v>
      </c>
      <c r="AU132" s="269"/>
      <c r="AV132" s="269">
        <v>73</v>
      </c>
      <c r="AW132" s="269">
        <v>146</v>
      </c>
      <c r="BB132" s="240"/>
      <c r="BC132" s="240"/>
      <c r="BD132" s="240"/>
      <c r="BE132" s="240"/>
      <c r="BF132" s="240"/>
      <c r="BG132" s="240"/>
      <c r="BH132" s="240"/>
      <c r="BI132" s="240"/>
      <c r="BJ132" s="240"/>
      <c r="BK132" s="240"/>
      <c r="BL132" s="240"/>
      <c r="BM132" s="240"/>
      <c r="BO132" s="236"/>
      <c r="BP132" s="236"/>
      <c r="BQ132" s="236"/>
      <c r="BR132" s="236"/>
      <c r="BS132" s="236"/>
      <c r="BT132" s="236"/>
      <c r="BU132" s="236"/>
      <c r="BV132" s="236"/>
      <c r="BW132" s="236"/>
      <c r="BX132" s="236"/>
      <c r="BY132" s="236"/>
      <c r="BZ132" s="236"/>
      <c r="CA132" s="280"/>
      <c r="CB132" s="272"/>
      <c r="CC132" s="272"/>
      <c r="CD132" s="273"/>
      <c r="CE132" s="272"/>
      <c r="CF132" s="272"/>
      <c r="CG132" s="272"/>
      <c r="CH132" s="272"/>
      <c r="CO132" s="211" t="s">
        <v>271</v>
      </c>
      <c r="CP132" s="211" t="s">
        <v>143</v>
      </c>
      <c r="CQ132" s="211" t="s">
        <v>307</v>
      </c>
      <c r="CR132" s="211" t="s">
        <v>308</v>
      </c>
      <c r="CS132" s="211" t="s">
        <v>2993</v>
      </c>
      <c r="CT132" s="211" t="s">
        <v>307</v>
      </c>
      <c r="CU132" s="211" t="str">
        <f t="shared" si="121"/>
        <v>N/A</v>
      </c>
      <c r="CV132" s="211" t="str">
        <f t="shared" si="122"/>
        <v>N/A</v>
      </c>
      <c r="CW132" s="211" t="str">
        <f t="shared" si="123"/>
        <v>N/A</v>
      </c>
      <c r="CX132" s="211" t="str">
        <f t="shared" si="124"/>
        <v>N/A</v>
      </c>
      <c r="CY132" s="211" t="str">
        <f t="shared" si="125"/>
        <v>N/A</v>
      </c>
      <c r="CZ132" s="211" t="str">
        <f t="shared" si="126"/>
        <v>Durante   el mes de junio se efectuaron dos (2) mesas de gobernanza así:
     1. En Chinácota - Norte de Santander del 25 al 27 de junio de 2025
     2. En Duitama - Boyacá del 18 al 21 de junio de 2025
Es de anotar que, no se logró efectuar el total de mesas de gobernanza   programadas, en razón a que fue necesario atender otras actividades   relacionadas con el proceso de transición de planta de personal, como es el   cierre de informes y procesos de inspección y vigilancia pendientes, por   parte de los funcionarios vinculados en provisionalidad.</v>
      </c>
      <c r="DA132" s="211" t="str">
        <f t="shared" si="127"/>
        <v>N/A</v>
      </c>
      <c r="DB132" s="211" t="str">
        <f t="shared" si="128"/>
        <v>N/A</v>
      </c>
      <c r="DC132" s="211" t="str">
        <f t="shared" si="129"/>
        <v>N/A</v>
      </c>
      <c r="DD132" s="211" t="str">
        <f t="shared" si="130"/>
        <v>N/A</v>
      </c>
      <c r="DE132" s="211" t="str">
        <f t="shared" si="131"/>
        <v>N/A</v>
      </c>
      <c r="DF132" s="211" t="str">
        <f t="shared" si="132"/>
        <v>N/A</v>
      </c>
    </row>
    <row r="133" spans="1:110" s="211" customFormat="1" ht="153">
      <c r="A133" s="348" t="s">
        <v>391</v>
      </c>
      <c r="B133" s="211" t="s">
        <v>143</v>
      </c>
      <c r="C133" s="211" t="s">
        <v>214</v>
      </c>
      <c r="D133" s="211" t="s">
        <v>413</v>
      </c>
      <c r="E133" s="211" t="s">
        <v>414</v>
      </c>
      <c r="F133" s="348" t="s">
        <v>415</v>
      </c>
      <c r="G133" s="211" t="s">
        <v>157</v>
      </c>
      <c r="H133" s="211">
        <v>38</v>
      </c>
      <c r="I133" s="323">
        <v>33</v>
      </c>
      <c r="J133" s="323">
        <v>38</v>
      </c>
      <c r="K133" s="288">
        <v>0.86842105263157898</v>
      </c>
      <c r="L133" s="211" t="s">
        <v>2994</v>
      </c>
      <c r="M133" s="211" t="b">
        <v>1</v>
      </c>
      <c r="N133" s="211" t="s">
        <v>672</v>
      </c>
      <c r="O133" s="209" t="s">
        <v>2832</v>
      </c>
      <c r="P133" s="211" t="s">
        <v>159</v>
      </c>
      <c r="Q133" s="211" t="s">
        <v>160</v>
      </c>
      <c r="T133" s="236" t="s">
        <v>171</v>
      </c>
      <c r="U133" s="269">
        <v>43</v>
      </c>
      <c r="V133" s="269">
        <v>227.97</v>
      </c>
      <c r="W133" s="269">
        <v>97260002556.998001</v>
      </c>
      <c r="X133" s="269">
        <v>9919712385.3299999</v>
      </c>
      <c r="Y133" s="269">
        <v>230.97</v>
      </c>
      <c r="Z133" s="269">
        <v>162869628299.48999</v>
      </c>
      <c r="AA133" s="269">
        <v>233.5</v>
      </c>
      <c r="AB133" s="269">
        <v>31860538962.310001</v>
      </c>
      <c r="AC133" s="269">
        <v>230489873309.07001</v>
      </c>
      <c r="AD133" s="269">
        <v>348</v>
      </c>
      <c r="AE133" s="269">
        <v>387.94400000000002</v>
      </c>
      <c r="AF133" s="269">
        <v>417218982079.10004</v>
      </c>
      <c r="AG133" s="269">
        <v>949618739063.68201</v>
      </c>
      <c r="AH133"/>
      <c r="AI133"/>
      <c r="AJ133" s="236" t="s">
        <v>171</v>
      </c>
      <c r="AK133" s="269">
        <v>43</v>
      </c>
      <c r="AL133" s="269">
        <v>228</v>
      </c>
      <c r="AM133" s="269">
        <v>326944232141</v>
      </c>
      <c r="AN133" s="269">
        <v>87198846715</v>
      </c>
      <c r="AO133" s="269">
        <v>195</v>
      </c>
      <c r="AP133" s="269">
        <v>353106096471</v>
      </c>
      <c r="AQ133" s="269">
        <v>230</v>
      </c>
      <c r="AR133" s="269">
        <v>87198845833</v>
      </c>
      <c r="AS133" s="269">
        <v>326944267270</v>
      </c>
      <c r="AT133" s="269">
        <v>376</v>
      </c>
      <c r="AU133" s="269">
        <v>367</v>
      </c>
      <c r="AV133" s="269">
        <v>428008785724</v>
      </c>
      <c r="AW133" s="269">
        <v>1609401075593</v>
      </c>
      <c r="BB133" s="240"/>
      <c r="BC133" s="240"/>
      <c r="BD133" s="240"/>
      <c r="BE133" s="240"/>
      <c r="BF133" s="240"/>
      <c r="BG133" s="240"/>
      <c r="BH133" s="240"/>
      <c r="BI133" s="240"/>
      <c r="BJ133" s="240"/>
      <c r="BK133" s="240"/>
      <c r="BL133" s="240"/>
      <c r="BM133" s="240"/>
      <c r="BO133" s="236"/>
      <c r="BP133" s="236"/>
      <c r="BQ133" s="236"/>
      <c r="BR133" s="236"/>
      <c r="BS133" s="236"/>
      <c r="BT133" s="236"/>
      <c r="BU133" s="236"/>
      <c r="BV133" s="236"/>
      <c r="BW133" s="236"/>
      <c r="BX133" s="236"/>
      <c r="BY133" s="236"/>
      <c r="BZ133" s="236"/>
      <c r="CA133" s="280"/>
      <c r="CB133" s="209"/>
      <c r="CC133" s="209"/>
      <c r="CD133" s="272"/>
      <c r="CE133" s="272"/>
      <c r="CF133" s="272"/>
      <c r="CG133" s="272"/>
      <c r="CH133" s="272"/>
      <c r="CO133" s="211" t="s">
        <v>391</v>
      </c>
      <c r="CP133" s="211" t="s">
        <v>143</v>
      </c>
      <c r="CQ133" s="211" t="s">
        <v>214</v>
      </c>
      <c r="CR133" s="211" t="s">
        <v>413</v>
      </c>
      <c r="CS133" s="211" t="s">
        <v>2994</v>
      </c>
      <c r="CT133" s="211" t="s">
        <v>214</v>
      </c>
      <c r="CU133" s="211" t="str">
        <f t="shared" si="121"/>
        <v>N/A</v>
      </c>
      <c r="CV133" s="211" t="str">
        <f t="shared" si="122"/>
        <v>N/A</v>
      </c>
      <c r="CW133" s="211" t="str">
        <f t="shared" si="123"/>
        <v>N/A</v>
      </c>
      <c r="CX133" s="211" t="str">
        <f t="shared" si="124"/>
        <v>N/A</v>
      </c>
      <c r="CY133" s="211" t="str">
        <f t="shared" si="125"/>
        <v>N/A</v>
      </c>
      <c r="CZ133" s="211" t="str">
        <f t="shared" si="126"/>
        <v xml:space="preserve">​Se realizaron 30 auditorías a los vigilados relacionadas con el Sistema de Información y Atención al Usuario - SIAU, mecanismos de Participación Ciudadana y comportamiento de reclamos en salud, en cumplimiento al PAG aprobado para la vigencia.
Y Se realizaron 3 auditorías a los vigilados relacionadas con el Sistema de PQRD propio de las EPS, en cumplimiento al PAG aprobado para la vigencia
</v>
      </c>
      <c r="DA133" s="211" t="str">
        <f t="shared" si="127"/>
        <v>N/A</v>
      </c>
      <c r="DB133" s="211" t="str">
        <f t="shared" si="128"/>
        <v>N/A</v>
      </c>
      <c r="DC133" s="211" t="str">
        <f t="shared" si="129"/>
        <v>N/A</v>
      </c>
      <c r="DD133" s="211" t="str">
        <f t="shared" si="130"/>
        <v>N/A</v>
      </c>
      <c r="DE133" s="211" t="str">
        <f t="shared" si="131"/>
        <v>N/A</v>
      </c>
      <c r="DF133" s="211" t="str">
        <f t="shared" si="132"/>
        <v>N/A</v>
      </c>
    </row>
    <row r="134" spans="1:110" s="211" customFormat="1" ht="64.5" customHeight="1">
      <c r="A134" s="348" t="s">
        <v>391</v>
      </c>
      <c r="B134" s="211" t="s">
        <v>143</v>
      </c>
      <c r="C134" s="211" t="s">
        <v>573</v>
      </c>
      <c r="D134" s="211" t="s">
        <v>660</v>
      </c>
      <c r="E134" s="211" t="s">
        <v>661</v>
      </c>
      <c r="F134" s="348" t="s">
        <v>662</v>
      </c>
      <c r="G134" s="211" t="s">
        <v>157</v>
      </c>
      <c r="H134" s="289">
        <v>7</v>
      </c>
      <c r="I134" s="323">
        <v>7</v>
      </c>
      <c r="J134" s="323">
        <v>7</v>
      </c>
      <c r="K134" s="289">
        <v>1</v>
      </c>
      <c r="L134" s="211" t="s">
        <v>663</v>
      </c>
      <c r="M134" s="211" t="b">
        <v>0</v>
      </c>
      <c r="O134" s="209" t="s">
        <v>2832</v>
      </c>
      <c r="P134" s="211" t="s">
        <v>159</v>
      </c>
      <c r="Q134" s="211" t="s">
        <v>160</v>
      </c>
      <c r="T134"/>
      <c r="U134"/>
      <c r="V134"/>
      <c r="W134"/>
      <c r="X134"/>
      <c r="Y134"/>
      <c r="Z134"/>
      <c r="AA134"/>
      <c r="AB134"/>
      <c r="AC134"/>
      <c r="AD134"/>
      <c r="AE134"/>
      <c r="AF134"/>
      <c r="AG134"/>
      <c r="AH134"/>
      <c r="AI134"/>
      <c r="AJ134" s="236"/>
      <c r="AK134" s="242"/>
      <c r="AL134" s="242"/>
      <c r="AM134" s="242"/>
      <c r="AN134" s="242"/>
      <c r="AO134" s="242"/>
      <c r="AP134" s="242"/>
      <c r="AQ134" s="242"/>
      <c r="AR134" s="242"/>
      <c r="AS134" s="242"/>
      <c r="BB134" s="240"/>
      <c r="BC134" s="240"/>
      <c r="BD134" s="240"/>
      <c r="BE134" s="240"/>
      <c r="BF134" s="240"/>
      <c r="BG134" s="240"/>
      <c r="BH134" s="240"/>
      <c r="BI134" s="240"/>
      <c r="BJ134" s="240"/>
      <c r="BK134" s="240"/>
      <c r="BL134" s="240"/>
      <c r="BM134" s="240"/>
      <c r="BO134" s="236"/>
      <c r="BP134" s="236"/>
      <c r="BQ134" s="236"/>
      <c r="BR134" s="236"/>
      <c r="BS134" s="236"/>
      <c r="BT134" s="236"/>
      <c r="BU134" s="236"/>
      <c r="BV134" s="236"/>
      <c r="BW134" s="236"/>
      <c r="BX134" s="236"/>
      <c r="BY134" s="236"/>
      <c r="BZ134" s="236"/>
      <c r="CA134" s="274"/>
      <c r="CB134" s="209"/>
      <c r="CC134" s="209"/>
      <c r="CD134" s="272"/>
      <c r="CE134" s="272"/>
      <c r="CF134" s="272"/>
      <c r="CG134" s="272"/>
      <c r="CH134" s="272"/>
      <c r="CO134" s="211" t="s">
        <v>391</v>
      </c>
      <c r="CP134" s="211" t="s">
        <v>143</v>
      </c>
      <c r="CQ134" s="211" t="s">
        <v>573</v>
      </c>
      <c r="CR134" s="211" t="s">
        <v>660</v>
      </c>
      <c r="CS134" s="211" t="s">
        <v>663</v>
      </c>
      <c r="CT134" s="211" t="s">
        <v>573</v>
      </c>
      <c r="CU134" s="211" t="str">
        <f t="shared" si="121"/>
        <v>N/A</v>
      </c>
      <c r="CV134" s="211" t="str">
        <f t="shared" si="122"/>
        <v>N/A</v>
      </c>
      <c r="CW134" s="211" t="str">
        <f t="shared" si="123"/>
        <v>N/A</v>
      </c>
      <c r="CX134" s="211" t="str">
        <f t="shared" si="124"/>
        <v>N/A</v>
      </c>
      <c r="CY134" s="211" t="str">
        <f t="shared" si="125"/>
        <v>N/A</v>
      </c>
      <c r="CZ134" s="211" t="str">
        <f t="shared" si="126"/>
        <v xml:space="preserve">​Durante el semestre se realizaron 7 capacitaciones en derechos y deberes y mecanismos de participacion ciudadana en municipios PDET con un total de 962 asistentes 
</v>
      </c>
      <c r="DA134" s="211" t="str">
        <f t="shared" si="127"/>
        <v>N/A</v>
      </c>
      <c r="DB134" s="211" t="str">
        <f t="shared" si="128"/>
        <v>N/A</v>
      </c>
      <c r="DC134" s="211" t="str">
        <f t="shared" si="129"/>
        <v>N/A</v>
      </c>
      <c r="DD134" s="211" t="str">
        <f t="shared" si="130"/>
        <v>N/A</v>
      </c>
      <c r="DE134" s="211" t="str">
        <f t="shared" si="131"/>
        <v>N/A</v>
      </c>
      <c r="DF134" s="211" t="str">
        <f t="shared" si="132"/>
        <v>N/A</v>
      </c>
    </row>
    <row r="135" spans="1:110" s="211" customFormat="1" ht="64.5" customHeight="1">
      <c r="A135" s="348" t="s">
        <v>391</v>
      </c>
      <c r="B135" s="211" t="s">
        <v>143</v>
      </c>
      <c r="C135" s="211" t="s">
        <v>418</v>
      </c>
      <c r="D135" s="211" t="s">
        <v>419</v>
      </c>
      <c r="E135" s="211" t="s">
        <v>420</v>
      </c>
      <c r="F135" s="348" t="s">
        <v>421</v>
      </c>
      <c r="G135" s="211" t="s">
        <v>178</v>
      </c>
      <c r="H135" s="211">
        <v>0.85</v>
      </c>
      <c r="I135" s="323">
        <v>96046</v>
      </c>
      <c r="J135" s="323">
        <v>111133</v>
      </c>
      <c r="K135" s="288">
        <v>0.86424374398243498</v>
      </c>
      <c r="L135" s="211" t="s">
        <v>2814</v>
      </c>
      <c r="M135" s="211" t="b">
        <v>0</v>
      </c>
      <c r="O135" s="209" t="s">
        <v>2832</v>
      </c>
      <c r="P135" s="211" t="s">
        <v>159</v>
      </c>
      <c r="Q135" s="211" t="s">
        <v>160</v>
      </c>
      <c r="T135"/>
      <c r="U135"/>
      <c r="V135"/>
      <c r="W135"/>
      <c r="X135"/>
      <c r="Y135"/>
      <c r="Z135"/>
      <c r="AA135"/>
      <c r="AB135"/>
      <c r="AC135"/>
      <c r="AD135"/>
      <c r="AE135"/>
      <c r="AF135"/>
      <c r="AG135"/>
      <c r="AH135"/>
      <c r="AI135"/>
      <c r="AJ135" s="236"/>
      <c r="AK135" s="242"/>
      <c r="AL135" s="242"/>
      <c r="AM135" s="242"/>
      <c r="AN135" s="242"/>
      <c r="AO135" s="242"/>
      <c r="AP135" s="242"/>
      <c r="AQ135" s="242"/>
      <c r="AR135" s="242"/>
      <c r="AS135" s="242"/>
      <c r="BI135" s="240"/>
      <c r="BU135" s="236"/>
      <c r="CA135" s="274"/>
      <c r="CB135" s="209"/>
      <c r="CC135" s="209"/>
      <c r="CD135" s="209"/>
      <c r="CE135" s="209"/>
      <c r="CF135" s="209"/>
      <c r="CG135" s="209"/>
      <c r="CO135" s="211" t="s">
        <v>391</v>
      </c>
      <c r="CP135" s="211" t="s">
        <v>143</v>
      </c>
      <c r="CQ135" s="211" t="s">
        <v>418</v>
      </c>
      <c r="CR135" s="211" t="s">
        <v>419</v>
      </c>
      <c r="CS135" s="211" t="s">
        <v>2814</v>
      </c>
      <c r="CT135" s="211" t="s">
        <v>418</v>
      </c>
      <c r="CU135" s="211" t="str">
        <f t="shared" si="121"/>
        <v>N/A</v>
      </c>
      <c r="CV135" s="211" t="str">
        <f t="shared" si="122"/>
        <v>N/A</v>
      </c>
      <c r="CW135" s="211" t="str">
        <f t="shared" si="123"/>
        <v>N/A</v>
      </c>
      <c r="CX135" s="211" t="str">
        <f t="shared" si="124"/>
        <v>N/A</v>
      </c>
      <c r="CY135" s="211" t="str">
        <f t="shared" si="125"/>
        <v>N/A</v>
      </c>
      <c r="CZ135" s="211" t="str">
        <f t="shared" si="126"/>
        <v xml:space="preserve">Se presenta información con corte a mayo 2025, en virtud de que el periodo de reporte de insumos es 5 días hábiles mes vencido. 
Aclarado lo anterior se presenta el resultado de la aplicación de la encuesta de satisfacción realizada en el canal telefonico y presencial (Regionales, Puntos de Atención y CAC). 
Entre abril y mayo 2025 se recibieron 96.046 respuestas con calificación buena y exelente de un total de 111.133 respuestas las cuales correponden a un 86.42% de satisfacción
</v>
      </c>
      <c r="DA135" s="211" t="str">
        <f t="shared" si="127"/>
        <v>N/A</v>
      </c>
      <c r="DB135" s="211" t="str">
        <f t="shared" si="128"/>
        <v>N/A</v>
      </c>
      <c r="DC135" s="211" t="str">
        <f t="shared" si="129"/>
        <v>N/A</v>
      </c>
      <c r="DD135" s="211" t="str">
        <f t="shared" si="130"/>
        <v>N/A</v>
      </c>
      <c r="DE135" s="211" t="str">
        <f t="shared" si="131"/>
        <v>N/A</v>
      </c>
      <c r="DF135" s="211" t="str">
        <f t="shared" si="132"/>
        <v>N/A</v>
      </c>
    </row>
    <row r="136" spans="1:110" s="211" customFormat="1" ht="64.5" customHeight="1">
      <c r="A136" s="348" t="s">
        <v>391</v>
      </c>
      <c r="B136" s="211" t="s">
        <v>143</v>
      </c>
      <c r="C136" s="211" t="s">
        <v>444</v>
      </c>
      <c r="D136" s="211" t="s">
        <v>445</v>
      </c>
      <c r="E136" s="211" t="s">
        <v>446</v>
      </c>
      <c r="F136" s="348" t="s">
        <v>447</v>
      </c>
      <c r="G136" s="211" t="s">
        <v>178</v>
      </c>
      <c r="H136" s="211">
        <v>1</v>
      </c>
      <c r="I136" s="323">
        <v>432616</v>
      </c>
      <c r="J136" s="323">
        <v>432616</v>
      </c>
      <c r="K136" s="288">
        <v>1</v>
      </c>
      <c r="L136" s="211" t="s">
        <v>664</v>
      </c>
      <c r="M136" s="211" t="b">
        <v>1</v>
      </c>
      <c r="N136" s="211" t="s">
        <v>665</v>
      </c>
      <c r="O136" s="209" t="s">
        <v>2832</v>
      </c>
      <c r="P136" s="211" t="s">
        <v>159</v>
      </c>
      <c r="Q136" s="211" t="s">
        <v>160</v>
      </c>
      <c r="T136" s="236"/>
      <c r="U136" s="236"/>
      <c r="V136" s="236"/>
      <c r="W136" s="236"/>
      <c r="X136" s="236"/>
      <c r="Y136" s="236"/>
      <c r="Z136" s="236"/>
      <c r="AA136" s="236"/>
      <c r="AB136" s="236"/>
      <c r="AC136" s="236"/>
      <c r="AD136" s="236"/>
      <c r="AE136" s="236"/>
      <c r="AF136" s="236"/>
      <c r="AG136" s="236"/>
      <c r="AH136" s="236"/>
      <c r="AI136" s="236"/>
      <c r="AJ136" s="236"/>
      <c r="AK136" s="242"/>
      <c r="AL136" s="242"/>
      <c r="AM136" s="242"/>
      <c r="AN136" s="242"/>
      <c r="AO136" s="242"/>
      <c r="AP136" s="242"/>
      <c r="AQ136" s="242"/>
      <c r="AR136" s="242"/>
      <c r="AS136" s="242"/>
      <c r="BI136" s="240"/>
      <c r="BU136" s="236"/>
      <c r="CA136" s="274"/>
      <c r="CB136" s="209"/>
      <c r="CC136" s="209"/>
      <c r="CD136" s="209"/>
      <c r="CE136" s="209"/>
      <c r="CF136" s="209"/>
      <c r="CG136" s="209"/>
      <c r="CO136" s="211" t="s">
        <v>391</v>
      </c>
      <c r="CP136" s="211" t="s">
        <v>143</v>
      </c>
      <c r="CQ136" s="211" t="s">
        <v>444</v>
      </c>
      <c r="CR136" s="211" t="s">
        <v>445</v>
      </c>
      <c r="CS136" s="211" t="s">
        <v>664</v>
      </c>
      <c r="CT136" s="211" t="s">
        <v>444</v>
      </c>
      <c r="CU136" s="211" t="str">
        <f t="shared" si="121"/>
        <v>N/A</v>
      </c>
      <c r="CV136" s="211" t="str">
        <f t="shared" si="122"/>
        <v>N/A</v>
      </c>
      <c r="CW136" s="211" t="str">
        <f t="shared" si="123"/>
        <v>N/A</v>
      </c>
      <c r="CX136" s="211" t="str">
        <f t="shared" si="124"/>
        <v>N/A</v>
      </c>
      <c r="CY136" s="211" t="str">
        <f t="shared" si="125"/>
        <v>N/A</v>
      </c>
      <c r="CZ136" s="211" t="str">
        <f t="shared" si="126"/>
        <v xml:space="preserve">​Entre abril y junio se radicaron y trasladaron al responsable del aseguramiento a travez de una orden de inmediato y obligatorio cumplimiento 432.616 reclamos en salud recibidos por multicanal (escrito, web, telefonico, chat y redes sociales)
</v>
      </c>
      <c r="DA136" s="211" t="str">
        <f t="shared" si="127"/>
        <v>N/A</v>
      </c>
      <c r="DB136" s="211" t="str">
        <f t="shared" si="128"/>
        <v>N/A</v>
      </c>
      <c r="DC136" s="211" t="str">
        <f t="shared" si="129"/>
        <v>N/A</v>
      </c>
      <c r="DD136" s="211" t="str">
        <f t="shared" si="130"/>
        <v>N/A</v>
      </c>
      <c r="DE136" s="211" t="str">
        <f t="shared" si="131"/>
        <v>N/A</v>
      </c>
      <c r="DF136" s="211" t="str">
        <f t="shared" si="132"/>
        <v>N/A</v>
      </c>
    </row>
    <row r="137" spans="1:110" s="211" customFormat="1" ht="64.5" customHeight="1">
      <c r="A137" s="348" t="s">
        <v>391</v>
      </c>
      <c r="B137" s="211" t="s">
        <v>143</v>
      </c>
      <c r="C137" s="211" t="s">
        <v>435</v>
      </c>
      <c r="D137" s="211" t="s">
        <v>436</v>
      </c>
      <c r="E137" s="211" t="s">
        <v>437</v>
      </c>
      <c r="F137" s="348" t="s">
        <v>438</v>
      </c>
      <c r="G137" s="211" t="s">
        <v>157</v>
      </c>
      <c r="H137" s="211">
        <v>70</v>
      </c>
      <c r="I137" s="323">
        <v>70</v>
      </c>
      <c r="J137" s="323">
        <v>70</v>
      </c>
      <c r="K137" s="288">
        <v>1</v>
      </c>
      <c r="L137" s="211" t="s">
        <v>656</v>
      </c>
      <c r="M137" s="211" t="b">
        <v>1</v>
      </c>
      <c r="N137" s="211" t="s">
        <v>657</v>
      </c>
      <c r="O137" s="209" t="s">
        <v>2832</v>
      </c>
      <c r="P137" s="211" t="s">
        <v>159</v>
      </c>
      <c r="Q137" s="211" t="s">
        <v>160</v>
      </c>
      <c r="T137" s="236"/>
      <c r="U137" s="236"/>
      <c r="V137" s="236"/>
      <c r="W137" s="236"/>
      <c r="X137" s="236"/>
      <c r="Y137" s="236"/>
      <c r="Z137" s="236"/>
      <c r="AA137" s="236"/>
      <c r="AB137" s="236"/>
      <c r="AC137" s="236"/>
      <c r="AD137" s="236"/>
      <c r="AE137" s="236"/>
      <c r="AF137" s="236"/>
      <c r="AG137" s="236"/>
      <c r="AH137" s="236"/>
      <c r="AI137" s="236"/>
      <c r="AJ137" s="236"/>
      <c r="AK137" s="242"/>
      <c r="AL137" s="242"/>
      <c r="AM137" s="242"/>
      <c r="AN137" s="242"/>
      <c r="AO137" s="242"/>
      <c r="AP137" s="242"/>
      <c r="AQ137" s="242"/>
      <c r="AR137" s="242"/>
      <c r="AS137" s="242"/>
      <c r="BI137" s="240"/>
      <c r="BU137" s="236"/>
      <c r="CA137" s="274"/>
      <c r="CB137" s="209"/>
      <c r="CC137" s="209"/>
      <c r="CD137" s="209"/>
      <c r="CE137" s="209"/>
      <c r="CF137" s="209"/>
      <c r="CG137" s="209"/>
      <c r="CO137" s="211" t="s">
        <v>391</v>
      </c>
      <c r="CP137" s="211" t="s">
        <v>143</v>
      </c>
      <c r="CQ137" s="211" t="s">
        <v>435</v>
      </c>
      <c r="CR137" s="211" t="s">
        <v>436</v>
      </c>
      <c r="CS137" s="211" t="s">
        <v>656</v>
      </c>
      <c r="CT137" s="211" t="s">
        <v>435</v>
      </c>
      <c r="CU137" s="211" t="str">
        <f t="shared" si="121"/>
        <v>N/A</v>
      </c>
      <c r="CV137" s="211" t="str">
        <f t="shared" si="122"/>
        <v>N/A</v>
      </c>
      <c r="CW137" s="211" t="str">
        <f t="shared" si="123"/>
        <v>N/A</v>
      </c>
      <c r="CX137" s="211" t="str">
        <f t="shared" si="124"/>
        <v>N/A</v>
      </c>
      <c r="CY137" s="211" t="str">
        <f t="shared" si="125"/>
        <v>N/A</v>
      </c>
      <c r="CZ137" s="211" t="str">
        <f t="shared" si="126"/>
        <v xml:space="preserve">​Durante el Segundo trimestre del 2025 los eventos reportados para promover los derechos y deberes en salud y mecanismos de participación ciudadana en salud fueron 70 entre jornadas de atención, capacitaciones, seminarios y acompañamientos a diferentes entidades estatales.
</v>
      </c>
      <c r="DA137" s="211" t="str">
        <f t="shared" si="127"/>
        <v>N/A</v>
      </c>
      <c r="DB137" s="211" t="str">
        <f t="shared" si="128"/>
        <v>N/A</v>
      </c>
      <c r="DC137" s="211" t="str">
        <f t="shared" si="129"/>
        <v>N/A</v>
      </c>
      <c r="DD137" s="211" t="str">
        <f t="shared" si="130"/>
        <v>N/A</v>
      </c>
      <c r="DE137" s="211" t="str">
        <f t="shared" si="131"/>
        <v>N/A</v>
      </c>
      <c r="DF137" s="211" t="str">
        <f t="shared" si="132"/>
        <v>N/A</v>
      </c>
    </row>
    <row r="138" spans="1:110" s="211" customFormat="1" ht="64.5" customHeight="1">
      <c r="A138" s="348" t="s">
        <v>391</v>
      </c>
      <c r="B138" s="211" t="s">
        <v>143</v>
      </c>
      <c r="C138" s="211" t="s">
        <v>392</v>
      </c>
      <c r="D138" s="211" t="s">
        <v>393</v>
      </c>
      <c r="E138" s="211" t="s">
        <v>394</v>
      </c>
      <c r="F138" s="348" t="s">
        <v>395</v>
      </c>
      <c r="G138" s="211" t="s">
        <v>178</v>
      </c>
      <c r="H138" s="211">
        <v>1</v>
      </c>
      <c r="I138" s="323">
        <v>0</v>
      </c>
      <c r="J138" s="323" t="s">
        <v>2995</v>
      </c>
      <c r="K138" s="288">
        <v>0</v>
      </c>
      <c r="L138" s="211" t="s">
        <v>648</v>
      </c>
      <c r="M138" s="211" t="b">
        <v>0</v>
      </c>
      <c r="O138" s="209" t="s">
        <v>2832</v>
      </c>
      <c r="P138" s="211" t="s">
        <v>159</v>
      </c>
      <c r="Q138" s="211" t="s">
        <v>160</v>
      </c>
      <c r="T138" s="236"/>
      <c r="U138" s="236"/>
      <c r="V138" s="236"/>
      <c r="W138" s="236"/>
      <c r="X138" s="236"/>
      <c r="Y138" s="236"/>
      <c r="Z138" s="236"/>
      <c r="AA138" s="236"/>
      <c r="AB138" s="236"/>
      <c r="AC138" s="236"/>
      <c r="AD138" s="236"/>
      <c r="AE138" s="236"/>
      <c r="AF138" s="236"/>
      <c r="AG138" s="236"/>
      <c r="AH138" s="236"/>
      <c r="AI138" s="236"/>
      <c r="AJ138" s="236"/>
      <c r="AK138" s="242"/>
      <c r="AL138" s="242"/>
      <c r="AM138" s="242"/>
      <c r="AN138" s="242"/>
      <c r="AO138" s="242"/>
      <c r="AP138" s="242"/>
      <c r="AQ138" s="242"/>
      <c r="AR138" s="242"/>
      <c r="AS138" s="242"/>
      <c r="BI138" s="240"/>
      <c r="BU138" s="236"/>
      <c r="CA138" s="274"/>
      <c r="CB138" s="209"/>
      <c r="CC138" s="209"/>
      <c r="CD138" s="209"/>
      <c r="CE138" s="209"/>
      <c r="CF138" s="209"/>
      <c r="CG138" s="209"/>
      <c r="CO138" s="211" t="s">
        <v>391</v>
      </c>
      <c r="CP138" s="211" t="s">
        <v>143</v>
      </c>
      <c r="CQ138" s="211" t="s">
        <v>392</v>
      </c>
      <c r="CR138" s="211" t="s">
        <v>393</v>
      </c>
      <c r="CS138" s="211" t="s">
        <v>648</v>
      </c>
      <c r="CT138" s="211" t="s">
        <v>392</v>
      </c>
      <c r="CU138" s="211" t="str">
        <f t="shared" si="121"/>
        <v>N/A</v>
      </c>
      <c r="CV138" s="211" t="str">
        <f t="shared" si="122"/>
        <v>N/A</v>
      </c>
      <c r="CW138" s="211" t="str">
        <f t="shared" si="123"/>
        <v>N/A</v>
      </c>
      <c r="CX138" s="211" t="str">
        <f t="shared" si="124"/>
        <v>N/A</v>
      </c>
      <c r="CY138" s="211" t="str">
        <f t="shared" si="125"/>
        <v>N/A</v>
      </c>
      <c r="CZ138" s="211" t="str">
        <f t="shared" si="126"/>
        <v xml:space="preserve">​Entre abril y junio 2025 NO se han realizado diálogos, por este motivo no se cuenta con informacionn para este reporte. El último dialogo realizado fue en marzo 2025. 
</v>
      </c>
      <c r="DA138" s="211" t="str">
        <f t="shared" si="127"/>
        <v>N/A</v>
      </c>
      <c r="DB138" s="211" t="str">
        <f t="shared" si="128"/>
        <v>N/A</v>
      </c>
      <c r="DC138" s="211" t="str">
        <f t="shared" si="129"/>
        <v>N/A</v>
      </c>
      <c r="DD138" s="211" t="str">
        <f t="shared" si="130"/>
        <v>N/A</v>
      </c>
      <c r="DE138" s="211" t="str">
        <f t="shared" si="131"/>
        <v>N/A</v>
      </c>
      <c r="DF138" s="211" t="str">
        <f t="shared" si="132"/>
        <v>N/A</v>
      </c>
    </row>
    <row r="139" spans="1:110" s="211" customFormat="1" ht="64.5" customHeight="1">
      <c r="A139" s="348" t="s">
        <v>391</v>
      </c>
      <c r="B139" s="211" t="s">
        <v>143</v>
      </c>
      <c r="C139" s="211" t="s">
        <v>440</v>
      </c>
      <c r="D139" s="211" t="s">
        <v>441</v>
      </c>
      <c r="E139" s="211" t="s">
        <v>442</v>
      </c>
      <c r="F139" s="348" t="s">
        <v>443</v>
      </c>
      <c r="G139" s="211" t="s">
        <v>157</v>
      </c>
      <c r="H139" s="211">
        <v>10</v>
      </c>
      <c r="I139" s="323">
        <v>11</v>
      </c>
      <c r="J139" s="323">
        <v>10</v>
      </c>
      <c r="K139" s="288">
        <v>1.1000000000000001</v>
      </c>
      <c r="L139" s="211" t="s">
        <v>2996</v>
      </c>
      <c r="M139" s="211" t="b">
        <v>1</v>
      </c>
      <c r="N139" s="211" t="s">
        <v>659</v>
      </c>
      <c r="O139" s="209" t="s">
        <v>2832</v>
      </c>
      <c r="P139" s="211" t="s">
        <v>159</v>
      </c>
      <c r="Q139" s="211" t="s">
        <v>160</v>
      </c>
      <c r="T139" s="236"/>
      <c r="U139" s="236"/>
      <c r="V139" s="236"/>
      <c r="W139" s="236"/>
      <c r="X139" s="236"/>
      <c r="Y139" s="236"/>
      <c r="Z139" s="236"/>
      <c r="AA139" s="236"/>
      <c r="AB139" s="236"/>
      <c r="AC139" s="236"/>
      <c r="AD139" s="236"/>
      <c r="AE139" s="236"/>
      <c r="AF139" s="236"/>
      <c r="AG139" s="236"/>
      <c r="AH139" s="236"/>
      <c r="AI139" s="236"/>
      <c r="AJ139" s="236"/>
      <c r="AK139" s="242"/>
      <c r="AL139" s="242"/>
      <c r="AM139" s="242"/>
      <c r="AN139" s="242"/>
      <c r="AO139" s="242"/>
      <c r="AP139" s="242"/>
      <c r="AQ139" s="242"/>
      <c r="AR139" s="242"/>
      <c r="AS139" s="242"/>
      <c r="BI139" s="240"/>
      <c r="BU139" s="236"/>
      <c r="CA139" s="274"/>
      <c r="CB139" s="209"/>
      <c r="CC139" s="209"/>
      <c r="CD139" s="209"/>
      <c r="CE139" s="209"/>
      <c r="CF139" s="209"/>
      <c r="CG139" s="209"/>
      <c r="CO139" s="211" t="s">
        <v>391</v>
      </c>
      <c r="CP139" s="211" t="s">
        <v>143</v>
      </c>
      <c r="CQ139" s="211" t="s">
        <v>440</v>
      </c>
      <c r="CR139" s="211" t="s">
        <v>441</v>
      </c>
      <c r="CS139" s="211" t="s">
        <v>2996</v>
      </c>
      <c r="CT139" s="211" t="s">
        <v>440</v>
      </c>
      <c r="CU139" s="211" t="str">
        <f t="shared" si="121"/>
        <v>N/A</v>
      </c>
      <c r="CV139" s="211" t="str">
        <f t="shared" si="122"/>
        <v>N/A</v>
      </c>
      <c r="CW139" s="211" t="str">
        <f t="shared" si="123"/>
        <v>N/A</v>
      </c>
      <c r="CX139" s="211" t="str">
        <f t="shared" si="124"/>
        <v>N/A</v>
      </c>
      <c r="CY139" s="211" t="str">
        <f t="shared" si="125"/>
        <v>N/A</v>
      </c>
      <c r="CZ139" s="211" t="str">
        <f t="shared" si="126"/>
        <v xml:space="preserve">​Se entregan 11 actividades que desde la política de Servicio al Ciudadano se desarrollaron en el segundo trimestre de la presente anualidad,                                                                          
* Desarrollar de los escenarios de relacionamiento (ferias, festivales, jornadas itinerantes, etc.) 5 actividades                     
* Gestionar los espacios de encuentros sectoriales del Ministerio de Salud y Protección Social para el seguimiento e implementación del MISC. 2 actividades                                          
* Implementar acciones para articular con las dependencias  para el mejoramiento del relacionamiento. 2 actividades           
* Realizar talleres y charlas sobre el Lenguaje Claro dirigidas a las servidoras y servidores públicos de la entidad. 2 actividades
</v>
      </c>
      <c r="DA139" s="211" t="str">
        <f t="shared" si="127"/>
        <v>N/A</v>
      </c>
      <c r="DB139" s="211" t="str">
        <f t="shared" si="128"/>
        <v>N/A</v>
      </c>
      <c r="DC139" s="211" t="str">
        <f t="shared" si="129"/>
        <v>N/A</v>
      </c>
      <c r="DD139" s="211" t="str">
        <f t="shared" si="130"/>
        <v>N/A</v>
      </c>
      <c r="DE139" s="211" t="str">
        <f t="shared" si="131"/>
        <v>N/A</v>
      </c>
      <c r="DF139" s="211" t="str">
        <f t="shared" si="132"/>
        <v>N/A</v>
      </c>
    </row>
    <row r="140" spans="1:110" s="211" customFormat="1" ht="64.5" customHeight="1">
      <c r="A140" s="348" t="s">
        <v>391</v>
      </c>
      <c r="B140" s="211" t="s">
        <v>143</v>
      </c>
      <c r="C140" s="211" t="s">
        <v>449</v>
      </c>
      <c r="D140" s="211" t="s">
        <v>450</v>
      </c>
      <c r="E140" s="211" t="s">
        <v>451</v>
      </c>
      <c r="F140" s="348" t="s">
        <v>447</v>
      </c>
      <c r="G140" s="211" t="s">
        <v>178</v>
      </c>
      <c r="H140" s="211">
        <v>1</v>
      </c>
      <c r="I140" s="323">
        <v>87742</v>
      </c>
      <c r="J140" s="323">
        <v>87742</v>
      </c>
      <c r="K140" s="288">
        <v>1</v>
      </c>
      <c r="L140" s="211" t="s">
        <v>666</v>
      </c>
      <c r="M140" s="211" t="b">
        <v>1</v>
      </c>
      <c r="N140" s="211" t="s">
        <v>667</v>
      </c>
      <c r="O140" s="209" t="s">
        <v>2832</v>
      </c>
      <c r="P140" s="211" t="s">
        <v>159</v>
      </c>
      <c r="Q140" s="211" t="s">
        <v>160</v>
      </c>
      <c r="T140" s="236"/>
      <c r="U140" s="236"/>
      <c r="V140" s="236"/>
      <c r="W140" s="236"/>
      <c r="X140" s="236"/>
      <c r="Y140" s="236"/>
      <c r="Z140" s="236"/>
      <c r="AA140" s="236"/>
      <c r="AB140" s="236"/>
      <c r="AC140" s="236"/>
      <c r="AD140" s="236"/>
      <c r="AE140" s="236"/>
      <c r="AF140" s="236"/>
      <c r="AG140" s="236"/>
      <c r="AH140" s="236"/>
      <c r="AI140" s="236"/>
      <c r="AJ140" s="236"/>
      <c r="AK140" s="242"/>
      <c r="AL140" s="242"/>
      <c r="AM140" s="242"/>
      <c r="AN140" s="242"/>
      <c r="AO140" s="242"/>
      <c r="AP140" s="242"/>
      <c r="AQ140" s="242"/>
      <c r="AR140" s="242"/>
      <c r="AS140" s="242"/>
      <c r="BI140" s="240"/>
      <c r="BU140" s="236"/>
      <c r="CA140" s="274"/>
      <c r="CB140" s="209"/>
      <c r="CC140" s="209"/>
      <c r="CD140" s="209"/>
      <c r="CE140" s="209"/>
      <c r="CF140" s="209"/>
      <c r="CG140" s="209"/>
      <c r="CO140" s="211" t="s">
        <v>391</v>
      </c>
      <c r="CP140" s="211" t="s">
        <v>143</v>
      </c>
      <c r="CQ140" s="211" t="s">
        <v>449</v>
      </c>
      <c r="CR140" s="211" t="s">
        <v>450</v>
      </c>
      <c r="CS140" s="211" t="s">
        <v>666</v>
      </c>
      <c r="CT140" s="211" t="s">
        <v>449</v>
      </c>
      <c r="CU140" s="211" t="str">
        <f t="shared" si="121"/>
        <v>N/A</v>
      </c>
      <c r="CV140" s="211" t="str">
        <f t="shared" si="122"/>
        <v>N/A</v>
      </c>
      <c r="CW140" s="211" t="str">
        <f t="shared" si="123"/>
        <v>N/A</v>
      </c>
      <c r="CX140" s="211" t="str">
        <f t="shared" si="124"/>
        <v>N/A</v>
      </c>
      <c r="CY140" s="211" t="str">
        <f t="shared" si="125"/>
        <v>N/A</v>
      </c>
      <c r="CZ140" s="211" t="str">
        <f t="shared" si="126"/>
        <v xml:space="preserve">​Entre abril a junio se radicaron y trasladaron al responsable del aseguramiento a travez de una orden de inmediato y obligatorio cumplimiento 87.742 reclamos en salud recibidos por el canal presencial
</v>
      </c>
      <c r="DA140" s="211" t="str">
        <f t="shared" si="127"/>
        <v>N/A</v>
      </c>
      <c r="DB140" s="211" t="str">
        <f t="shared" si="128"/>
        <v>N/A</v>
      </c>
      <c r="DC140" s="211" t="str">
        <f t="shared" si="129"/>
        <v>N/A</v>
      </c>
      <c r="DD140" s="211" t="str">
        <f t="shared" si="130"/>
        <v>N/A</v>
      </c>
      <c r="DE140" s="211" t="str">
        <f t="shared" si="131"/>
        <v>N/A</v>
      </c>
      <c r="DF140" s="211" t="str">
        <f t="shared" si="132"/>
        <v>N/A</v>
      </c>
    </row>
    <row r="141" spans="1:110" s="211" customFormat="1" ht="64.5" customHeight="1">
      <c r="A141" s="348" t="s">
        <v>454</v>
      </c>
      <c r="B141" s="211" t="s">
        <v>143</v>
      </c>
      <c r="C141" s="211" t="s">
        <v>602</v>
      </c>
      <c r="D141" s="211" t="s">
        <v>603</v>
      </c>
      <c r="E141" s="211" t="s">
        <v>604</v>
      </c>
      <c r="F141" s="348" t="s">
        <v>605</v>
      </c>
      <c r="G141" s="211" t="s">
        <v>157</v>
      </c>
      <c r="H141" s="211">
        <v>1</v>
      </c>
      <c r="I141" s="323">
        <v>1</v>
      </c>
      <c r="J141" s="323">
        <v>1</v>
      </c>
      <c r="K141" s="288">
        <v>1</v>
      </c>
      <c r="L141" s="211" t="s">
        <v>2997</v>
      </c>
      <c r="M141" s="211" t="b">
        <v>0</v>
      </c>
      <c r="O141" s="209" t="s">
        <v>2832</v>
      </c>
      <c r="P141" s="211" t="s">
        <v>159</v>
      </c>
      <c r="Q141" s="211" t="s">
        <v>160</v>
      </c>
      <c r="T141" s="236"/>
      <c r="U141" s="236"/>
      <c r="V141" s="236"/>
      <c r="W141" s="236"/>
      <c r="X141" s="236"/>
      <c r="Y141" s="236"/>
      <c r="Z141" s="236"/>
      <c r="AA141" s="236"/>
      <c r="AB141" s="236"/>
      <c r="AC141" s="236"/>
      <c r="AD141" s="236"/>
      <c r="AE141" s="236"/>
      <c r="AF141" s="236"/>
      <c r="AG141" s="236"/>
      <c r="AH141" s="236"/>
      <c r="AI141" s="236"/>
      <c r="AJ141" s="236"/>
      <c r="AK141" s="242"/>
      <c r="AL141" s="242"/>
      <c r="AM141" s="242"/>
      <c r="AN141" s="242"/>
      <c r="AO141" s="242"/>
      <c r="AP141" s="242"/>
      <c r="AQ141" s="242"/>
      <c r="AR141" s="242"/>
      <c r="AS141" s="242"/>
      <c r="BI141" s="240"/>
      <c r="BU141" s="236"/>
      <c r="CA141" s="274"/>
      <c r="CB141" s="209"/>
      <c r="CC141" s="209"/>
      <c r="CD141" s="209"/>
      <c r="CE141" s="209"/>
      <c r="CF141" s="209"/>
      <c r="CG141" s="209"/>
      <c r="CO141" s="211" t="s">
        <v>454</v>
      </c>
      <c r="CP141" s="211" t="s">
        <v>143</v>
      </c>
      <c r="CQ141" s="211" t="s">
        <v>602</v>
      </c>
      <c r="CR141" s="211" t="s">
        <v>603</v>
      </c>
      <c r="CS141" s="211" t="s">
        <v>2997</v>
      </c>
      <c r="CT141" s="211" t="s">
        <v>602</v>
      </c>
      <c r="CU141" s="211" t="str">
        <f t="shared" si="121"/>
        <v>N/A</v>
      </c>
      <c r="CV141" s="211" t="str">
        <f t="shared" si="122"/>
        <v>N/A</v>
      </c>
      <c r="CW141" s="211" t="str">
        <f t="shared" si="123"/>
        <v>N/A</v>
      </c>
      <c r="CX141" s="211" t="str">
        <f t="shared" si="124"/>
        <v>N/A</v>
      </c>
      <c r="CY141" s="211" t="str">
        <f t="shared" si="125"/>
        <v>N/A</v>
      </c>
      <c r="CZ141" s="211" t="str">
        <f t="shared" si="126"/>
        <v xml:space="preserve">​
Se realizó actividad de IV con el Gestor Farmacéutico COHAN y  representantes de FOMAG en la ciudad de Quibdo  la cual tuvo como objetivos fundamental:Presentación de la información por parte del Gestor Farmacéutico.Presentación de la información por parte de la EAPB.Lo cual es fundamental para el cumplimiento de las acciones de IV de la DOLTS-GF, de esta manera se da cumplimiento al 100% de lo propuesto en el PAG para mayo 2025.
</v>
      </c>
      <c r="DA141" s="211" t="str">
        <f t="shared" si="127"/>
        <v>N/A</v>
      </c>
      <c r="DB141" s="211" t="str">
        <f t="shared" si="128"/>
        <v>N/A</v>
      </c>
      <c r="DC141" s="211" t="str">
        <f t="shared" si="129"/>
        <v>N/A</v>
      </c>
      <c r="DD141" s="211" t="str">
        <f t="shared" si="130"/>
        <v>N/A</v>
      </c>
      <c r="DE141" s="211" t="str">
        <f t="shared" si="131"/>
        <v>N/A</v>
      </c>
      <c r="DF141" s="211" t="str">
        <f t="shared" si="132"/>
        <v>N/A</v>
      </c>
    </row>
    <row r="142" spans="1:110" s="211" customFormat="1" ht="64.5" customHeight="1">
      <c r="A142" s="348" t="s">
        <v>454</v>
      </c>
      <c r="B142" s="211" t="s">
        <v>143</v>
      </c>
      <c r="C142" s="211" t="s">
        <v>642</v>
      </c>
      <c r="D142" s="211" t="s">
        <v>673</v>
      </c>
      <c r="E142" s="211" t="s">
        <v>674</v>
      </c>
      <c r="F142" s="348" t="s">
        <v>675</v>
      </c>
      <c r="G142" s="211" t="s">
        <v>157</v>
      </c>
      <c r="H142" s="211">
        <v>65</v>
      </c>
      <c r="I142" s="323">
        <v>65</v>
      </c>
      <c r="J142" s="323">
        <v>65</v>
      </c>
      <c r="K142" s="288">
        <v>1</v>
      </c>
      <c r="L142" s="211" t="s">
        <v>676</v>
      </c>
      <c r="M142" s="211" t="b">
        <v>1</v>
      </c>
      <c r="N142" s="211" t="s">
        <v>677</v>
      </c>
      <c r="O142" s="209" t="s">
        <v>2832</v>
      </c>
      <c r="P142" s="211" t="s">
        <v>159</v>
      </c>
      <c r="Q142" s="211" t="s">
        <v>160</v>
      </c>
      <c r="T142" s="236"/>
      <c r="U142" s="236"/>
      <c r="V142" s="236"/>
      <c r="W142" s="236"/>
      <c r="X142" s="236"/>
      <c r="Y142" s="236"/>
      <c r="Z142" s="236"/>
      <c r="AA142" s="236"/>
      <c r="AB142" s="236"/>
      <c r="AC142" s="236"/>
      <c r="AD142" s="236"/>
      <c r="AE142" s="236"/>
      <c r="AF142" s="236"/>
      <c r="AG142" s="236"/>
      <c r="AH142" s="236"/>
      <c r="AI142" s="236"/>
      <c r="AJ142" s="236"/>
      <c r="AK142" s="242"/>
      <c r="AL142" s="242"/>
      <c r="AM142" s="242"/>
      <c r="AN142" s="242"/>
      <c r="AO142" s="242"/>
      <c r="AP142" s="242"/>
      <c r="AQ142" s="242"/>
      <c r="AR142" s="242"/>
      <c r="AS142" s="242"/>
      <c r="BI142" s="240"/>
      <c r="BU142" s="236"/>
      <c r="CA142" s="274"/>
      <c r="CB142" s="209"/>
      <c r="CC142" s="209"/>
      <c r="CD142" s="209"/>
      <c r="CE142" s="209"/>
      <c r="CF142" s="209"/>
      <c r="CG142" s="209"/>
      <c r="CO142" s="211" t="s">
        <v>454</v>
      </c>
      <c r="CP142" s="211" t="s">
        <v>143</v>
      </c>
      <c r="CQ142" s="211" t="s">
        <v>642</v>
      </c>
      <c r="CR142" s="211" t="s">
        <v>673</v>
      </c>
      <c r="CS142" s="211" t="s">
        <v>676</v>
      </c>
      <c r="CT142" s="211" t="s">
        <v>642</v>
      </c>
      <c r="CU142" s="211" t="str">
        <f t="shared" si="121"/>
        <v>N/A</v>
      </c>
      <c r="CV142" s="211" t="str">
        <f t="shared" si="122"/>
        <v>N/A</v>
      </c>
      <c r="CW142" s="211" t="str">
        <f t="shared" si="123"/>
        <v>N/A</v>
      </c>
      <c r="CX142" s="211" t="str">
        <f t="shared" si="124"/>
        <v>N/A</v>
      </c>
      <c r="CY142" s="211" t="str">
        <f t="shared" si="125"/>
        <v>N/A</v>
      </c>
      <c r="CZ142" s="211" t="str">
        <f t="shared" si="126"/>
        <v xml:space="preserve"> En cumplimiento de las metas programadas por la DOLTS_GF SNS en el cronograma de actividades del Plan Anual de Gestión - PAG del mes junio de 2025, donde se incluyeron sesenta y cinco (65) caracterizaciones individuales de los “nuevos” Gestores Farmacéuticos identificados por la Dirección de Innovación y Desarrollo de los años 2023 y 2024, se anaxan las evidencias documentales de las actuaciones adelantadas por el Grupo Interno Financiero de esta Delegatura. De esta manera se da cumpliemiento al 100% de lo propuesto para el mes de junio 2025.
</v>
      </c>
      <c r="DA142" s="211" t="str">
        <f t="shared" si="127"/>
        <v>N/A</v>
      </c>
      <c r="DB142" s="211" t="str">
        <f t="shared" si="128"/>
        <v>N/A</v>
      </c>
      <c r="DC142" s="211" t="str">
        <f t="shared" si="129"/>
        <v>N/A</v>
      </c>
      <c r="DD142" s="211" t="str">
        <f t="shared" si="130"/>
        <v>N/A</v>
      </c>
      <c r="DE142" s="211" t="str">
        <f t="shared" si="131"/>
        <v>N/A</v>
      </c>
      <c r="DF142" s="211" t="str">
        <f t="shared" si="132"/>
        <v>N/A</v>
      </c>
    </row>
    <row r="143" spans="1:110" s="211" customFormat="1" ht="64.5" customHeight="1">
      <c r="A143" s="348" t="s">
        <v>199</v>
      </c>
      <c r="B143" s="211" t="s">
        <v>143</v>
      </c>
      <c r="C143" s="211" t="s">
        <v>200</v>
      </c>
      <c r="D143" s="211" t="s">
        <v>201</v>
      </c>
      <c r="E143" s="211" t="s">
        <v>202</v>
      </c>
      <c r="F143" s="348" t="s">
        <v>203</v>
      </c>
      <c r="G143" s="211" t="s">
        <v>157</v>
      </c>
      <c r="H143" s="211">
        <v>17</v>
      </c>
      <c r="I143" s="323">
        <v>18</v>
      </c>
      <c r="J143" s="323">
        <v>17</v>
      </c>
      <c r="K143" s="288">
        <v>1.0588235294117601</v>
      </c>
      <c r="L143" s="211" t="s">
        <v>2998</v>
      </c>
      <c r="M143" s="211" t="b">
        <v>0</v>
      </c>
      <c r="O143" s="209" t="s">
        <v>2832</v>
      </c>
      <c r="P143" s="211" t="s">
        <v>159</v>
      </c>
      <c r="Q143" s="211" t="s">
        <v>160</v>
      </c>
      <c r="T143" s="236"/>
      <c r="U143" s="236"/>
      <c r="V143" s="236"/>
      <c r="W143" s="236"/>
      <c r="X143" s="236"/>
      <c r="Y143" s="236"/>
      <c r="Z143" s="236"/>
      <c r="AA143" s="236"/>
      <c r="AB143" s="236"/>
      <c r="AC143" s="236"/>
      <c r="AD143" s="236"/>
      <c r="AE143" s="236"/>
      <c r="AF143" s="236"/>
      <c r="AG143" s="236"/>
      <c r="AH143" s="236"/>
      <c r="AI143" s="236"/>
      <c r="AJ143" s="236"/>
      <c r="AK143" s="242"/>
      <c r="AL143" s="242"/>
      <c r="AM143" s="242"/>
      <c r="AN143" s="242"/>
      <c r="AO143" s="242"/>
      <c r="AP143" s="242"/>
      <c r="AQ143" s="242"/>
      <c r="AR143" s="242"/>
      <c r="AS143" s="242"/>
      <c r="BI143" s="240"/>
      <c r="BU143" s="236"/>
      <c r="CA143" s="274"/>
      <c r="CB143" s="209"/>
      <c r="CC143" s="209"/>
      <c r="CD143" s="209"/>
      <c r="CE143" s="209"/>
      <c r="CF143" s="209"/>
      <c r="CG143" s="209"/>
      <c r="CO143" s="211" t="s">
        <v>199</v>
      </c>
      <c r="CP143" s="211" t="s">
        <v>143</v>
      </c>
      <c r="CQ143" s="211" t="s">
        <v>200</v>
      </c>
      <c r="CR143" s="211" t="s">
        <v>201</v>
      </c>
      <c r="CS143" s="211" t="s">
        <v>2998</v>
      </c>
      <c r="CT143" s="211" t="s">
        <v>200</v>
      </c>
      <c r="CU143" s="211" t="str">
        <f t="shared" si="121"/>
        <v>N/A</v>
      </c>
      <c r="CV143" s="211" t="str">
        <f t="shared" si="122"/>
        <v>N/A</v>
      </c>
      <c r="CW143" s="211" t="str">
        <f t="shared" si="123"/>
        <v>N/A</v>
      </c>
      <c r="CX143" s="211" t="str">
        <f t="shared" si="124"/>
        <v>N/A</v>
      </c>
      <c r="CY143" s="211" t="str">
        <f t="shared" si="125"/>
        <v>N/A</v>
      </c>
      <c r="CZ143" s="211" t="str">
        <f t="shared" si="126"/>
        <v xml:space="preserve">Para el segundo trimestre de 2025, la Dirección de Inspección y Vigilancia para Prestadores de Servicios de Salud, programó 17 auditorias, de la siguiente manera:
En el mes de abril, se programaron 10 auditorias de las cuales se ejecutaron 10.
En el mes de mayo se programaron 2 auditorias de las cuales se ejecutaron 2.
En el mes de junio, aunque, se programaron 5 auditorias, se ejecutaron 6. Esta auditoria adicional, tuvo alcance específico, debido a situaciones presentadas en el sistema, que requirieron atención inmediata del Equipo IV de Salud.
Por lo anterior, para el II trimestre de 2025, se presenta una ejecución del 105%, correspondiente a la ejecución de 18 auditorías, de 17 programadas para dicho periodo.
</v>
      </c>
      <c r="DA143" s="211" t="str">
        <f t="shared" si="127"/>
        <v>N/A</v>
      </c>
      <c r="DB143" s="211" t="str">
        <f t="shared" si="128"/>
        <v>N/A</v>
      </c>
      <c r="DC143" s="211" t="str">
        <f t="shared" si="129"/>
        <v>N/A</v>
      </c>
      <c r="DD143" s="211" t="str">
        <f t="shared" si="130"/>
        <v>N/A</v>
      </c>
      <c r="DE143" s="211" t="str">
        <f t="shared" si="131"/>
        <v>N/A</v>
      </c>
      <c r="DF143" s="211" t="str">
        <f t="shared" si="132"/>
        <v>N/A</v>
      </c>
    </row>
    <row r="144" spans="1:110" s="211" customFormat="1" ht="64.5" customHeight="1">
      <c r="A144" s="348" t="s">
        <v>199</v>
      </c>
      <c r="B144" s="211" t="s">
        <v>143</v>
      </c>
      <c r="C144" s="211" t="s">
        <v>204</v>
      </c>
      <c r="D144" s="211" t="s">
        <v>205</v>
      </c>
      <c r="E144" s="211" t="s">
        <v>206</v>
      </c>
      <c r="F144" s="348" t="s">
        <v>207</v>
      </c>
      <c r="G144" s="211" t="s">
        <v>178</v>
      </c>
      <c r="H144" s="211">
        <v>1</v>
      </c>
      <c r="I144" s="323">
        <v>75</v>
      </c>
      <c r="J144" s="323">
        <v>77</v>
      </c>
      <c r="K144" s="288">
        <v>0.97402597402597402</v>
      </c>
      <c r="L144" s="211" t="s">
        <v>778</v>
      </c>
      <c r="M144" s="211" t="b">
        <v>0</v>
      </c>
      <c r="O144" s="209" t="s">
        <v>2832</v>
      </c>
      <c r="P144" s="211" t="s">
        <v>159</v>
      </c>
      <c r="Q144" s="211" t="s">
        <v>160</v>
      </c>
      <c r="T144" s="236"/>
      <c r="U144" s="236"/>
      <c r="V144" s="236"/>
      <c r="W144" s="236"/>
      <c r="X144" s="236"/>
      <c r="Y144" s="236"/>
      <c r="Z144" s="236"/>
      <c r="AA144" s="236"/>
      <c r="AB144" s="236"/>
      <c r="AC144" s="236"/>
      <c r="AD144" s="236"/>
      <c r="AE144" s="236"/>
      <c r="AF144" s="236"/>
      <c r="AG144" s="236"/>
      <c r="AH144" s="236"/>
      <c r="AI144" s="236"/>
      <c r="AJ144" s="236"/>
      <c r="AK144" s="242"/>
      <c r="AL144" s="242"/>
      <c r="AM144" s="242"/>
      <c r="AN144" s="242"/>
      <c r="AO144" s="242"/>
      <c r="AP144" s="242"/>
      <c r="AQ144" s="242"/>
      <c r="AR144" s="242"/>
      <c r="AS144" s="242"/>
      <c r="BI144" s="240"/>
      <c r="BU144" s="236"/>
      <c r="CA144" s="274"/>
      <c r="CB144" s="209"/>
      <c r="CC144" s="209"/>
      <c r="CD144" s="209"/>
      <c r="CE144" s="209"/>
      <c r="CF144" s="209"/>
      <c r="CG144" s="209"/>
      <c r="CO144" s="211" t="s">
        <v>199</v>
      </c>
      <c r="CP144" s="211" t="s">
        <v>143</v>
      </c>
      <c r="CQ144" s="211" t="s">
        <v>204</v>
      </c>
      <c r="CR144" s="211" t="s">
        <v>205</v>
      </c>
      <c r="CS144" s="211" t="s">
        <v>778</v>
      </c>
      <c r="CT144" s="211" t="s">
        <v>204</v>
      </c>
      <c r="CU144" s="211" t="str">
        <f t="shared" si="121"/>
        <v>N/A</v>
      </c>
      <c r="CV144" s="211" t="str">
        <f t="shared" si="122"/>
        <v>N/A</v>
      </c>
      <c r="CW144" s="211" t="str">
        <f t="shared" si="123"/>
        <v>N/A</v>
      </c>
      <c r="CX144" s="211" t="str">
        <f t="shared" si="124"/>
        <v>N/A</v>
      </c>
      <c r="CY144" s="211" t="str">
        <f t="shared" si="125"/>
        <v>N/A</v>
      </c>
      <c r="CZ144" s="211" t="str">
        <f t="shared" si="126"/>
        <v xml:space="preserve">En el segundo trimestre de 2025 se evaluaron 24 planes de mejoramiento en su primera revisión y 8 en su segunda revisión para aprobación. Asimismo, se llevó a cabo el análisis y la evaluación de los soportes y evidencias de ejecución de 43 planes de mejoramiento, para un total de 75 planes de mejoramiento evaluados de 77 gestionados en el periodo, lo cual corresponde al 97% de ejecución.
Cabe señalar que dos (2) planes radicados para primera revisión fueron evaluados posterior al plazo establecido.
</v>
      </c>
      <c r="DA144" s="211" t="str">
        <f t="shared" si="127"/>
        <v>N/A</v>
      </c>
      <c r="DB144" s="211" t="str">
        <f t="shared" si="128"/>
        <v>N/A</v>
      </c>
      <c r="DC144" s="211" t="str">
        <f t="shared" si="129"/>
        <v>N/A</v>
      </c>
      <c r="DD144" s="211" t="str">
        <f t="shared" si="130"/>
        <v>N/A</v>
      </c>
      <c r="DE144" s="211" t="str">
        <f t="shared" si="131"/>
        <v>N/A</v>
      </c>
      <c r="DF144" s="211" t="str">
        <f t="shared" si="132"/>
        <v>N/A</v>
      </c>
    </row>
    <row r="145" spans="1:110" s="211" customFormat="1" ht="64.5" customHeight="1">
      <c r="A145" s="348" t="s">
        <v>199</v>
      </c>
      <c r="B145" s="211" t="s">
        <v>143</v>
      </c>
      <c r="C145" s="211" t="s">
        <v>264</v>
      </c>
      <c r="D145" s="211" t="s">
        <v>804</v>
      </c>
      <c r="E145" s="211" t="s">
        <v>805</v>
      </c>
      <c r="F145" s="348" t="s">
        <v>806</v>
      </c>
      <c r="G145" s="211" t="s">
        <v>178</v>
      </c>
      <c r="H145" s="211">
        <v>1</v>
      </c>
      <c r="I145" s="323">
        <v>1</v>
      </c>
      <c r="J145" s="323">
        <v>1</v>
      </c>
      <c r="K145" s="288">
        <v>1</v>
      </c>
      <c r="L145" s="211" t="s">
        <v>807</v>
      </c>
      <c r="M145" s="211" t="b">
        <v>0</v>
      </c>
      <c r="O145" s="209" t="s">
        <v>2832</v>
      </c>
      <c r="P145" s="211" t="s">
        <v>159</v>
      </c>
      <c r="Q145" s="211" t="s">
        <v>160</v>
      </c>
      <c r="T145" s="236"/>
      <c r="U145" s="236"/>
      <c r="V145" s="236"/>
      <c r="W145" s="236"/>
      <c r="X145" s="236"/>
      <c r="Y145" s="236"/>
      <c r="Z145" s="236"/>
      <c r="AA145" s="236"/>
      <c r="AB145" s="236"/>
      <c r="AC145" s="236"/>
      <c r="AD145" s="236"/>
      <c r="AE145" s="236"/>
      <c r="AF145" s="236"/>
      <c r="AG145" s="236"/>
      <c r="AH145" s="236"/>
      <c r="AI145" s="236"/>
      <c r="AJ145" s="236"/>
      <c r="AK145" s="242"/>
      <c r="AL145" s="242"/>
      <c r="AM145" s="242"/>
      <c r="AN145" s="242"/>
      <c r="AO145" s="242"/>
      <c r="AP145" s="242"/>
      <c r="AQ145" s="242"/>
      <c r="AR145" s="242"/>
      <c r="AS145" s="242"/>
      <c r="BI145" s="240"/>
      <c r="BU145" s="236"/>
      <c r="CA145" s="274"/>
      <c r="CB145" s="209"/>
      <c r="CC145" s="209"/>
      <c r="CD145" s="209"/>
      <c r="CE145" s="209"/>
      <c r="CF145" s="209"/>
      <c r="CG145" s="209"/>
      <c r="CO145" s="211" t="s">
        <v>199</v>
      </c>
      <c r="CP145" s="211" t="s">
        <v>143</v>
      </c>
      <c r="CQ145" s="211" t="s">
        <v>264</v>
      </c>
      <c r="CR145" s="211" t="s">
        <v>804</v>
      </c>
      <c r="CS145" s="211" t="s">
        <v>807</v>
      </c>
      <c r="CT145" s="211" t="s">
        <v>264</v>
      </c>
      <c r="CU145" s="211" t="str">
        <f t="shared" si="121"/>
        <v>N/A</v>
      </c>
      <c r="CV145" s="211" t="str">
        <f t="shared" si="122"/>
        <v>N/A</v>
      </c>
      <c r="CW145" s="211" t="str">
        <f t="shared" si="123"/>
        <v>N/A</v>
      </c>
      <c r="CX145" s="211" t="str">
        <f t="shared" si="124"/>
        <v>N/A</v>
      </c>
      <c r="CY145" s="211" t="str">
        <f t="shared" si="125"/>
        <v>N/A</v>
      </c>
      <c r="CZ145" s="211" t="str">
        <f t="shared" si="126"/>
        <v xml:space="preserve">​Para el I semestre de 2025, se realizó una (1) visita de seguimiento programada a la ESE Hospital San Diego de Cereté del departemento de Cordoba, la cual tuvo como objetivo, participar en la reunion convocada en el marco de acuerdo de reestructuración de pasivos, dando cumplimiento a la meta establecida del 100%.
</v>
      </c>
      <c r="DA145" s="211" t="str">
        <f t="shared" si="127"/>
        <v>N/A</v>
      </c>
      <c r="DB145" s="211" t="str">
        <f t="shared" si="128"/>
        <v>N/A</v>
      </c>
      <c r="DC145" s="211" t="str">
        <f t="shared" si="129"/>
        <v>N/A</v>
      </c>
      <c r="DD145" s="211" t="str">
        <f t="shared" si="130"/>
        <v>N/A</v>
      </c>
      <c r="DE145" s="211" t="str">
        <f t="shared" si="131"/>
        <v>N/A</v>
      </c>
      <c r="DF145" s="211" t="str">
        <f t="shared" si="132"/>
        <v>N/A</v>
      </c>
    </row>
    <row r="146" spans="1:110" s="211" customFormat="1" ht="64.5" customHeight="1">
      <c r="A146" s="348" t="s">
        <v>199</v>
      </c>
      <c r="B146" s="211" t="s">
        <v>143</v>
      </c>
      <c r="C146" s="211" t="s">
        <v>270</v>
      </c>
      <c r="D146" s="211" t="s">
        <v>808</v>
      </c>
      <c r="E146" s="211" t="s">
        <v>809</v>
      </c>
      <c r="F146" s="348" t="s">
        <v>810</v>
      </c>
      <c r="G146" s="211" t="s">
        <v>178</v>
      </c>
      <c r="H146" s="211">
        <v>1</v>
      </c>
      <c r="I146" s="323">
        <v>3</v>
      </c>
      <c r="J146" s="323">
        <v>3</v>
      </c>
      <c r="K146" s="288">
        <v>1</v>
      </c>
      <c r="L146" s="211" t="s">
        <v>811</v>
      </c>
      <c r="M146" s="211" t="b">
        <v>0</v>
      </c>
      <c r="O146" s="209" t="s">
        <v>2832</v>
      </c>
      <c r="P146" s="211" t="s">
        <v>159</v>
      </c>
      <c r="Q146" s="211" t="s">
        <v>160</v>
      </c>
      <c r="T146" s="236"/>
      <c r="U146" s="236"/>
      <c r="V146" s="236"/>
      <c r="W146" s="236"/>
      <c r="X146" s="236"/>
      <c r="Y146" s="236"/>
      <c r="Z146" s="236"/>
      <c r="AA146" s="236"/>
      <c r="AB146" s="236"/>
      <c r="AC146" s="236"/>
      <c r="AD146" s="236"/>
      <c r="AE146" s="236"/>
      <c r="AF146" s="236"/>
      <c r="AG146" s="236"/>
      <c r="AH146" s="236"/>
      <c r="AI146" s="236"/>
      <c r="AJ146" s="236"/>
      <c r="AK146" s="242"/>
      <c r="AL146" s="242"/>
      <c r="AM146" s="242"/>
      <c r="AN146" s="242"/>
      <c r="AO146" s="242"/>
      <c r="AP146" s="242"/>
      <c r="AQ146" s="242"/>
      <c r="AR146" s="242"/>
      <c r="AS146" s="242"/>
      <c r="BI146" s="240"/>
      <c r="BU146" s="236"/>
      <c r="CA146" s="274"/>
      <c r="CB146" s="209"/>
      <c r="CC146" s="209"/>
      <c r="CD146" s="209"/>
      <c r="CE146" s="209"/>
      <c r="CF146" s="209"/>
      <c r="CG146" s="209"/>
      <c r="CO146" s="211" t="s">
        <v>199</v>
      </c>
      <c r="CP146" s="211" t="s">
        <v>143</v>
      </c>
      <c r="CQ146" s="211" t="s">
        <v>270</v>
      </c>
      <c r="CR146" s="211" t="s">
        <v>808</v>
      </c>
      <c r="CS146" s="211" t="s">
        <v>811</v>
      </c>
      <c r="CT146" s="211" t="s">
        <v>270</v>
      </c>
      <c r="CU146" s="211" t="str">
        <f t="shared" si="121"/>
        <v>N/A</v>
      </c>
      <c r="CV146" s="211" t="str">
        <f t="shared" si="122"/>
        <v>N/A</v>
      </c>
      <c r="CW146" s="211" t="str">
        <f t="shared" si="123"/>
        <v>N/A</v>
      </c>
      <c r="CX146" s="211" t="str">
        <f t="shared" si="124"/>
        <v>N/A</v>
      </c>
      <c r="CY146" s="211" t="str">
        <f t="shared" si="125"/>
        <v>N/A</v>
      </c>
      <c r="CZ146" s="211" t="str">
        <f t="shared" si="126"/>
        <v xml:space="preserve">​Para el I semestre de la vigencia 2025, la Delegada para Prestadores de Servicios de Salud, realizó dos (2) eventos de socialización y uno (1) de concertacion con EPS, para un total de tres (3) eventos en relación con las acciones y medidas especiales adoptadas a los Prestadores de Servicios de Salud-PSS, dando cumplimiento a la meta establecida del 100%
</v>
      </c>
      <c r="DA146" s="211" t="str">
        <f t="shared" si="127"/>
        <v>N/A</v>
      </c>
      <c r="DB146" s="211" t="str">
        <f t="shared" si="128"/>
        <v>N/A</v>
      </c>
      <c r="DC146" s="211" t="str">
        <f t="shared" si="129"/>
        <v>N/A</v>
      </c>
      <c r="DD146" s="211" t="str">
        <f t="shared" si="130"/>
        <v>N/A</v>
      </c>
      <c r="DE146" s="211" t="str">
        <f t="shared" si="131"/>
        <v>N/A</v>
      </c>
      <c r="DF146" s="211" t="str">
        <f t="shared" si="132"/>
        <v>N/A</v>
      </c>
    </row>
    <row r="147" spans="1:110" s="211" customFormat="1" ht="64.5" customHeight="1">
      <c r="A147" s="348" t="s">
        <v>199</v>
      </c>
      <c r="B147" s="211" t="s">
        <v>143</v>
      </c>
      <c r="C147" s="211" t="s">
        <v>209</v>
      </c>
      <c r="D147" s="211" t="s">
        <v>210</v>
      </c>
      <c r="E147" s="211" t="s">
        <v>211</v>
      </c>
      <c r="F147" s="348" t="s">
        <v>212</v>
      </c>
      <c r="G147" s="211" t="s">
        <v>178</v>
      </c>
      <c r="H147" s="211">
        <v>0.3</v>
      </c>
      <c r="I147" s="323">
        <v>11</v>
      </c>
      <c r="J147" s="323">
        <v>11</v>
      </c>
      <c r="K147" s="288">
        <v>1</v>
      </c>
      <c r="L147" s="211" t="s">
        <v>795</v>
      </c>
      <c r="M147" s="211" t="b">
        <v>0</v>
      </c>
      <c r="O147" s="209" t="s">
        <v>2832</v>
      </c>
      <c r="P147" s="211" t="s">
        <v>159</v>
      </c>
      <c r="Q147" s="211" t="s">
        <v>160</v>
      </c>
      <c r="T147" s="236"/>
      <c r="U147" s="236"/>
      <c r="V147" s="236"/>
      <c r="W147" s="236"/>
      <c r="X147" s="236"/>
      <c r="Y147" s="236"/>
      <c r="Z147" s="236"/>
      <c r="AA147" s="236"/>
      <c r="AB147" s="236"/>
      <c r="AC147" s="236"/>
      <c r="AD147" s="236"/>
      <c r="AE147" s="236"/>
      <c r="AF147" s="236"/>
      <c r="AG147" s="236"/>
      <c r="AH147" s="236"/>
      <c r="AI147" s="236"/>
      <c r="AJ147" s="236"/>
      <c r="AK147" s="242"/>
      <c r="AL147" s="242"/>
      <c r="AM147" s="242"/>
      <c r="AN147" s="242"/>
      <c r="AO147" s="242"/>
      <c r="AP147" s="242"/>
      <c r="AQ147" s="242"/>
      <c r="AR147" s="242"/>
      <c r="AS147" s="242"/>
      <c r="BI147" s="240"/>
      <c r="BU147" s="236"/>
      <c r="CA147" s="274"/>
      <c r="CB147" s="209"/>
      <c r="CC147" s="209"/>
      <c r="CD147" s="209"/>
      <c r="CE147" s="209"/>
      <c r="CF147" s="209"/>
      <c r="CG147" s="209"/>
      <c r="CO147" s="211" t="s">
        <v>199</v>
      </c>
      <c r="CP147" s="211" t="s">
        <v>143</v>
      </c>
      <c r="CQ147" s="211" t="s">
        <v>209</v>
      </c>
      <c r="CR147" s="211" t="s">
        <v>210</v>
      </c>
      <c r="CS147" s="211" t="s">
        <v>795</v>
      </c>
      <c r="CT147" s="211" t="s">
        <v>209</v>
      </c>
      <c r="CU147" s="211" t="str">
        <f t="shared" si="121"/>
        <v>N/A</v>
      </c>
      <c r="CV147" s="211" t="str">
        <f t="shared" si="122"/>
        <v>N/A</v>
      </c>
      <c r="CW147" s="211" t="str">
        <f t="shared" si="123"/>
        <v>N/A</v>
      </c>
      <c r="CX147" s="211" t="str">
        <f t="shared" si="124"/>
        <v>N/A</v>
      </c>
      <c r="CY147" s="211" t="str">
        <f t="shared" si="125"/>
        <v>N/A</v>
      </c>
      <c r="CZ147" s="211" t="str">
        <f t="shared" si="126"/>
        <v xml:space="preserve">​Para el II trimestre de 2025, La Dirección de Medidas Especiales para Prestadores de Servicios de Salud realizó 11 seguimientos programados a los Prestadores de Servicios de Salud (PSS) bajo medida especial, de la siguiente manera: Nueva ESE Hospital Dptal San Francisco de Asís, Subred integrada de servicios de salud Centro Oriente (2), ESE Hospital San Rafael de Leticia, E.S.E Hospital Local Cartagena de Indias, Hospital San Andrés ESE – Tumaco, ESE Hospital San José de Maicao, Hospital Regional San Andrés E.S.E - Chiriguaná, Hospital Regional Magdalena Medio – Barrancabermeja, ESE Hospital Rosario Pumarejo de López y ESE Hospital de Nazareth
</v>
      </c>
      <c r="DA147" s="211" t="str">
        <f t="shared" si="127"/>
        <v>N/A</v>
      </c>
      <c r="DB147" s="211" t="str">
        <f t="shared" si="128"/>
        <v>N/A</v>
      </c>
      <c r="DC147" s="211" t="str">
        <f t="shared" si="129"/>
        <v>N/A</v>
      </c>
      <c r="DD147" s="211" t="str">
        <f t="shared" si="130"/>
        <v>N/A</v>
      </c>
      <c r="DE147" s="211" t="str">
        <f t="shared" si="131"/>
        <v>N/A</v>
      </c>
      <c r="DF147" s="211" t="str">
        <f t="shared" si="132"/>
        <v>N/A</v>
      </c>
    </row>
    <row r="148" spans="1:110" s="211" customFormat="1" ht="64.5" customHeight="1">
      <c r="A148" s="348" t="s">
        <v>199</v>
      </c>
      <c r="B148" s="211" t="s">
        <v>143</v>
      </c>
      <c r="C148" s="211" t="s">
        <v>300</v>
      </c>
      <c r="D148" s="211" t="s">
        <v>796</v>
      </c>
      <c r="E148" s="211" t="s">
        <v>797</v>
      </c>
      <c r="F148" s="348" t="s">
        <v>798</v>
      </c>
      <c r="G148" s="211" t="s">
        <v>178</v>
      </c>
      <c r="H148" s="211">
        <v>1</v>
      </c>
      <c r="I148" s="323">
        <v>148</v>
      </c>
      <c r="J148" s="323">
        <v>148</v>
      </c>
      <c r="K148" s="288">
        <v>1</v>
      </c>
      <c r="L148" s="211" t="s">
        <v>799</v>
      </c>
      <c r="M148" s="211" t="b">
        <v>0</v>
      </c>
      <c r="O148" s="209" t="s">
        <v>2832</v>
      </c>
      <c r="P148" s="211" t="s">
        <v>159</v>
      </c>
      <c r="Q148" s="211" t="s">
        <v>160</v>
      </c>
      <c r="T148" s="236"/>
      <c r="U148" s="236"/>
      <c r="V148" s="236"/>
      <c r="W148" s="236"/>
      <c r="X148" s="236"/>
      <c r="Y148" s="236"/>
      <c r="Z148" s="236"/>
      <c r="AA148" s="236"/>
      <c r="AB148" s="236"/>
      <c r="AC148" s="236"/>
      <c r="AD148" s="236"/>
      <c r="AE148" s="236"/>
      <c r="AF148" s="236"/>
      <c r="AG148" s="236"/>
      <c r="AH148" s="236"/>
      <c r="AI148" s="236"/>
      <c r="AJ148" s="236"/>
      <c r="AK148" s="242"/>
      <c r="AL148" s="242"/>
      <c r="AM148" s="242"/>
      <c r="AN148" s="242"/>
      <c r="AO148" s="242"/>
      <c r="AP148" s="242"/>
      <c r="AQ148" s="242"/>
      <c r="AR148" s="242"/>
      <c r="AS148" s="242"/>
      <c r="BI148" s="240"/>
      <c r="BU148" s="236"/>
      <c r="CA148" s="274"/>
      <c r="CB148" s="209"/>
      <c r="CC148" s="209"/>
      <c r="CD148" s="209"/>
      <c r="CE148" s="209"/>
      <c r="CF148" s="209"/>
      <c r="CG148" s="209"/>
      <c r="CO148" s="211" t="s">
        <v>199</v>
      </c>
      <c r="CP148" s="211" t="s">
        <v>143</v>
      </c>
      <c r="CQ148" s="211" t="s">
        <v>300</v>
      </c>
      <c r="CR148" s="211" t="s">
        <v>796</v>
      </c>
      <c r="CS148" s="211" t="s">
        <v>799</v>
      </c>
      <c r="CT148" s="211" t="s">
        <v>300</v>
      </c>
      <c r="CU148" s="211" t="str">
        <f t="shared" si="121"/>
        <v>N/A</v>
      </c>
      <c r="CV148" s="211" t="str">
        <f t="shared" si="122"/>
        <v>N/A</v>
      </c>
      <c r="CW148" s="211" t="str">
        <f t="shared" si="123"/>
        <v>N/A</v>
      </c>
      <c r="CX148" s="211" t="str">
        <f t="shared" si="124"/>
        <v>N/A</v>
      </c>
      <c r="CY148" s="211" t="str">
        <f t="shared" si="125"/>
        <v>N/A</v>
      </c>
      <c r="CZ148" s="211" t="str">
        <f t="shared" si="126"/>
        <v xml:space="preserve">​Para el I semestre de 2025, la Dirección de Medidas Especiales para Prestadores de Servicios de Salud realizó 148 acciones de monitoreo y verificación a los Prestadores de Servicios de Salud- PSS con medida, de las cuales 28 corresponden a fichas, 14 a bullets, 9 a conceptos, 11 a seguimimientos en campo, 46 a Fenix y 40 a informes de gestion ante el superintendente, dando cumplimiento a la meta programada del 100%.
</v>
      </c>
      <c r="DA148" s="211" t="str">
        <f t="shared" si="127"/>
        <v>N/A</v>
      </c>
      <c r="DB148" s="211" t="str">
        <f t="shared" si="128"/>
        <v>N/A</v>
      </c>
      <c r="DC148" s="211" t="str">
        <f t="shared" si="129"/>
        <v>N/A</v>
      </c>
      <c r="DD148" s="211" t="str">
        <f t="shared" si="130"/>
        <v>N/A</v>
      </c>
      <c r="DE148" s="211" t="str">
        <f t="shared" si="131"/>
        <v>N/A</v>
      </c>
      <c r="DF148" s="211" t="str">
        <f t="shared" si="132"/>
        <v>N/A</v>
      </c>
    </row>
    <row r="149" spans="1:110" s="211" customFormat="1" ht="64.5" customHeight="1">
      <c r="A149" s="348" t="s">
        <v>199</v>
      </c>
      <c r="B149" s="211" t="s">
        <v>143</v>
      </c>
      <c r="C149" s="211" t="s">
        <v>598</v>
      </c>
      <c r="D149" s="211" t="s">
        <v>743</v>
      </c>
      <c r="E149" s="211" t="s">
        <v>744</v>
      </c>
      <c r="F149" s="348" t="s">
        <v>745</v>
      </c>
      <c r="G149" s="211" t="s">
        <v>178</v>
      </c>
      <c r="H149" s="211">
        <v>1</v>
      </c>
      <c r="I149" s="323">
        <v>30</v>
      </c>
      <c r="J149" s="323">
        <v>30</v>
      </c>
      <c r="K149" s="288">
        <v>1</v>
      </c>
      <c r="L149" s="211" t="s">
        <v>2999</v>
      </c>
      <c r="M149" s="211" t="b">
        <v>0</v>
      </c>
      <c r="O149" s="209" t="s">
        <v>2832</v>
      </c>
      <c r="P149" s="211" t="s">
        <v>159</v>
      </c>
      <c r="Q149" s="211" t="s">
        <v>160</v>
      </c>
      <c r="T149" s="236"/>
      <c r="U149" s="236"/>
      <c r="V149" s="236"/>
      <c r="W149" s="236"/>
      <c r="X149" s="236"/>
      <c r="Y149" s="236"/>
      <c r="Z149" s="236"/>
      <c r="AA149" s="236"/>
      <c r="AB149" s="236"/>
      <c r="AC149" s="236"/>
      <c r="AD149" s="236"/>
      <c r="AE149" s="236"/>
      <c r="AF149" s="236"/>
      <c r="AG149" s="236"/>
      <c r="AH149" s="236"/>
      <c r="AI149" s="236"/>
      <c r="AJ149" s="236"/>
      <c r="AK149" s="242"/>
      <c r="AL149" s="242"/>
      <c r="AM149" s="242"/>
      <c r="AN149" s="242"/>
      <c r="AO149" s="242"/>
      <c r="AP149" s="242"/>
      <c r="AQ149" s="242"/>
      <c r="AR149" s="242"/>
      <c r="AS149" s="242"/>
      <c r="BI149" s="240"/>
      <c r="BU149" s="236"/>
      <c r="CA149" s="274"/>
      <c r="CB149" s="209"/>
      <c r="CC149" s="209"/>
      <c r="CD149" s="209"/>
      <c r="CE149" s="209"/>
      <c r="CF149" s="209"/>
      <c r="CG149" s="209"/>
      <c r="CO149" s="211" t="s">
        <v>199</v>
      </c>
      <c r="CP149" s="211" t="s">
        <v>143</v>
      </c>
      <c r="CQ149" s="211" t="s">
        <v>598</v>
      </c>
      <c r="CR149" s="211" t="s">
        <v>743</v>
      </c>
      <c r="CS149" s="211" t="s">
        <v>2999</v>
      </c>
      <c r="CT149" s="211" t="s">
        <v>598</v>
      </c>
      <c r="CU149" s="211" t="str">
        <f t="shared" si="121"/>
        <v>N/A</v>
      </c>
      <c r="CV149" s="211" t="str">
        <f t="shared" si="122"/>
        <v>N/A</v>
      </c>
      <c r="CW149" s="211" t="str">
        <f t="shared" si="123"/>
        <v>N/A</v>
      </c>
      <c r="CX149" s="211" t="str">
        <f t="shared" si="124"/>
        <v>N/A</v>
      </c>
      <c r="CY149" s="211" t="str">
        <f t="shared" si="125"/>
        <v>N/A</v>
      </c>
      <c r="CZ149" s="211" t="str">
        <f t="shared" si="126"/>
        <v xml:space="preserve">En el primer semestre de 2025 se realizaron en total 30 seguimientos a Programas de Mejoramiento Institucional suscritos por 15 Empresas Sociales del Estado, correspondientes a la ejecución de los compromisos para el III y IV trimestre de la vigencia 2024.
Por lo anterior, para el I semestre de 2025, se da cumplimiento a meta establecida del 100%.
</v>
      </c>
      <c r="DA149" s="211" t="str">
        <f t="shared" si="127"/>
        <v>N/A</v>
      </c>
      <c r="DB149" s="211" t="str">
        <f t="shared" si="128"/>
        <v>N/A</v>
      </c>
      <c r="DC149" s="211" t="str">
        <f t="shared" si="129"/>
        <v>N/A</v>
      </c>
      <c r="DD149" s="211" t="str">
        <f t="shared" si="130"/>
        <v>N/A</v>
      </c>
      <c r="DE149" s="211" t="str">
        <f t="shared" si="131"/>
        <v>N/A</v>
      </c>
      <c r="DF149" s="211" t="str">
        <f t="shared" si="132"/>
        <v>N/A</v>
      </c>
    </row>
    <row r="150" spans="1:110" s="211" customFormat="1" ht="64.5" customHeight="1">
      <c r="A150" s="348" t="s">
        <v>199</v>
      </c>
      <c r="B150" s="211" t="s">
        <v>143</v>
      </c>
      <c r="C150" s="211" t="s">
        <v>599</v>
      </c>
      <c r="D150" s="211" t="s">
        <v>779</v>
      </c>
      <c r="E150" s="211" t="s">
        <v>780</v>
      </c>
      <c r="F150" s="348" t="s">
        <v>781</v>
      </c>
      <c r="G150" s="211" t="s">
        <v>178</v>
      </c>
      <c r="H150" s="211">
        <v>1</v>
      </c>
      <c r="I150" s="323">
        <v>935</v>
      </c>
      <c r="J150" s="323">
        <v>935</v>
      </c>
      <c r="K150" s="288">
        <v>1</v>
      </c>
      <c r="L150" s="211" t="s">
        <v>3000</v>
      </c>
      <c r="M150" s="211" t="b">
        <v>0</v>
      </c>
      <c r="O150" s="209" t="s">
        <v>2832</v>
      </c>
      <c r="P150" s="211" t="s">
        <v>159</v>
      </c>
      <c r="Q150" s="211" t="s">
        <v>160</v>
      </c>
      <c r="T150" s="236"/>
      <c r="U150" s="236"/>
      <c r="V150" s="236"/>
      <c r="W150" s="236"/>
      <c r="X150" s="236"/>
      <c r="Y150" s="236"/>
      <c r="Z150" s="236"/>
      <c r="AA150" s="236"/>
      <c r="AB150" s="236"/>
      <c r="AC150" s="236"/>
      <c r="AD150" s="236"/>
      <c r="AE150" s="236"/>
      <c r="AF150" s="236"/>
      <c r="AG150" s="236"/>
      <c r="AH150" s="236"/>
      <c r="AI150" s="236"/>
      <c r="AJ150" s="236"/>
      <c r="AK150" s="242"/>
      <c r="AL150" s="242"/>
      <c r="AM150" s="242"/>
      <c r="AN150" s="242"/>
      <c r="AO150" s="242"/>
      <c r="AP150" s="242"/>
      <c r="AQ150" s="242"/>
      <c r="AR150" s="242"/>
      <c r="AS150" s="242"/>
      <c r="BI150" s="240"/>
      <c r="BU150" s="236"/>
      <c r="CA150" s="274"/>
      <c r="CB150" s="209"/>
      <c r="CC150" s="209"/>
      <c r="CD150" s="209"/>
      <c r="CE150" s="209"/>
      <c r="CF150" s="209"/>
      <c r="CG150" s="209"/>
      <c r="CO150" s="211" t="s">
        <v>199</v>
      </c>
      <c r="CP150" s="211" t="s">
        <v>143</v>
      </c>
      <c r="CQ150" s="211" t="s">
        <v>599</v>
      </c>
      <c r="CR150" s="211" t="s">
        <v>779</v>
      </c>
      <c r="CS150" s="211" t="s">
        <v>3000</v>
      </c>
      <c r="CT150" s="211" t="s">
        <v>599</v>
      </c>
      <c r="CU150" s="211" t="str">
        <f t="shared" si="121"/>
        <v>N/A</v>
      </c>
      <c r="CV150" s="211" t="str">
        <f t="shared" si="122"/>
        <v>N/A</v>
      </c>
      <c r="CW150" s="211" t="str">
        <f t="shared" si="123"/>
        <v>N/A</v>
      </c>
      <c r="CX150" s="211" t="str">
        <f t="shared" si="124"/>
        <v>N/A</v>
      </c>
      <c r="CY150" s="211" t="str">
        <f t="shared" si="125"/>
        <v>N/A</v>
      </c>
      <c r="CZ150" s="211" t="str">
        <f t="shared" si="126"/>
        <v xml:space="preserve">Dando continuidad a las acciones de IV relacionadas con la asignación y ejecución de recursos a la ESE por equipos básicos en salud, se efectuó el envío de un comunicado masivo a 935 ESE registradas como activas en REPS, con el fin de obtener información al corte a 31 de mayo de 2025.
Dado que a la fecha se están realizando acciones de articulación con el Ministerio de Salud y Protección Social para identificar la totalidad de ESE con asignación efectiva de recursos, el masivo se remitió a 935 ESE, no obstante los beneficiarios de giro pudiesen ser menos; información que se encuentra en depuración en la actualidad de conformidad con los insumos que entregue el citado Ministerio.
</v>
      </c>
      <c r="DA150" s="211" t="str">
        <f t="shared" si="127"/>
        <v>N/A</v>
      </c>
      <c r="DB150" s="211" t="str">
        <f t="shared" si="128"/>
        <v>N/A</v>
      </c>
      <c r="DC150" s="211" t="str">
        <f t="shared" si="129"/>
        <v>N/A</v>
      </c>
      <c r="DD150" s="211" t="str">
        <f t="shared" si="130"/>
        <v>N/A</v>
      </c>
      <c r="DE150" s="211" t="str">
        <f t="shared" si="131"/>
        <v>N/A</v>
      </c>
      <c r="DF150" s="211" t="str">
        <f t="shared" si="132"/>
        <v>N/A</v>
      </c>
    </row>
    <row r="151" spans="1:110" s="211" customFormat="1" ht="64.5" customHeight="1">
      <c r="A151" s="348" t="s">
        <v>199</v>
      </c>
      <c r="B151" s="211" t="s">
        <v>143</v>
      </c>
      <c r="C151" s="211" t="s">
        <v>612</v>
      </c>
      <c r="D151" s="211" t="s">
        <v>715</v>
      </c>
      <c r="E151" s="211" t="s">
        <v>716</v>
      </c>
      <c r="F151" s="348" t="s">
        <v>717</v>
      </c>
      <c r="G151" s="211" t="s">
        <v>157</v>
      </c>
      <c r="H151" s="211">
        <v>1</v>
      </c>
      <c r="I151" s="323">
        <v>1</v>
      </c>
      <c r="J151" s="323">
        <v>1</v>
      </c>
      <c r="K151" s="288">
        <v>1</v>
      </c>
      <c r="L151" s="211" t="s">
        <v>3001</v>
      </c>
      <c r="M151" s="211" t="b">
        <v>0</v>
      </c>
      <c r="O151" s="209" t="s">
        <v>2832</v>
      </c>
      <c r="P151" s="211" t="s">
        <v>159</v>
      </c>
      <c r="Q151" s="211" t="s">
        <v>160</v>
      </c>
      <c r="T151" s="236"/>
      <c r="U151" s="236"/>
      <c r="V151" s="236"/>
      <c r="W151" s="236"/>
      <c r="X151" s="236"/>
      <c r="Y151" s="236"/>
      <c r="Z151" s="236"/>
      <c r="AA151" s="236"/>
      <c r="AB151" s="236"/>
      <c r="AC151" s="236"/>
      <c r="AD151" s="236"/>
      <c r="AE151" s="236"/>
      <c r="AF151" s="236"/>
      <c r="AG151" s="236"/>
      <c r="AH151" s="236"/>
      <c r="AI151" s="236"/>
      <c r="AJ151" s="236"/>
      <c r="AK151" s="242"/>
      <c r="AL151" s="242"/>
      <c r="AM151" s="242"/>
      <c r="AN151" s="242"/>
      <c r="AO151" s="242"/>
      <c r="AP151" s="242"/>
      <c r="AQ151" s="242"/>
      <c r="AR151" s="242"/>
      <c r="AS151" s="242"/>
      <c r="BI151" s="240"/>
      <c r="BU151" s="236"/>
      <c r="CA151" s="274"/>
      <c r="CB151" s="209"/>
      <c r="CC151" s="209"/>
      <c r="CD151" s="209"/>
      <c r="CE151" s="209"/>
      <c r="CF151" s="209"/>
      <c r="CG151" s="209"/>
      <c r="CO151" s="211" t="s">
        <v>199</v>
      </c>
      <c r="CP151" s="211" t="s">
        <v>143</v>
      </c>
      <c r="CQ151" s="211" t="s">
        <v>612</v>
      </c>
      <c r="CR151" s="211" t="s">
        <v>715</v>
      </c>
      <c r="CS151" s="211" t="s">
        <v>3001</v>
      </c>
      <c r="CT151" s="211" t="s">
        <v>612</v>
      </c>
      <c r="CU151" s="211" t="str">
        <f t="shared" si="121"/>
        <v>N/A</v>
      </c>
      <c r="CV151" s="211" t="str">
        <f t="shared" si="122"/>
        <v>N/A</v>
      </c>
      <c r="CW151" s="211" t="str">
        <f t="shared" si="123"/>
        <v>N/A</v>
      </c>
      <c r="CX151" s="211" t="str">
        <f t="shared" si="124"/>
        <v>N/A</v>
      </c>
      <c r="CY151" s="211" t="str">
        <f t="shared" si="125"/>
        <v>N/A</v>
      </c>
      <c r="CZ151" s="211" t="str">
        <f t="shared" si="126"/>
        <v xml:space="preserve">Para el I semestre de la vigencia 2025, se realizó una (1) acción de IV relacionada con monitoreo de riesgos- (Requerimiento de información al vigilado CENTRO DERMATOLOGICO FEDERICO LLERAS ACOSTA E.S.E, teniendo en cuenta los siguientes antecedentes:
*El 7 de febrero de 2025, se recibió traslado por parte de la Contraloría General de la República a través del radicado nro. 20259300400720912, mediante el cual informaron dos (2) hallazgos identificados en el marco de la auditoría de Cumplimiento al CENTRO DERMATOLOGICO FEDERICO LLERAS ACOSTA E.S.E de las vigencias 2022 y 2023, los cuales quedaron registrados en el informe CGR-CDSS 033 de diciembre 6 de 2024 y se citan a continuación:
"Hallazgo 10. Consulta previa de Sistema de Administración de Riesgos de Lavado de Activos y Financiación del Terrorismo (SARLAFT) y de listas restrictivas y de control internacionales y nacionales. (A-D-OI)."
"Hallazgo 16. Mayores valores pagados a Proveedores por Medicamentos, Insumos o Productos vigencias 2022 y 2023. (A-D-OI-IP)."
A tal efecto, en el desarrollo de dichas acciones, se verificaron las evidencias allegadas por la Contraloría en lo relacionado al Subsistema de Administración del Riesgo de Lavado de Activos, Financiación del Terrorismo y Financiación de la Proliferación de Armas de Destrucción Masiva.
*El 25/02/2025 se realizó el primer requerimiento a través del radicado nro. 20254100000392221, el vigilado da respuesta 28/02/2025 mediante el radicado nro.20259300404316142.
*El 20/04/2025 se realizó el primer requerimiento a través del radicado nro. 20254100000856901, el 19/05/2025 se realizó reiteración a través del radicado nro. 20254100001084001, el vigilado da respuesta 21/05/2025 mediante el radicado nro.20259300411249152.
*El 6/06/2025 se realizó el primer requerimiento a través del radicado nro.20254100001232821, el vigilado da respuesta 11/06/2025 mediante el radicado nro. 20259300413165572.
En virtud de lo anterior, se elaboró informe con los incumplimientos evidenciados.
Por lo anterior, se da cumplimiento a la meta establecida para el I semestre de la vigencia 2025 de realizar una acción de monitoreo de riesgos a un vigilado priorizado para tal fin.
</v>
      </c>
      <c r="DA151" s="211" t="str">
        <f t="shared" si="127"/>
        <v>N/A</v>
      </c>
      <c r="DB151" s="211" t="str">
        <f t="shared" si="128"/>
        <v>N/A</v>
      </c>
      <c r="DC151" s="211" t="str">
        <f t="shared" si="129"/>
        <v>N/A</v>
      </c>
      <c r="DD151" s="211" t="str">
        <f t="shared" si="130"/>
        <v>N/A</v>
      </c>
      <c r="DE151" s="211" t="str">
        <f t="shared" si="131"/>
        <v>N/A</v>
      </c>
      <c r="DF151" s="211" t="str">
        <f t="shared" si="132"/>
        <v>N/A</v>
      </c>
    </row>
    <row r="152" spans="1:110" s="211" customFormat="1" ht="64.5" customHeight="1">
      <c r="A152" s="348" t="s">
        <v>199</v>
      </c>
      <c r="B152" s="211" t="s">
        <v>143</v>
      </c>
      <c r="C152" s="211" t="s">
        <v>630</v>
      </c>
      <c r="D152" s="211" t="s">
        <v>705</v>
      </c>
      <c r="E152" s="211" t="s">
        <v>706</v>
      </c>
      <c r="F152" s="348" t="s">
        <v>707</v>
      </c>
      <c r="G152" s="211" t="s">
        <v>157</v>
      </c>
      <c r="H152" s="211">
        <v>40</v>
      </c>
      <c r="I152" s="323">
        <v>40</v>
      </c>
      <c r="J152" s="323">
        <v>40</v>
      </c>
      <c r="K152" s="288">
        <v>1</v>
      </c>
      <c r="L152" s="211" t="s">
        <v>708</v>
      </c>
      <c r="M152" s="211" t="b">
        <v>0</v>
      </c>
      <c r="O152" s="209" t="s">
        <v>2832</v>
      </c>
      <c r="P152" s="211" t="s">
        <v>159</v>
      </c>
      <c r="Q152" s="211" t="s">
        <v>160</v>
      </c>
      <c r="T152" s="236"/>
      <c r="U152" s="236"/>
      <c r="V152" s="236"/>
      <c r="W152" s="236"/>
      <c r="X152" s="236"/>
      <c r="Y152" s="236"/>
      <c r="Z152" s="236"/>
      <c r="AA152" s="236"/>
      <c r="AB152" s="236"/>
      <c r="AC152" s="236"/>
      <c r="AD152" s="236"/>
      <c r="AE152" s="236"/>
      <c r="AF152" s="236"/>
      <c r="AG152" s="236"/>
      <c r="AH152" s="236"/>
      <c r="AI152" s="236"/>
      <c r="AJ152" s="236"/>
      <c r="AK152" s="242"/>
      <c r="AL152" s="242"/>
      <c r="AM152" s="242"/>
      <c r="AN152" s="242"/>
      <c r="AO152" s="242"/>
      <c r="AP152" s="242"/>
      <c r="AQ152" s="242"/>
      <c r="AR152" s="242"/>
      <c r="AS152" s="242"/>
      <c r="BI152" s="240"/>
      <c r="BU152" s="236"/>
      <c r="CA152" s="274"/>
      <c r="CB152" s="209"/>
      <c r="CC152" s="209"/>
      <c r="CD152" s="209"/>
      <c r="CE152" s="209"/>
      <c r="CF152" s="209"/>
      <c r="CG152" s="209"/>
      <c r="CO152" s="211" t="s">
        <v>199</v>
      </c>
      <c r="CP152" s="211" t="s">
        <v>143</v>
      </c>
      <c r="CQ152" s="211" t="s">
        <v>630</v>
      </c>
      <c r="CR152" s="211" t="s">
        <v>705</v>
      </c>
      <c r="CS152" s="211" t="s">
        <v>708</v>
      </c>
      <c r="CT152" s="211" t="s">
        <v>630</v>
      </c>
      <c r="CU152" s="211" t="str">
        <f t="shared" si="121"/>
        <v>N/A</v>
      </c>
      <c r="CV152" s="211" t="str">
        <f t="shared" si="122"/>
        <v>N/A</v>
      </c>
      <c r="CW152" s="211" t="str">
        <f t="shared" si="123"/>
        <v>N/A</v>
      </c>
      <c r="CX152" s="211" t="str">
        <f t="shared" si="124"/>
        <v>N/A</v>
      </c>
      <c r="CY152" s="211" t="str">
        <f t="shared" si="125"/>
        <v>N/A</v>
      </c>
      <c r="CZ152" s="211" t="str">
        <f t="shared" si="126"/>
        <v xml:space="preserve">Desde las acciones realizadas por la Delegada para Prestadores de Servicios de Salud, se monitorea el resultado de cuatro (4) indicadores calculados a partir de la información financiera reportada por las ESE al cierre de la vigencia anterior (2024), los cuales contemplan variables relacionadas con cartera, pasivos especialmente al talento humano en salud, pérdidas operacionales y generación de recaudo frente a ingresos causados. 
Como meta se estableció el seguimiento y realización de acciones de inspección y vigilancia sobre 25 Empresas Sociales del Estado distribuidas así: 
• Diez (10) durante el primer semestre 
• Quince (15) durante el segundo semestre 
Lo anterior con el fin de verificar en campo el comportamiento y fallas que se pudieran identificar frente a los resultados obtenidos en los indicadores. Producto de estas acciones, se generan los respectivos informes de auditoría y traslados a entidades a las autoridades competentes. 
En este sentido, para efectos de obtener el resultado del indicador, se multiplica el número de Empresas Sociales del Estado priorizadas por el número cuatro (4) que equivale a la cantidad de indicadores verificados desde el componente financiero a partir de la información financiera, como se indicó anteriormente.
Es decir, que para el I semestre de la vigencia 2025, se realizaron acciones de IV a diez (10) ESE multiplicado por 4 indicadores financieros, para un total de 40 alertas identificadas y gestionadas en el monitoreo y vigilancia de los recursos financieros.
</v>
      </c>
      <c r="DA152" s="211" t="str">
        <f t="shared" si="127"/>
        <v>N/A</v>
      </c>
      <c r="DB152" s="211" t="str">
        <f t="shared" si="128"/>
        <v>N/A</v>
      </c>
      <c r="DC152" s="211" t="str">
        <f t="shared" si="129"/>
        <v>N/A</v>
      </c>
      <c r="DD152" s="211" t="str">
        <f t="shared" si="130"/>
        <v>N/A</v>
      </c>
      <c r="DE152" s="211" t="str">
        <f t="shared" si="131"/>
        <v>N/A</v>
      </c>
      <c r="DF152" s="211" t="str">
        <f t="shared" si="132"/>
        <v>N/A</v>
      </c>
    </row>
    <row r="153" spans="1:110" s="211" customFormat="1" ht="64.5" customHeight="1">
      <c r="A153" s="348" t="s">
        <v>199</v>
      </c>
      <c r="B153" s="211" t="s">
        <v>143</v>
      </c>
      <c r="C153" s="211" t="s">
        <v>635</v>
      </c>
      <c r="D153" s="211" t="s">
        <v>686</v>
      </c>
      <c r="E153" s="211" t="s">
        <v>738</v>
      </c>
      <c r="F153" s="348" t="s">
        <v>739</v>
      </c>
      <c r="G153" s="211" t="s">
        <v>157</v>
      </c>
      <c r="H153" s="211">
        <v>5</v>
      </c>
      <c r="I153" s="323">
        <v>7</v>
      </c>
      <c r="J153" s="323">
        <v>5</v>
      </c>
      <c r="K153" s="288">
        <v>1.4</v>
      </c>
      <c r="L153" s="211" t="s">
        <v>740</v>
      </c>
      <c r="M153" s="211" t="b">
        <v>0</v>
      </c>
      <c r="O153" s="209" t="s">
        <v>2832</v>
      </c>
      <c r="P153" s="211" t="s">
        <v>159</v>
      </c>
      <c r="Q153" s="211" t="s">
        <v>160</v>
      </c>
      <c r="T153" s="236"/>
      <c r="U153" s="236"/>
      <c r="V153" s="236"/>
      <c r="W153" s="236"/>
      <c r="X153" s="236"/>
      <c r="Y153" s="236"/>
      <c r="Z153" s="236"/>
      <c r="AA153" s="236"/>
      <c r="AB153" s="236"/>
      <c r="AC153" s="236"/>
      <c r="AD153" s="236"/>
      <c r="AE153" s="236"/>
      <c r="AF153" s="236"/>
      <c r="AG153" s="236"/>
      <c r="AH153" s="236"/>
      <c r="AI153" s="236"/>
      <c r="AJ153" s="236"/>
      <c r="AK153" s="242"/>
      <c r="AL153" s="242"/>
      <c r="AM153" s="242"/>
      <c r="AN153" s="242"/>
      <c r="AO153" s="242"/>
      <c r="AP153" s="242"/>
      <c r="AQ153" s="242"/>
      <c r="AR153" s="242"/>
      <c r="AS153" s="242"/>
      <c r="BI153" s="240"/>
      <c r="BU153" s="236"/>
      <c r="CA153" s="274"/>
      <c r="CB153" s="209"/>
      <c r="CC153" s="209"/>
      <c r="CD153" s="209"/>
      <c r="CE153" s="209"/>
      <c r="CF153" s="209"/>
      <c r="CG153" s="209"/>
      <c r="CO153" s="211" t="s">
        <v>199</v>
      </c>
      <c r="CP153" s="211" t="s">
        <v>143</v>
      </c>
      <c r="CQ153" s="211" t="s">
        <v>635</v>
      </c>
      <c r="CR153" s="211" t="s">
        <v>686</v>
      </c>
      <c r="CS153" s="211" t="s">
        <v>740</v>
      </c>
      <c r="CT153" s="211" t="s">
        <v>635</v>
      </c>
      <c r="CU153" s="211" t="str">
        <f t="shared" si="121"/>
        <v>N/A</v>
      </c>
      <c r="CV153" s="211" t="str">
        <f t="shared" si="122"/>
        <v>N/A</v>
      </c>
      <c r="CW153" s="211" t="str">
        <f t="shared" si="123"/>
        <v>N/A</v>
      </c>
      <c r="CX153" s="211" t="str">
        <f t="shared" si="124"/>
        <v>N/A</v>
      </c>
      <c r="CY153" s="211" t="str">
        <f t="shared" si="125"/>
        <v>N/A</v>
      </c>
      <c r="CZ153" s="211" t="str">
        <f t="shared" si="126"/>
        <v xml:space="preserve">Para el I semestre de la vigencia 2025, la Dirección de Inspección y Vigilancia para Prestadores de Servicios de Salud, si bien realizó la programación de 5 orientaciones técnicas, se ejecutaron 7, lo que corresponde a un cumplimiento del 140% vs la meta establecida.
En ese orden de ideas, las dos (2) orientaciones técnicas que se realizaron adicional a las programadas para este periodo, se enfocaron en:
La situación de alerta y emergencia en todo el territorio nacional por fiebre amarilla específicamente en el Departamento del Tolima, por lo que en el marco de la Circular Externa 0018 de 2024, mediante la cual el Ministerio de Salud y Protección Social emite directrices para la preparación, organización y respuesta ante este evento de interés en salud pública. Este despacho consideró relevante generar un espacio para la realización de orientación técnica con los Prestadores de Servicios de Salud del Tolima, con el fin de afianzar el deber del prestador como Unidad Primaria Generadora de Datos - UPGD, así como de reiterar la responsabilidad que les asiste en el cumplimiento de las características del Sistema General de Seguridad Social en Salud, como accesibilidad, oportunidad, seguridad, pertinencia y continuidad.
Teniendo en cuenta que el Chocó se encuentra entre los Departamentos con mayor número de casos de desnutrición aguda en menores de 5 años (evento 113), morbilidad materna extrema (evento 549) y mortalidad materna (550), se realizó jornada de seguimiento a los planes de mejora de los prestadores priorizados ante los eventos de Interés en Salud Pública desnutrición y morbimortalidad materna y perinatal, con el objetivo de verificar el cumplimiento efectivo del plan de mejora generado por parte de los ocho (8) prestadores de servicios de salud priorizados, frente a la atención de los menores de edad de 0 a 59 meses, las gestante y neonatos en los territorios de influencia de cada uno de ellos con el propósito disminuir la desnutrición y la morbimortalidad materno perinatal.
</v>
      </c>
      <c r="DA153" s="211" t="str">
        <f t="shared" si="127"/>
        <v>N/A</v>
      </c>
      <c r="DB153" s="211" t="str">
        <f t="shared" si="128"/>
        <v>N/A</v>
      </c>
      <c r="DC153" s="211" t="str">
        <f t="shared" si="129"/>
        <v>N/A</v>
      </c>
      <c r="DD153" s="211" t="str">
        <f t="shared" si="130"/>
        <v>N/A</v>
      </c>
      <c r="DE153" s="211" t="str">
        <f t="shared" si="131"/>
        <v>N/A</v>
      </c>
      <c r="DF153" s="211" t="str">
        <f t="shared" si="132"/>
        <v>N/A</v>
      </c>
    </row>
    <row r="154" spans="1:110" s="211" customFormat="1" ht="64.5" customHeight="1">
      <c r="A154" s="348" t="s">
        <v>199</v>
      </c>
      <c r="B154" s="211" t="s">
        <v>143</v>
      </c>
      <c r="C154" s="211" t="s">
        <v>649</v>
      </c>
      <c r="D154" s="211" t="s">
        <v>800</v>
      </c>
      <c r="E154" s="211" t="s">
        <v>801</v>
      </c>
      <c r="F154" s="348" t="s">
        <v>802</v>
      </c>
      <c r="G154" s="211" t="s">
        <v>178</v>
      </c>
      <c r="H154" s="211">
        <v>1</v>
      </c>
      <c r="I154" s="323">
        <v>1</v>
      </c>
      <c r="J154" s="323">
        <v>1</v>
      </c>
      <c r="K154" s="288">
        <v>1</v>
      </c>
      <c r="L154" s="211" t="s">
        <v>803</v>
      </c>
      <c r="M154" s="211" t="b">
        <v>0</v>
      </c>
      <c r="O154" s="209" t="s">
        <v>2832</v>
      </c>
      <c r="P154" s="211" t="s">
        <v>159</v>
      </c>
      <c r="Q154" s="211" t="s">
        <v>160</v>
      </c>
      <c r="T154" s="236"/>
      <c r="U154" s="236"/>
      <c r="V154" s="236"/>
      <c r="W154" s="236"/>
      <c r="X154" s="236"/>
      <c r="Y154" s="236"/>
      <c r="Z154" s="236"/>
      <c r="AA154" s="236"/>
      <c r="AB154" s="236"/>
      <c r="AC154" s="236"/>
      <c r="AD154" s="236"/>
      <c r="AE154" s="236"/>
      <c r="AF154" s="236"/>
      <c r="AG154" s="236"/>
      <c r="AH154" s="236"/>
      <c r="AI154" s="236"/>
      <c r="AJ154" s="236"/>
      <c r="AK154" s="242"/>
      <c r="AL154" s="242"/>
      <c r="AM154" s="242"/>
      <c r="AN154" s="242"/>
      <c r="AO154" s="242"/>
      <c r="AP154" s="242"/>
      <c r="AQ154" s="242"/>
      <c r="AR154" s="242"/>
      <c r="AS154" s="242"/>
      <c r="BI154" s="240"/>
      <c r="BU154" s="236"/>
      <c r="CA154" s="274"/>
      <c r="CB154" s="209"/>
      <c r="CC154" s="209"/>
      <c r="CD154" s="209"/>
      <c r="CE154" s="209"/>
      <c r="CF154" s="209"/>
      <c r="CG154" s="209"/>
      <c r="CO154" s="211" t="s">
        <v>199</v>
      </c>
      <c r="CP154" s="211" t="s">
        <v>143</v>
      </c>
      <c r="CQ154" s="211" t="s">
        <v>649</v>
      </c>
      <c r="CR154" s="211" t="s">
        <v>800</v>
      </c>
      <c r="CS154" s="211" t="s">
        <v>803</v>
      </c>
      <c r="CT154" s="211" t="s">
        <v>649</v>
      </c>
      <c r="CU154" s="211" t="str">
        <f t="shared" si="121"/>
        <v>N/A</v>
      </c>
      <c r="CV154" s="211" t="str">
        <f t="shared" si="122"/>
        <v>N/A</v>
      </c>
      <c r="CW154" s="211" t="str">
        <f t="shared" si="123"/>
        <v>N/A</v>
      </c>
      <c r="CX154" s="211" t="str">
        <f t="shared" si="124"/>
        <v>N/A</v>
      </c>
      <c r="CY154" s="211" t="str">
        <f t="shared" si="125"/>
        <v>N/A</v>
      </c>
      <c r="CZ154" s="211" t="str">
        <f t="shared" si="126"/>
        <v xml:space="preserve">​Para el I semestre del año 2025, no se presentaron solicitudes para la promoción de acuerdo de reestructuración de pasivos, por lo que no se hizo necesaria la validación de cumplimiento de requisitos establecidos en el articulo 6 de la ley 550 de 1999
</v>
      </c>
      <c r="DA154" s="211" t="str">
        <f t="shared" si="127"/>
        <v>N/A</v>
      </c>
      <c r="DB154" s="211" t="str">
        <f t="shared" si="128"/>
        <v>N/A</v>
      </c>
      <c r="DC154" s="211" t="str">
        <f t="shared" si="129"/>
        <v>N/A</v>
      </c>
      <c r="DD154" s="211" t="str">
        <f t="shared" si="130"/>
        <v>N/A</v>
      </c>
      <c r="DE154" s="211" t="str">
        <f t="shared" si="131"/>
        <v>N/A</v>
      </c>
      <c r="DF154" s="211" t="str">
        <f t="shared" si="132"/>
        <v>N/A</v>
      </c>
    </row>
    <row r="155" spans="1:110" s="211" customFormat="1" ht="64.5" customHeight="1">
      <c r="A155" s="348" t="s">
        <v>199</v>
      </c>
      <c r="B155" s="211" t="s">
        <v>143</v>
      </c>
      <c r="C155" s="211" t="s">
        <v>651</v>
      </c>
      <c r="D155" s="211" t="s">
        <v>755</v>
      </c>
      <c r="E155" s="211" t="s">
        <v>756</v>
      </c>
      <c r="F155" s="348" t="s">
        <v>757</v>
      </c>
      <c r="G155" s="211" t="s">
        <v>178</v>
      </c>
      <c r="H155" s="211">
        <v>1</v>
      </c>
      <c r="I155" s="323">
        <v>10</v>
      </c>
      <c r="J155" s="323">
        <v>10</v>
      </c>
      <c r="K155" s="288">
        <v>1</v>
      </c>
      <c r="L155" s="211" t="s">
        <v>2815</v>
      </c>
      <c r="M155" s="211" t="b">
        <v>0</v>
      </c>
      <c r="O155" s="209" t="s">
        <v>2832</v>
      </c>
      <c r="P155" s="211" t="s">
        <v>159</v>
      </c>
      <c r="Q155" s="211" t="s">
        <v>160</v>
      </c>
      <c r="T155" s="236"/>
      <c r="U155" s="236"/>
      <c r="V155" s="236"/>
      <c r="W155" s="236"/>
      <c r="X155" s="236"/>
      <c r="Y155" s="236"/>
      <c r="Z155" s="236"/>
      <c r="AA155" s="236"/>
      <c r="AB155" s="236"/>
      <c r="AC155" s="236"/>
      <c r="AD155" s="236"/>
      <c r="AE155" s="236"/>
      <c r="AF155" s="236"/>
      <c r="AG155" s="236"/>
      <c r="AH155" s="236"/>
      <c r="AI155" s="236"/>
      <c r="AJ155" s="236"/>
      <c r="AK155" s="242"/>
      <c r="AL155" s="242"/>
      <c r="AM155" s="242"/>
      <c r="AN155" s="242"/>
      <c r="AO155" s="242"/>
      <c r="AP155" s="242"/>
      <c r="AQ155" s="242"/>
      <c r="AR155" s="242"/>
      <c r="AS155" s="242"/>
      <c r="BI155" s="240"/>
      <c r="BU155" s="236"/>
      <c r="CA155" s="274"/>
      <c r="CB155" s="209"/>
      <c r="CC155" s="209"/>
      <c r="CD155" s="209"/>
      <c r="CE155" s="209"/>
      <c r="CF155" s="209"/>
      <c r="CG155" s="209"/>
      <c r="CO155" s="211" t="s">
        <v>199</v>
      </c>
      <c r="CP155" s="211" t="s">
        <v>143</v>
      </c>
      <c r="CQ155" s="211" t="s">
        <v>651</v>
      </c>
      <c r="CR155" s="211" t="s">
        <v>755</v>
      </c>
      <c r="CS155" s="211" t="s">
        <v>2815</v>
      </c>
      <c r="CT155" s="211" t="s">
        <v>651</v>
      </c>
      <c r="CU155" s="211" t="str">
        <f t="shared" si="121"/>
        <v>N/A</v>
      </c>
      <c r="CV155" s="211" t="str">
        <f t="shared" si="122"/>
        <v>N/A</v>
      </c>
      <c r="CW155" s="211" t="str">
        <f t="shared" si="123"/>
        <v>N/A</v>
      </c>
      <c r="CX155" s="211" t="str">
        <f t="shared" si="124"/>
        <v>N/A</v>
      </c>
      <c r="CY155" s="211" t="str">
        <f t="shared" si="125"/>
        <v>N/A</v>
      </c>
      <c r="CZ155" s="211" t="str">
        <f t="shared" si="126"/>
        <v xml:space="preserve">Para el I semestre de 2025, se gestionaron 10 solicitudes de reformas estatutarias de 10 recibidas para trámite en la Dirección IV para Prestadores de Servicios de Salud, de las cuales, 2 finalizaron con resolución, 1 finalizó con oficio y 7 gestionadas con análisis de SARLAFT, análisis financiero y requerimiento al vigilado.
Por lo anterior, se da cumplimiento a la meta establecida del 100% para el periodo evaluado.
</v>
      </c>
      <c r="DA155" s="211" t="str">
        <f t="shared" si="127"/>
        <v>N/A</v>
      </c>
      <c r="DB155" s="211" t="str">
        <f t="shared" si="128"/>
        <v>N/A</v>
      </c>
      <c r="DC155" s="211" t="str">
        <f t="shared" si="129"/>
        <v>N/A</v>
      </c>
      <c r="DD155" s="211" t="str">
        <f t="shared" si="130"/>
        <v>N/A</v>
      </c>
      <c r="DE155" s="211" t="str">
        <f t="shared" si="131"/>
        <v>N/A</v>
      </c>
      <c r="DF155" s="211" t="str">
        <f t="shared" si="132"/>
        <v>N/A</v>
      </c>
    </row>
    <row r="156" spans="1:110" s="211" customFormat="1" ht="64.5" customHeight="1">
      <c r="A156" s="348" t="s">
        <v>199</v>
      </c>
      <c r="B156" s="211" t="s">
        <v>143</v>
      </c>
      <c r="C156" s="211" t="s">
        <v>658</v>
      </c>
      <c r="D156" s="211" t="s">
        <v>761</v>
      </c>
      <c r="E156" s="211" t="s">
        <v>762</v>
      </c>
      <c r="F156" s="348" t="s">
        <v>763</v>
      </c>
      <c r="G156" s="211" t="s">
        <v>178</v>
      </c>
      <c r="H156" s="211">
        <v>1</v>
      </c>
      <c r="I156" s="323">
        <v>1</v>
      </c>
      <c r="J156" s="323">
        <v>1</v>
      </c>
      <c r="K156" s="288">
        <v>1</v>
      </c>
      <c r="L156" s="211" t="s">
        <v>764</v>
      </c>
      <c r="M156" s="211" t="b">
        <v>0</v>
      </c>
      <c r="O156" s="209" t="s">
        <v>2832</v>
      </c>
      <c r="P156" s="211" t="s">
        <v>159</v>
      </c>
      <c r="Q156" s="211" t="s">
        <v>160</v>
      </c>
      <c r="T156" s="236"/>
      <c r="U156" s="236"/>
      <c r="V156" s="236"/>
      <c r="W156" s="236"/>
      <c r="X156" s="236"/>
      <c r="Y156" s="236"/>
      <c r="Z156" s="236"/>
      <c r="AA156" s="236"/>
      <c r="AB156" s="236"/>
      <c r="AC156" s="236"/>
      <c r="AD156" s="236"/>
      <c r="AE156" s="236"/>
      <c r="AF156" s="236"/>
      <c r="AG156" s="236"/>
      <c r="AH156" s="236"/>
      <c r="AI156" s="236"/>
      <c r="AJ156" s="236"/>
      <c r="AK156" s="242"/>
      <c r="AL156" s="242"/>
      <c r="AM156" s="242"/>
      <c r="AN156" s="242"/>
      <c r="AO156" s="242"/>
      <c r="AP156" s="242"/>
      <c r="AQ156" s="242"/>
      <c r="AR156" s="242"/>
      <c r="AS156" s="242"/>
      <c r="BI156" s="240"/>
      <c r="BU156" s="236"/>
      <c r="CA156" s="274"/>
      <c r="CB156" s="209"/>
      <c r="CC156" s="209"/>
      <c r="CD156" s="209"/>
      <c r="CE156" s="209"/>
      <c r="CF156" s="209"/>
      <c r="CG156" s="209"/>
      <c r="CO156" s="211" t="s">
        <v>199</v>
      </c>
      <c r="CP156" s="211" t="s">
        <v>143</v>
      </c>
      <c r="CQ156" s="211" t="s">
        <v>658</v>
      </c>
      <c r="CR156" s="211" t="s">
        <v>761</v>
      </c>
      <c r="CS156" s="211" t="s">
        <v>764</v>
      </c>
      <c r="CT156" s="211" t="s">
        <v>658</v>
      </c>
      <c r="CU156" s="211" t="str">
        <f t="shared" si="121"/>
        <v>N/A</v>
      </c>
      <c r="CV156" s="211" t="str">
        <f t="shared" si="122"/>
        <v>N/A</v>
      </c>
      <c r="CW156" s="211" t="str">
        <f t="shared" si="123"/>
        <v>N/A</v>
      </c>
      <c r="CX156" s="211" t="str">
        <f t="shared" si="124"/>
        <v>N/A</v>
      </c>
      <c r="CY156" s="211" t="str">
        <f t="shared" si="125"/>
        <v>N/A</v>
      </c>
      <c r="CZ156" s="211" t="str">
        <f t="shared" si="126"/>
        <v xml:space="preserve">​Para el I semestre de 2025, se recibió un recurso de apelación por evaluación de gerente, el cual fue gestionado en el término establecido, dando cumplimiento a la meta proyectada del 100%.
</v>
      </c>
      <c r="DA156" s="211" t="str">
        <f t="shared" si="127"/>
        <v>N/A</v>
      </c>
      <c r="DB156" s="211" t="str">
        <f t="shared" si="128"/>
        <v>N/A</v>
      </c>
      <c r="DC156" s="211" t="str">
        <f t="shared" si="129"/>
        <v>N/A</v>
      </c>
      <c r="DD156" s="211" t="str">
        <f t="shared" si="130"/>
        <v>N/A</v>
      </c>
      <c r="DE156" s="211" t="str">
        <f t="shared" si="131"/>
        <v>N/A</v>
      </c>
      <c r="DF156" s="211" t="str">
        <f t="shared" si="132"/>
        <v>N/A</v>
      </c>
    </row>
    <row r="157" spans="1:110" s="211" customFormat="1" ht="64.5" customHeight="1">
      <c r="A157" s="348" t="s">
        <v>238</v>
      </c>
      <c r="B157" s="211" t="s">
        <v>143</v>
      </c>
      <c r="C157" s="211" t="s">
        <v>239</v>
      </c>
      <c r="D157" s="211" t="s">
        <v>240</v>
      </c>
      <c r="E157" s="211" t="s">
        <v>241</v>
      </c>
      <c r="F157" s="348" t="s">
        <v>242</v>
      </c>
      <c r="G157" s="211" t="s">
        <v>178</v>
      </c>
      <c r="H157" s="211">
        <v>0.5</v>
      </c>
      <c r="I157" s="323">
        <v>50</v>
      </c>
      <c r="J157" s="323">
        <v>100</v>
      </c>
      <c r="K157" s="288">
        <v>1</v>
      </c>
      <c r="L157" s="211" t="s">
        <v>3002</v>
      </c>
      <c r="M157" s="211" t="b">
        <v>1</v>
      </c>
      <c r="N157" s="211" t="s">
        <v>695</v>
      </c>
      <c r="O157" s="209" t="s">
        <v>2832</v>
      </c>
      <c r="P157" s="211" t="s">
        <v>159</v>
      </c>
      <c r="Q157" s="211" t="s">
        <v>160</v>
      </c>
      <c r="T157" s="236"/>
      <c r="U157" s="236"/>
      <c r="V157" s="236"/>
      <c r="W157" s="236"/>
      <c r="X157" s="236"/>
      <c r="Y157" s="236"/>
      <c r="Z157" s="236"/>
      <c r="AA157" s="236"/>
      <c r="AB157" s="236"/>
      <c r="AC157" s="236"/>
      <c r="AD157" s="236"/>
      <c r="AE157" s="236"/>
      <c r="AF157" s="236"/>
      <c r="AG157" s="236"/>
      <c r="AH157" s="236"/>
      <c r="AI157" s="236"/>
      <c r="AJ157" s="236"/>
      <c r="AK157" s="242"/>
      <c r="AL157" s="242"/>
      <c r="AM157" s="242"/>
      <c r="AN157" s="242"/>
      <c r="AO157" s="242"/>
      <c r="AP157" s="242"/>
      <c r="AQ157" s="242"/>
      <c r="AR157" s="242"/>
      <c r="AS157" s="242"/>
      <c r="BI157" s="240"/>
      <c r="BU157" s="236"/>
      <c r="CA157" s="274"/>
      <c r="CB157" s="209"/>
      <c r="CC157" s="209"/>
      <c r="CD157" s="209"/>
      <c r="CE157" s="209"/>
      <c r="CF157" s="209"/>
      <c r="CG157" s="209"/>
      <c r="CO157" s="211" t="s">
        <v>238</v>
      </c>
      <c r="CP157" s="211" t="s">
        <v>143</v>
      </c>
      <c r="CQ157" s="211" t="s">
        <v>239</v>
      </c>
      <c r="CR157" s="211" t="s">
        <v>240</v>
      </c>
      <c r="CS157" s="211" t="s">
        <v>3002</v>
      </c>
      <c r="CT157" s="211" t="s">
        <v>239</v>
      </c>
      <c r="CU157" s="211" t="str">
        <f t="shared" si="121"/>
        <v>N/A</v>
      </c>
      <c r="CV157" s="211" t="str">
        <f t="shared" si="122"/>
        <v>N/A</v>
      </c>
      <c r="CW157" s="211" t="str">
        <f t="shared" si="123"/>
        <v>N/A</v>
      </c>
      <c r="CX157" s="211" t="str">
        <f t="shared" si="124"/>
        <v>N/A</v>
      </c>
      <c r="CY157" s="211" t="str">
        <f t="shared" si="125"/>
        <v>N/A</v>
      </c>
      <c r="CZ157" s="211" t="str">
        <f t="shared" si="126"/>
        <v xml:space="preserve">​Para el periodo de tiempo reportado, con relación a la implementación de la Política GESCO+I y con relación al cronograma definido, se adelantaron las siguientes acciones: 
Actividades: 
1. Formular estrategias para programa de habilidades blandas para fortalecer la cultura de la innovación
2. Identificar, analizar y evaluar planes, proyectos e ideas que se generen del SGI
3. Fomentar la generación de foros y espacios de innovación abierta con otras entidades y grupos de interés.
Evidencias:
A) Actividades: 1,2 y 3. Durante los meses de mayo y junio, se realizaron WORKSHOPS TERRITORIALES en las Direcciones regionales Andina y Occidente, con el fin de identificar técnicamente necesidades y proyectos que aporten a la innovación, así como capacitar y fortalecer habilidades sobre innovación y gestión del conocimiento. Se adjunta presentación con los resultados y análisis.
B) Actividad 3: Durante el mes de junio se adelantó acercamiento con el HUBiEX de la Universidad el Bosque, en el marco del MOU que se tiene con esta organización. Lo anterior, para dar inicio a un proyecto que le permita a la entidad automatizar el proceso de PQRS mediante Inteligencia Artificial. Se adjunta video SUPERMAGZINE en el cual se refleja esta actividad. 
C) Adicionalmente, se implementó estrategia de Gestión del Conocimiento con el fin de mitigar la fuga del conocimiento. Se crearon repositorios de información (link adjunto) yse creó el primer mapa del conocimiento de la entidad. Teniendo en cuenta que la información contenida en este espacio tiene una clasificación y reserva no se puede adjuntar, para verificar la información se puede administrar acceso posterior a la solicitud. 
</v>
      </c>
      <c r="DA157" s="211" t="str">
        <f t="shared" si="127"/>
        <v>N/A</v>
      </c>
      <c r="DB157" s="211" t="str">
        <f t="shared" si="128"/>
        <v>N/A</v>
      </c>
      <c r="DC157" s="211" t="str">
        <f t="shared" si="129"/>
        <v>N/A</v>
      </c>
      <c r="DD157" s="211" t="str">
        <f t="shared" si="130"/>
        <v>N/A</v>
      </c>
      <c r="DE157" s="211" t="str">
        <f t="shared" si="131"/>
        <v>N/A</v>
      </c>
      <c r="DF157" s="211" t="str">
        <f t="shared" si="132"/>
        <v>N/A</v>
      </c>
    </row>
    <row r="158" spans="1:110" s="211" customFormat="1" ht="64.5" customHeight="1">
      <c r="A158" s="348" t="s">
        <v>238</v>
      </c>
      <c r="B158" s="211" t="s">
        <v>143</v>
      </c>
      <c r="C158" s="211" t="s">
        <v>259</v>
      </c>
      <c r="D158" s="211" t="s">
        <v>260</v>
      </c>
      <c r="E158" s="211" t="s">
        <v>261</v>
      </c>
      <c r="F158" s="348" t="s">
        <v>262</v>
      </c>
      <c r="G158" s="211" t="s">
        <v>178</v>
      </c>
      <c r="H158" s="211">
        <v>1</v>
      </c>
      <c r="I158" s="323">
        <v>14</v>
      </c>
      <c r="J158" s="323">
        <v>14</v>
      </c>
      <c r="K158" s="288">
        <v>1</v>
      </c>
      <c r="L158" s="211" t="s">
        <v>3003</v>
      </c>
      <c r="M158" s="211" t="b">
        <v>1</v>
      </c>
      <c r="N158" s="211" t="s">
        <v>724</v>
      </c>
      <c r="O158" s="209" t="s">
        <v>2832</v>
      </c>
      <c r="P158" s="211" t="s">
        <v>159</v>
      </c>
      <c r="Q158" s="211" t="s">
        <v>160</v>
      </c>
      <c r="T158" s="236"/>
      <c r="U158" s="236"/>
      <c r="V158" s="236"/>
      <c r="W158" s="236"/>
      <c r="X158" s="236"/>
      <c r="Y158" s="236"/>
      <c r="Z158" s="236"/>
      <c r="AA158" s="236"/>
      <c r="AB158" s="236"/>
      <c r="AC158" s="236"/>
      <c r="AD158" s="236"/>
      <c r="AE158" s="236"/>
      <c r="AF158" s="236"/>
      <c r="AG158" s="236"/>
      <c r="AH158" s="236"/>
      <c r="AI158" s="236"/>
      <c r="AJ158" s="236"/>
      <c r="AK158" s="242"/>
      <c r="AL158" s="242"/>
      <c r="AM158" s="242"/>
      <c r="AN158" s="242"/>
      <c r="AO158" s="242"/>
      <c r="AP158" s="242"/>
      <c r="AQ158" s="242"/>
      <c r="AR158" s="242"/>
      <c r="AS158" s="242"/>
      <c r="BI158" s="240"/>
      <c r="BU158" s="236"/>
      <c r="CA158" s="274"/>
      <c r="CB158" s="209"/>
      <c r="CC158" s="209"/>
      <c r="CD158" s="209"/>
      <c r="CE158" s="209"/>
      <c r="CF158" s="209"/>
      <c r="CG158" s="209"/>
      <c r="CO158" s="211" t="s">
        <v>238</v>
      </c>
      <c r="CP158" s="211" t="s">
        <v>143</v>
      </c>
      <c r="CQ158" s="211" t="s">
        <v>259</v>
      </c>
      <c r="CR158" s="211" t="s">
        <v>260</v>
      </c>
      <c r="CS158" s="211" t="s">
        <v>3003</v>
      </c>
      <c r="CT158" s="211" t="s">
        <v>259</v>
      </c>
      <c r="CU158" s="211" t="str">
        <f t="shared" si="121"/>
        <v>N/A</v>
      </c>
      <c r="CV158" s="211" t="str">
        <f t="shared" si="122"/>
        <v>N/A</v>
      </c>
      <c r="CW158" s="211" t="str">
        <f t="shared" si="123"/>
        <v>N/A</v>
      </c>
      <c r="CX158" s="211" t="str">
        <f t="shared" si="124"/>
        <v>N/A</v>
      </c>
      <c r="CY158" s="211" t="str">
        <f t="shared" si="125"/>
        <v>N/A</v>
      </c>
      <c r="CZ158" s="211" t="str">
        <f t="shared" si="126"/>
        <v xml:space="preserve">​Teniendo en cuenta que este indicador es a demanda, durante el segundo trimestre, se gestionaron las seiguientes actividades y documentos: 
1. Circular externa de liquidaciones con la actualización de los formatos FT015 Y FT012  
2. Circular 030 de 2013 
3. Formulario de reclamos realizado con la DID -DPU - DGFOLTS 
4. Metodología de reclamos en Salud I1 
5. Metodología para el calculo de los IOSC. 
6. Circular externa para actualizar archivos de la 006 de 2018 con ADRES
7. Sentencia T760 
8. Circular 011 
9. Capacidad técnica, para agente interventor , liquidador o contralor . 
10. Circular externa 001 de 2020 
11. ABC- Reclamos en Salud. 
12. Metodología SOAT 
13. Circular SIARC
14. Metodología Siniestralidad
</v>
      </c>
      <c r="DA158" s="211" t="str">
        <f t="shared" si="127"/>
        <v>N/A</v>
      </c>
      <c r="DB158" s="211" t="str">
        <f t="shared" si="128"/>
        <v>N/A</v>
      </c>
      <c r="DC158" s="211" t="str">
        <f t="shared" si="129"/>
        <v>N/A</v>
      </c>
      <c r="DD158" s="211" t="str">
        <f t="shared" si="130"/>
        <v>N/A</v>
      </c>
      <c r="DE158" s="211" t="str">
        <f t="shared" si="131"/>
        <v>N/A</v>
      </c>
      <c r="DF158" s="211" t="str">
        <f t="shared" si="132"/>
        <v>N/A</v>
      </c>
    </row>
    <row r="159" spans="1:110" s="211" customFormat="1" ht="64.5" customHeight="1">
      <c r="A159" s="348" t="s">
        <v>238</v>
      </c>
      <c r="B159" s="211" t="s">
        <v>143</v>
      </c>
      <c r="C159" s="211" t="s">
        <v>353</v>
      </c>
      <c r="D159" s="211" t="s">
        <v>726</v>
      </c>
      <c r="E159" s="211" t="s">
        <v>727</v>
      </c>
      <c r="F159" s="348" t="s">
        <v>728</v>
      </c>
      <c r="G159" s="211" t="s">
        <v>157</v>
      </c>
      <c r="H159" s="211">
        <v>0.5</v>
      </c>
      <c r="I159" s="323">
        <v>2</v>
      </c>
      <c r="J159" s="323">
        <v>4</v>
      </c>
      <c r="K159" s="288">
        <v>0.5</v>
      </c>
      <c r="L159" s="211" t="s">
        <v>3004</v>
      </c>
      <c r="M159" s="211" t="b">
        <v>1</v>
      </c>
      <c r="N159" s="211" t="s">
        <v>729</v>
      </c>
      <c r="O159" s="209" t="s">
        <v>2832</v>
      </c>
      <c r="P159" s="211" t="s">
        <v>159</v>
      </c>
      <c r="Q159" s="211" t="s">
        <v>160</v>
      </c>
      <c r="T159" s="236"/>
      <c r="U159" s="236"/>
      <c r="V159" s="236"/>
      <c r="W159" s="236"/>
      <c r="X159" s="236"/>
      <c r="Y159" s="236"/>
      <c r="Z159" s="236"/>
      <c r="AA159" s="236"/>
      <c r="AB159" s="236"/>
      <c r="AC159" s="236"/>
      <c r="AD159" s="236"/>
      <c r="AE159" s="236"/>
      <c r="AF159" s="236"/>
      <c r="AG159" s="236"/>
      <c r="AH159" s="236"/>
      <c r="AI159" s="236"/>
      <c r="AJ159" s="236"/>
      <c r="AK159" s="242"/>
      <c r="AL159" s="242"/>
      <c r="AM159" s="242"/>
      <c r="AN159" s="242"/>
      <c r="AO159" s="242"/>
      <c r="AP159" s="242"/>
      <c r="AQ159" s="242"/>
      <c r="AR159" s="242"/>
      <c r="AS159" s="242"/>
      <c r="BI159" s="240"/>
      <c r="BU159" s="236"/>
      <c r="CA159" s="274"/>
      <c r="CB159" s="209"/>
      <c r="CC159" s="209"/>
      <c r="CD159" s="209"/>
      <c r="CE159" s="209"/>
      <c r="CF159" s="209"/>
      <c r="CG159" s="209"/>
      <c r="CO159" s="211" t="s">
        <v>238</v>
      </c>
      <c r="CP159" s="211" t="s">
        <v>143</v>
      </c>
      <c r="CQ159" s="211" t="s">
        <v>353</v>
      </c>
      <c r="CR159" s="211" t="s">
        <v>726</v>
      </c>
      <c r="CS159" s="211" t="s">
        <v>3004</v>
      </c>
      <c r="CT159" s="211" t="s">
        <v>353</v>
      </c>
      <c r="CU159" s="211" t="str">
        <f t="shared" si="121"/>
        <v>N/A</v>
      </c>
      <c r="CV159" s="211" t="str">
        <f t="shared" si="122"/>
        <v>N/A</v>
      </c>
      <c r="CW159" s="211" t="str">
        <f t="shared" si="123"/>
        <v>N/A</v>
      </c>
      <c r="CX159" s="211" t="str">
        <f t="shared" si="124"/>
        <v>N/A</v>
      </c>
      <c r="CY159" s="211" t="str">
        <f t="shared" si="125"/>
        <v>N/A</v>
      </c>
      <c r="CZ159" s="211" t="str">
        <f t="shared" si="126"/>
        <v xml:space="preserve">​
En cumplimiento del objetivo de diseñar el Marco Integral de Supervisión y promover su apropiación institucional, durante el periodo reportado se llevaron a cabo mesas de trabajo con las diferentes áreas de la Superintendencia Nacional de Salud. Estos espacios de articulación permitieron avanzar en la validación técnica y conceptual del marco, realizar los ajustes necesarios y dar respuesta a los comentarios y observaciones emitidos por las dependencias involucradas.
Las mesas de trabajo no solo facilitaron la retroalimentación oportuna, sino que también contribuyeron a generar sentido de pertenencia y compromiso institucional con el instrumento, sentando las bases para la implementación gradual de estrategias de uso y apropiación en los distintos niveles de la entidad. Esta fase participativa garantiza que el Marco responda a las necesidades reales del ejercicio de la supervisión, fortaleciendo su aplicabilidad y sostenibilidad en el tiempo.
Se adjunta documento del MIS ajustado. 
</v>
      </c>
      <c r="DA159" s="211" t="str">
        <f t="shared" si="127"/>
        <v>N/A</v>
      </c>
      <c r="DB159" s="211" t="str">
        <f t="shared" si="128"/>
        <v>N/A</v>
      </c>
      <c r="DC159" s="211" t="str">
        <f t="shared" si="129"/>
        <v>N/A</v>
      </c>
      <c r="DD159" s="211" t="str">
        <f t="shared" si="130"/>
        <v>N/A</v>
      </c>
      <c r="DE159" s="211" t="str">
        <f t="shared" si="131"/>
        <v>N/A</v>
      </c>
      <c r="DF159" s="211" t="str">
        <f t="shared" si="132"/>
        <v>N/A</v>
      </c>
    </row>
    <row r="160" spans="1:110" s="211" customFormat="1" ht="64.5" customHeight="1">
      <c r="A160" s="348" t="s">
        <v>238</v>
      </c>
      <c r="B160" s="211" t="s">
        <v>143</v>
      </c>
      <c r="C160" s="211" t="s">
        <v>358</v>
      </c>
      <c r="D160" s="211" t="s">
        <v>516</v>
      </c>
      <c r="E160" s="211" t="s">
        <v>517</v>
      </c>
      <c r="F160" s="348" t="s">
        <v>518</v>
      </c>
      <c r="G160" s="211" t="s">
        <v>157</v>
      </c>
      <c r="H160" s="211">
        <v>1</v>
      </c>
      <c r="I160" s="323">
        <v>1</v>
      </c>
      <c r="J160" s="323">
        <v>1</v>
      </c>
      <c r="K160" s="288">
        <v>1</v>
      </c>
      <c r="L160" s="211" t="s">
        <v>709</v>
      </c>
      <c r="M160" s="211" t="b">
        <v>1</v>
      </c>
      <c r="N160" s="211" t="s">
        <v>710</v>
      </c>
      <c r="O160" s="209" t="s">
        <v>2832</v>
      </c>
      <c r="P160" s="211" t="s">
        <v>159</v>
      </c>
      <c r="Q160" s="211" t="s">
        <v>160</v>
      </c>
      <c r="T160" s="236"/>
      <c r="U160" s="236"/>
      <c r="V160" s="236"/>
      <c r="W160" s="236"/>
      <c r="X160" s="236"/>
      <c r="Y160" s="236"/>
      <c r="Z160" s="236"/>
      <c r="AA160" s="236"/>
      <c r="AB160" s="236"/>
      <c r="AC160" s="236"/>
      <c r="AD160" s="236"/>
      <c r="AE160" s="236"/>
      <c r="AF160" s="236"/>
      <c r="AG160" s="236"/>
      <c r="AH160" s="236"/>
      <c r="AI160" s="236"/>
      <c r="AJ160" s="236"/>
      <c r="AK160" s="242"/>
      <c r="AL160" s="242"/>
      <c r="AM160" s="242"/>
      <c r="AN160" s="242"/>
      <c r="AO160" s="242"/>
      <c r="AP160" s="242"/>
      <c r="AQ160" s="242"/>
      <c r="AR160" s="242"/>
      <c r="AS160" s="242"/>
      <c r="BI160" s="240"/>
      <c r="BU160" s="236"/>
      <c r="CA160" s="274"/>
      <c r="CB160" s="209"/>
      <c r="CC160" s="209"/>
      <c r="CD160" s="209"/>
      <c r="CE160" s="209"/>
      <c r="CF160" s="209"/>
      <c r="CG160" s="209"/>
      <c r="CO160" s="211" t="s">
        <v>238</v>
      </c>
      <c r="CP160" s="211" t="s">
        <v>143</v>
      </c>
      <c r="CQ160" s="211" t="s">
        <v>358</v>
      </c>
      <c r="CR160" s="211" t="s">
        <v>516</v>
      </c>
      <c r="CS160" s="211" t="s">
        <v>709</v>
      </c>
      <c r="CT160" s="211" t="s">
        <v>358</v>
      </c>
      <c r="CU160" s="211" t="str">
        <f t="shared" si="121"/>
        <v>N/A</v>
      </c>
      <c r="CV160" s="211" t="str">
        <f t="shared" si="122"/>
        <v>N/A</v>
      </c>
      <c r="CW160" s="211" t="str">
        <f t="shared" si="123"/>
        <v>N/A</v>
      </c>
      <c r="CX160" s="211" t="str">
        <f t="shared" si="124"/>
        <v>N/A</v>
      </c>
      <c r="CY160" s="211" t="str">
        <f t="shared" si="125"/>
        <v>N/A</v>
      </c>
      <c r="CZ160" s="211" t="str">
        <f t="shared" si="126"/>
        <v xml:space="preserve">​Durante el primer semestre se avanzó en la elaboración y formulación de un Programa de Gestión del Conocimiento, el cual busca alinear todas las iniciativas, acciones y proyectos que la Superintendencia Nacional de Salud debe seguir adelantando para la implementación de la Política GESCO+I. Éste se encuentra en validación. 
</v>
      </c>
      <c r="DA160" s="211" t="str">
        <f t="shared" si="127"/>
        <v>N/A</v>
      </c>
      <c r="DB160" s="211" t="str">
        <f t="shared" si="128"/>
        <v>N/A</v>
      </c>
      <c r="DC160" s="211" t="str">
        <f t="shared" si="129"/>
        <v>N/A</v>
      </c>
      <c r="DD160" s="211" t="str">
        <f t="shared" si="130"/>
        <v>N/A</v>
      </c>
      <c r="DE160" s="211" t="str">
        <f t="shared" si="131"/>
        <v>N/A</v>
      </c>
      <c r="DF160" s="211" t="str">
        <f t="shared" si="132"/>
        <v>N/A</v>
      </c>
    </row>
    <row r="161" spans="1:110" s="211" customFormat="1" ht="64.5" customHeight="1">
      <c r="A161" s="348" t="s">
        <v>238</v>
      </c>
      <c r="B161" s="211" t="s">
        <v>143</v>
      </c>
      <c r="C161" s="211" t="s">
        <v>364</v>
      </c>
      <c r="D161" s="211" t="s">
        <v>730</v>
      </c>
      <c r="E161" s="211" t="s">
        <v>731</v>
      </c>
      <c r="F161" s="348" t="s">
        <v>732</v>
      </c>
      <c r="G161" s="211" t="s">
        <v>157</v>
      </c>
      <c r="H161" s="211">
        <v>2</v>
      </c>
      <c r="I161" s="323">
        <v>2</v>
      </c>
      <c r="J161" s="323">
        <v>2</v>
      </c>
      <c r="K161" s="288">
        <v>1</v>
      </c>
      <c r="L161" s="211" t="s">
        <v>3005</v>
      </c>
      <c r="M161" s="211" t="b">
        <v>1</v>
      </c>
      <c r="N161" s="211" t="s">
        <v>733</v>
      </c>
      <c r="O161" s="209" t="s">
        <v>2832</v>
      </c>
      <c r="P161" s="211" t="s">
        <v>159</v>
      </c>
      <c r="Q161" s="211" t="s">
        <v>160</v>
      </c>
      <c r="T161" s="236"/>
      <c r="U161" s="236"/>
      <c r="V161" s="236"/>
      <c r="W161" s="236"/>
      <c r="X161" s="236"/>
      <c r="Y161" s="236"/>
      <c r="Z161" s="236"/>
      <c r="AA161" s="236"/>
      <c r="AB161" s="236"/>
      <c r="AC161" s="236"/>
      <c r="AD161" s="236"/>
      <c r="AE161" s="236"/>
      <c r="AF161" s="236"/>
      <c r="AG161" s="236"/>
      <c r="AH161" s="236"/>
      <c r="AI161" s="236"/>
      <c r="AJ161" s="236"/>
      <c r="AK161" s="242"/>
      <c r="AL161" s="242"/>
      <c r="AM161" s="242"/>
      <c r="AN161" s="242"/>
      <c r="AO161" s="242"/>
      <c r="AP161" s="242"/>
      <c r="AQ161" s="242"/>
      <c r="AR161" s="242"/>
      <c r="AS161" s="242"/>
      <c r="BI161" s="240"/>
      <c r="BU161" s="236"/>
      <c r="CA161" s="274"/>
      <c r="CB161" s="209"/>
      <c r="CC161" s="209"/>
      <c r="CD161" s="209"/>
      <c r="CE161" s="209"/>
      <c r="CF161" s="209"/>
      <c r="CG161" s="209"/>
      <c r="CO161" s="211" t="s">
        <v>238</v>
      </c>
      <c r="CP161" s="211" t="s">
        <v>143</v>
      </c>
      <c r="CQ161" s="211" t="s">
        <v>364</v>
      </c>
      <c r="CR161" s="211" t="s">
        <v>730</v>
      </c>
      <c r="CS161" s="211" t="s">
        <v>3005</v>
      </c>
      <c r="CT161" s="211" t="s">
        <v>364</v>
      </c>
      <c r="CU161" s="211" t="str">
        <f t="shared" si="121"/>
        <v>N/A</v>
      </c>
      <c r="CV161" s="211" t="str">
        <f t="shared" si="122"/>
        <v>N/A</v>
      </c>
      <c r="CW161" s="211" t="str">
        <f t="shared" si="123"/>
        <v>N/A</v>
      </c>
      <c r="CX161" s="211" t="str">
        <f t="shared" si="124"/>
        <v>N/A</v>
      </c>
      <c r="CY161" s="211" t="str">
        <f t="shared" si="125"/>
        <v>N/A</v>
      </c>
      <c r="CZ161" s="211" t="str">
        <f t="shared" si="126"/>
        <v xml:space="preserve">Se realizaron dos (2) socializaciones: 
1. Bogota-Circular SIARC.
2. Cali- Reporte de información, Sistema integrado de gestión de riesgos , SIARC.
</v>
      </c>
      <c r="DA161" s="211" t="str">
        <f t="shared" si="127"/>
        <v>N/A</v>
      </c>
      <c r="DB161" s="211" t="str">
        <f t="shared" si="128"/>
        <v>N/A</v>
      </c>
      <c r="DC161" s="211" t="str">
        <f t="shared" si="129"/>
        <v>N/A</v>
      </c>
      <c r="DD161" s="211" t="str">
        <f t="shared" si="130"/>
        <v>N/A</v>
      </c>
      <c r="DE161" s="211" t="str">
        <f t="shared" si="131"/>
        <v>N/A</v>
      </c>
      <c r="DF161" s="211" t="str">
        <f t="shared" si="132"/>
        <v>N/A</v>
      </c>
    </row>
    <row r="162" spans="1:110" s="211" customFormat="1" ht="64.5" customHeight="1">
      <c r="A162" s="348" t="s">
        <v>238</v>
      </c>
      <c r="B162" s="211" t="s">
        <v>143</v>
      </c>
      <c r="C162" s="211" t="s">
        <v>371</v>
      </c>
      <c r="D162" s="211" t="s">
        <v>521</v>
      </c>
      <c r="E162" s="211" t="s">
        <v>817</v>
      </c>
      <c r="F162" s="348" t="s">
        <v>523</v>
      </c>
      <c r="G162" s="211" t="s">
        <v>178</v>
      </c>
      <c r="H162" s="211">
        <v>21</v>
      </c>
      <c r="I162" s="433">
        <v>15</v>
      </c>
      <c r="J162" s="323">
        <v>21</v>
      </c>
      <c r="K162" s="288">
        <v>0.80952380952380998</v>
      </c>
      <c r="L162" s="211" t="s">
        <v>3006</v>
      </c>
      <c r="M162" s="211" t="b">
        <v>1</v>
      </c>
      <c r="N162" s="211" t="s">
        <v>818</v>
      </c>
      <c r="O162" s="209" t="s">
        <v>2832</v>
      </c>
      <c r="P162" s="211" t="s">
        <v>159</v>
      </c>
      <c r="Q162" s="211" t="s">
        <v>160</v>
      </c>
      <c r="T162" s="236"/>
      <c r="U162" s="236"/>
      <c r="V162" s="236"/>
      <c r="W162" s="236"/>
      <c r="X162" s="236"/>
      <c r="Y162" s="236"/>
      <c r="Z162" s="236"/>
      <c r="AA162" s="236"/>
      <c r="AB162" s="236"/>
      <c r="AC162" s="236"/>
      <c r="AD162" s="236"/>
      <c r="AE162" s="236"/>
      <c r="AF162" s="236"/>
      <c r="AG162" s="236"/>
      <c r="AH162" s="236"/>
      <c r="AI162" s="236"/>
      <c r="AJ162" s="236"/>
      <c r="AK162" s="242"/>
      <c r="AL162" s="242"/>
      <c r="AM162" s="242"/>
      <c r="AN162" s="242"/>
      <c r="AO162" s="242"/>
      <c r="AP162" s="242"/>
      <c r="AQ162" s="242"/>
      <c r="AR162" s="242"/>
      <c r="AS162" s="242"/>
      <c r="BI162" s="240"/>
      <c r="BU162" s="236"/>
      <c r="CA162" s="274"/>
      <c r="CB162" s="209"/>
      <c r="CC162" s="209"/>
      <c r="CD162" s="209"/>
      <c r="CE162" s="209"/>
      <c r="CF162" s="209"/>
      <c r="CG162" s="209"/>
      <c r="CO162" s="211" t="s">
        <v>238</v>
      </c>
      <c r="CP162" s="211" t="s">
        <v>143</v>
      </c>
      <c r="CQ162" s="211" t="s">
        <v>371</v>
      </c>
      <c r="CR162" s="211" t="s">
        <v>521</v>
      </c>
      <c r="CS162" s="211" t="s">
        <v>3006</v>
      </c>
      <c r="CT162" s="211" t="s">
        <v>371</v>
      </c>
      <c r="CU162" s="211" t="str">
        <f t="shared" si="121"/>
        <v>N/A</v>
      </c>
      <c r="CV162" s="211" t="str">
        <f t="shared" si="122"/>
        <v>N/A</v>
      </c>
      <c r="CW162" s="211" t="str">
        <f t="shared" si="123"/>
        <v>N/A</v>
      </c>
      <c r="CX162" s="211" t="str">
        <f t="shared" si="124"/>
        <v>N/A</v>
      </c>
      <c r="CY162" s="211" t="str">
        <f t="shared" si="125"/>
        <v>N/A</v>
      </c>
      <c r="CZ162" s="211" t="str">
        <f t="shared" si="126"/>
        <v xml:space="preserve">​
Durante el segundo trimestre de 2025, la Subdirección de Tecnologías de la Información, en articulación con otras dependencias de la Superintendencia Nacional de Salud, avanzó en múltiples frentes estratégicos para el fortalecimiento institucional y tecnológico:
1.Fortalecimiento del talento humano y equipos técnicos: Se avanzó en la contratación de perfiles clave para el Grupo de Sistemas de Información, incluyendo arquitecto de software y desarrolladores, en apoyo al desarrollo de soluciones tecnológicas.
2.Proyectos:
oHoja de Vida del Vigilado: Se avanzó en el levantamiento de información, análisis de requerimientos y definición de arquitectura inicial.
oPaz y salvo: Se inicio con la fase de requerimientos del proceso de digitalización y automatización del Paz y Salvo.
oGobernanza de Datos: Se formalizó la contratación con la Universidad de Antioquia para su implementación por fases.
oArquitectura Empresarial: El inicio del proyecto se pospuso para el segundo semestre debido a limitaciones operativas.
3.Gestión estratégica y operativa:
oSe diseñaron metodologías, plantillas e instrumentos estandarizados alineados con el Modelo de Gestión de Proyectos de TI (MGPTI), junto con estrategias de sensibilización y medición del nivel de madurez institucional.
oSe elaboró el documento base del Plan de Capacidad de TI y se fortaleció la infraestructura tecnológica mediante mantenimiento preventivo, soporte y mejoras de conectividad.
oSe avanzó en la articulación del equipo para alinear el Plan Institucional de Capacitación con las necesidades formativas TIC de las direcciones regionales, identificadas mediante un diagnóstico aplicado.
4.Seguridad digital y protección de datos:
oSe presentó el monitoreo de riesgos de seguridad digital del primer trimestre como parte del control interno institucional.
oSe fortaleció la implementación de controles de protección de datos personales, revisando políticas de privacidad y promoviendo un entorno de confianza.
oSe formalizó y actualizó la documentación de activos de información y se realizaron capacitaciones a gestores y personal TI.
5.Política de Gobierno Digital:
oSe adelantaron acciones para fortalecer su implementación como eje articulador de la transformación tecnológica institucional.
6.Marco Integral de Supervisión:
oSe continúa con su diseño y definición de modelos de supervisión diferenciados, que servirán como base metodológica para la Inspección, Vigilancia y Control con enfoque preventivo.
Se aclara que la meta no se cumplió por los siguientes motivos: 
No fue posible dar inicio durante el primer semestre con el proyecto relacionado con la consolidación de las PQRS entorno a la prestación de los servicios de salud, debido a que no se logró la vinculación de un profesional para apoyar las actividades relacionadas con la definición de un mecanismo o herramienta para la consolidación, integración y consulta de las PQRS, tomando como punto de partida el análisis del estado actual de acuerdo con la normatividad vigente, los procesos, los datos, sistemas de información y tecnologías dispuestas actualmente para la gestión de PQRS en la entidad.
El proyecto propuesto con la articulación del modelo de Gobernanza de Datos y su gestión de manera transversal en la entidad, no inicia ya que apenas se esta avanzando en la definición e implementación del modelo de Gobernanza de Datos y hasta que este proyecto no avance no será posible adelantar la articulación del modelo.
El Plan de Continuidad del Negocio (BCP) se esta empezando a diseñar en conjunto con la oficina asesora de planeación y otras áreas de la entidad con la participación de los grupos de Seguridad Digital e Infraestructura y Servicios tecnológicos de la Subdirección de Tecnologías de la información, sin embargo, el proyecto relacionado con el acompañamiento en la implementación del Plan de Continuidad del Negocio (BCP), no puede iniciar hasta tanto no se haya definido el BCP.
Por último, se espera que el proyecto del fortalecimiento de la Arquitectura Empresarial en la entidad se pueda iniciar en el segundo semestre de la presente vigencia ya que se tuvo que dar prioridad a otros temas debido a la alta ocupación de la capacidad operativa de la Subdirección de Tecnologías de la Información.
</v>
      </c>
      <c r="DA162" s="211" t="str">
        <f t="shared" si="127"/>
        <v>N/A</v>
      </c>
      <c r="DB162" s="211" t="str">
        <f t="shared" si="128"/>
        <v>N/A</v>
      </c>
      <c r="DC162" s="211" t="str">
        <f t="shared" si="129"/>
        <v>N/A</v>
      </c>
      <c r="DD162" s="211" t="str">
        <f t="shared" si="130"/>
        <v>N/A</v>
      </c>
      <c r="DE162" s="211" t="str">
        <f t="shared" si="131"/>
        <v>N/A</v>
      </c>
      <c r="DF162" s="211" t="str">
        <f t="shared" si="132"/>
        <v>N/A</v>
      </c>
    </row>
    <row r="163" spans="1:110" s="211" customFormat="1" ht="64.5" customHeight="1">
      <c r="A163" s="348" t="s">
        <v>238</v>
      </c>
      <c r="B163" s="211" t="s">
        <v>143</v>
      </c>
      <c r="C163" s="211" t="s">
        <v>375</v>
      </c>
      <c r="D163" s="211" t="s">
        <v>521</v>
      </c>
      <c r="E163" s="211" t="s">
        <v>526</v>
      </c>
      <c r="F163" s="348" t="s">
        <v>527</v>
      </c>
      <c r="G163" s="211" t="s">
        <v>178</v>
      </c>
      <c r="H163" s="211">
        <v>5</v>
      </c>
      <c r="I163" s="433">
        <v>4</v>
      </c>
      <c r="J163" s="433">
        <v>5</v>
      </c>
      <c r="K163" s="288">
        <v>0.5</v>
      </c>
      <c r="L163" s="211" t="s">
        <v>3007</v>
      </c>
      <c r="M163" s="211" t="b">
        <v>1</v>
      </c>
      <c r="N163" s="211" t="s">
        <v>819</v>
      </c>
      <c r="O163" s="209" t="s">
        <v>2832</v>
      </c>
      <c r="P163" s="211" t="s">
        <v>159</v>
      </c>
      <c r="Q163" s="211" t="s">
        <v>160</v>
      </c>
      <c r="T163" s="236"/>
      <c r="U163" s="236"/>
      <c r="V163" s="236"/>
      <c r="W163" s="236"/>
      <c r="X163" s="236"/>
      <c r="Y163" s="236"/>
      <c r="Z163" s="236"/>
      <c r="AA163" s="236"/>
      <c r="AB163" s="236"/>
      <c r="AC163" s="236"/>
      <c r="AD163" s="236"/>
      <c r="AE163" s="236"/>
      <c r="AF163" s="236"/>
      <c r="AG163" s="236"/>
      <c r="AH163" s="236"/>
      <c r="AI163" s="236"/>
      <c r="AJ163" s="236"/>
      <c r="AK163" s="242"/>
      <c r="AL163" s="242"/>
      <c r="AM163" s="242"/>
      <c r="AN163" s="242"/>
      <c r="AO163" s="242"/>
      <c r="AP163" s="242"/>
      <c r="AQ163" s="242"/>
      <c r="AR163" s="242"/>
      <c r="AS163" s="242"/>
      <c r="BI163" s="240"/>
      <c r="BU163" s="236"/>
      <c r="CA163" s="274"/>
      <c r="CB163" s="209"/>
      <c r="CC163" s="209"/>
      <c r="CD163" s="209"/>
      <c r="CE163" s="209"/>
      <c r="CF163" s="209"/>
      <c r="CG163" s="209"/>
      <c r="CO163" s="211" t="s">
        <v>238</v>
      </c>
      <c r="CP163" s="211" t="s">
        <v>143</v>
      </c>
      <c r="CQ163" s="211" t="s">
        <v>375</v>
      </c>
      <c r="CR163" s="211" t="s">
        <v>521</v>
      </c>
      <c r="CS163" s="211" t="s">
        <v>3007</v>
      </c>
      <c r="CT163" s="211" t="s">
        <v>375</v>
      </c>
      <c r="CU163" s="211" t="str">
        <f t="shared" si="121"/>
        <v>N/A</v>
      </c>
      <c r="CV163" s="211" t="str">
        <f t="shared" si="122"/>
        <v>N/A</v>
      </c>
      <c r="CW163" s="211" t="str">
        <f t="shared" si="123"/>
        <v>N/A</v>
      </c>
      <c r="CX163" s="211" t="str">
        <f t="shared" si="124"/>
        <v>N/A</v>
      </c>
      <c r="CY163" s="211" t="str">
        <f t="shared" si="125"/>
        <v>N/A</v>
      </c>
      <c r="CZ163" s="211" t="str">
        <f t="shared" si="126"/>
        <v>El Modelo de Seguridad y Privacidad de la Información (MSPI) en Colombia es un conjunto de lineamientos y buenas prácticas que deben implementar las entidades públicas para gestionar adecuadamente la seguridad y privacidad de sus activos de información.    
Se basa en estándares internacionales como la ISO/IEC 27001 y está regido principalmente por el Ministerio de Tecnologías de la Información y las Comunicaciones (MinTIC) a través de la Resolución 00500 de 2021 (y sus actualizaciones, como la Resolución 02277 de 2025 que actualiza el MSPI) y el Decreto 338 de 2022.
La implementación del MSPI en una entidad pública colombiana se desarrolla generalmente a través de un ciclo de operación que contempla cuatro fases principales: Planificación, Implantación (o Ejecución), Evaluación de Desempeño (o Monitoreo y Revisión) y Mejora Continua.
Respecto al tema se realiza:
• Identificación y Clasificación de Activos de Información:
o Se actualiza procedimiento de activos de información en la entidad y se socializa el nuevo procedimiento, manual y herramienta de levantamiento de activos.  
o Se inicia con la actualización de activos de información de la entidad.
• Gestión de Riesgos de Seguridad de la Información - Controles:
o Se realiza seguimiento a los planes de tratamiento de riesgos, para verificar el cumplimiento por parte de los procesos de la entidad de las medidas de mitigación y controles definidos.
o Se genera informe de riesgos de seguridad y privacidad de la información, el primero desde la reestructuración de la entidad, en el cual además del seguimiento se dan recomendaciones para mejorar la gestión estos a todos los procesos de la entidad.
o Se cambian las fechas de reporte de riesgos debido al cambio de personal por el concurso de méritos.
o Se socializa el tema de activos de información y riesgos de seguridad y privacidad de la información a los gestores de la entidad para indicarles de que manera se debe abordar la actualización de activos y la actualización de los riesgos y sus planes de tratamiento asociado de cara al segundo semestre de 2025.
• Desarrollo de Políticas y Procedimientos:
o Se inicia actualización de políticas de seguridad de la información.
o Se inicia actualización de políticas de protección de datos.</v>
      </c>
      <c r="DA163" s="211" t="str">
        <f t="shared" si="127"/>
        <v>N/A</v>
      </c>
      <c r="DB163" s="211" t="str">
        <f t="shared" si="128"/>
        <v>N/A</v>
      </c>
      <c r="DC163" s="211" t="str">
        <f t="shared" si="129"/>
        <v>N/A</v>
      </c>
      <c r="DD163" s="211" t="str">
        <f t="shared" si="130"/>
        <v>N/A</v>
      </c>
      <c r="DE163" s="211" t="str">
        <f t="shared" si="131"/>
        <v>N/A</v>
      </c>
      <c r="DF163" s="211" t="str">
        <f t="shared" si="132"/>
        <v>N/A</v>
      </c>
    </row>
    <row r="164" spans="1:110" s="211" customFormat="1" ht="64.5" customHeight="1">
      <c r="A164" s="348" t="s">
        <v>238</v>
      </c>
      <c r="B164" s="211" t="s">
        <v>143</v>
      </c>
      <c r="C164" s="211" t="s">
        <v>380</v>
      </c>
      <c r="D164" s="211" t="s">
        <v>521</v>
      </c>
      <c r="E164" s="211" t="s">
        <v>530</v>
      </c>
      <c r="F164" s="348" t="s">
        <v>531</v>
      </c>
      <c r="G164" s="211" t="s">
        <v>178</v>
      </c>
      <c r="H164" s="211">
        <v>2</v>
      </c>
      <c r="I164" s="323">
        <v>3</v>
      </c>
      <c r="J164" s="323">
        <v>8</v>
      </c>
      <c r="K164" s="288">
        <v>0.375</v>
      </c>
      <c r="L164" s="211" t="s">
        <v>3008</v>
      </c>
      <c r="M164" s="211" t="b">
        <v>1</v>
      </c>
      <c r="N164" s="211" t="s">
        <v>820</v>
      </c>
      <c r="O164" s="209" t="s">
        <v>2832</v>
      </c>
      <c r="P164" s="211" t="s">
        <v>159</v>
      </c>
      <c r="Q164" s="211" t="s">
        <v>160</v>
      </c>
      <c r="T164" s="236"/>
      <c r="U164" s="236"/>
      <c r="V164" s="236"/>
      <c r="W164" s="236"/>
      <c r="X164" s="236"/>
      <c r="Y164" s="236"/>
      <c r="Z164" s="236"/>
      <c r="AA164" s="236"/>
      <c r="AB164" s="236"/>
      <c r="AC164" s="236"/>
      <c r="AD164" s="236"/>
      <c r="AE164" s="236"/>
      <c r="AF164" s="236"/>
      <c r="AG164" s="236"/>
      <c r="AH164" s="236"/>
      <c r="AI164" s="236"/>
      <c r="AJ164" s="236"/>
      <c r="AK164" s="242"/>
      <c r="AL164" s="242"/>
      <c r="AM164" s="242"/>
      <c r="AN164" s="242"/>
      <c r="AO164" s="242"/>
      <c r="AP164" s="242"/>
      <c r="AQ164" s="242"/>
      <c r="AR164" s="242"/>
      <c r="AS164" s="242"/>
      <c r="BI164" s="240"/>
      <c r="BU164" s="236"/>
      <c r="CA164" s="274"/>
      <c r="CB164" s="209"/>
      <c r="CC164" s="209"/>
      <c r="CD164" s="209"/>
      <c r="CE164" s="209"/>
      <c r="CF164" s="209"/>
      <c r="CG164" s="209"/>
      <c r="CO164" s="211" t="s">
        <v>238</v>
      </c>
      <c r="CP164" s="211" t="s">
        <v>143</v>
      </c>
      <c r="CQ164" s="211" t="s">
        <v>380</v>
      </c>
      <c r="CR164" s="211" t="s">
        <v>521</v>
      </c>
      <c r="CS164" s="211" t="s">
        <v>3008</v>
      </c>
      <c r="CT164" s="211" t="s">
        <v>380</v>
      </c>
      <c r="CU164" s="211" t="str">
        <f t="shared" si="121"/>
        <v>N/A</v>
      </c>
      <c r="CV164" s="211" t="str">
        <f t="shared" si="122"/>
        <v>N/A</v>
      </c>
      <c r="CW164" s="211" t="str">
        <f t="shared" si="123"/>
        <v>N/A</v>
      </c>
      <c r="CX164" s="211" t="str">
        <f t="shared" si="124"/>
        <v>N/A</v>
      </c>
      <c r="CY164" s="211" t="str">
        <f t="shared" si="125"/>
        <v>N/A</v>
      </c>
      <c r="CZ164" s="211" t="str">
        <f t="shared" si="126"/>
        <v>​Durante el segundo trimestre de 2025, se avanzó en la formulación y actualización del Plan de Tratamiento de Riesgos de Seguridad y Privacidad de la Información, como parte de las acciones estratégicas orientadas a fortalecer el Sistema de Gestión de Seguridad de la Información (SGSI) de la entidad. 
Este plan contempla un conjunto de medidas preventivas, correctivas y de mitigación para gestionar los riesgos identificados, asegurando la confidencialidad, integridad y disponibilidad de la información institucional. 
Asimismo, se priorizaron acciones según el nivel de criticidad de los activos y la probabilidad de ocurrencia de las amenazas, definiendo responsables, plazos y recursos necesarios para su implementación. 
La ejecución de este plan busca garantizar el cumplimiento de la normativa vigente en materia de seguridad digital y protección de datos personales, reducir la exposición a incidentes y fortalecer la confianza de los ciudadanos en el manejo de su información.
Se realizaron las dos actividades programadas para el periodo, dando un acumulado de 3 de 8 previstas para la vigencia.</v>
      </c>
      <c r="DA164" s="211" t="str">
        <f t="shared" si="127"/>
        <v>N/A</v>
      </c>
      <c r="DB164" s="211" t="str">
        <f t="shared" si="128"/>
        <v>N/A</v>
      </c>
      <c r="DC164" s="211" t="str">
        <f t="shared" si="129"/>
        <v>N/A</v>
      </c>
      <c r="DD164" s="211" t="str">
        <f t="shared" si="130"/>
        <v>N/A</v>
      </c>
      <c r="DE164" s="211" t="str">
        <f t="shared" si="131"/>
        <v>N/A</v>
      </c>
      <c r="DF164" s="211" t="str">
        <f t="shared" si="132"/>
        <v>N/A</v>
      </c>
    </row>
    <row r="165" spans="1:110" s="211" customFormat="1" ht="64.5" customHeight="1">
      <c r="A165" s="348" t="s">
        <v>238</v>
      </c>
      <c r="B165" s="211" t="s">
        <v>143</v>
      </c>
      <c r="C165" s="211" t="s">
        <v>252</v>
      </c>
      <c r="D165" s="211" t="s">
        <v>253</v>
      </c>
      <c r="E165" s="211" t="s">
        <v>254</v>
      </c>
      <c r="F165" s="348" t="s">
        <v>255</v>
      </c>
      <c r="G165" s="211" t="s">
        <v>157</v>
      </c>
      <c r="H165" s="211">
        <v>15</v>
      </c>
      <c r="I165" s="323">
        <v>15</v>
      </c>
      <c r="J165" s="323">
        <v>15</v>
      </c>
      <c r="K165" s="288">
        <v>1</v>
      </c>
      <c r="L165" s="211" t="s">
        <v>3009</v>
      </c>
      <c r="M165" s="211" t="b">
        <v>1</v>
      </c>
      <c r="N165" s="211" t="s">
        <v>746</v>
      </c>
      <c r="O165" s="209" t="s">
        <v>2832</v>
      </c>
      <c r="P165" s="211" t="s">
        <v>159</v>
      </c>
      <c r="Q165" s="211" t="s">
        <v>160</v>
      </c>
      <c r="T165" s="236"/>
      <c r="U165" s="236"/>
      <c r="V165" s="236"/>
      <c r="W165" s="236"/>
      <c r="X165" s="236"/>
      <c r="Y165" s="236"/>
      <c r="Z165" s="236"/>
      <c r="AA165" s="236"/>
      <c r="AB165" s="236"/>
      <c r="AC165" s="236"/>
      <c r="AD165" s="236"/>
      <c r="AE165" s="236"/>
      <c r="AF165" s="236"/>
      <c r="AG165" s="236"/>
      <c r="AH165" s="236"/>
      <c r="AI165" s="236"/>
      <c r="AJ165" s="236"/>
      <c r="AK165" s="242"/>
      <c r="AL165" s="242"/>
      <c r="AM165" s="242"/>
      <c r="AN165" s="242"/>
      <c r="AO165" s="242"/>
      <c r="AP165" s="242"/>
      <c r="AQ165" s="242"/>
      <c r="AR165" s="242"/>
      <c r="AS165" s="242"/>
      <c r="BI165" s="240"/>
      <c r="BU165" s="236"/>
      <c r="CA165" s="274"/>
      <c r="CB165" s="209"/>
      <c r="CC165" s="209"/>
      <c r="CD165" s="209"/>
      <c r="CE165" s="209"/>
      <c r="CF165" s="209"/>
      <c r="CG165" s="209"/>
      <c r="CO165" s="211" t="s">
        <v>238</v>
      </c>
      <c r="CP165" s="211" t="s">
        <v>143</v>
      </c>
      <c r="CQ165" s="211" t="s">
        <v>252</v>
      </c>
      <c r="CR165" s="211" t="s">
        <v>253</v>
      </c>
      <c r="CS165" s="211" t="s">
        <v>3009</v>
      </c>
      <c r="CT165" s="211" t="s">
        <v>252</v>
      </c>
      <c r="CU165" s="211" t="str">
        <f t="shared" si="121"/>
        <v>N/A</v>
      </c>
      <c r="CV165" s="211" t="str">
        <f t="shared" si="122"/>
        <v>N/A</v>
      </c>
      <c r="CW165" s="211" t="str">
        <f t="shared" si="123"/>
        <v>N/A</v>
      </c>
      <c r="CX165" s="211" t="str">
        <f t="shared" si="124"/>
        <v>N/A</v>
      </c>
      <c r="CY165" s="211" t="str">
        <f t="shared" si="125"/>
        <v>N/A</v>
      </c>
      <c r="CZ165" s="211" t="str">
        <f t="shared" si="126"/>
        <v xml:space="preserve">​Durante el segundo trimestre, en el marco de la definición del Modelo de Gobernanza y Gestión de Datos e Información, se adelantaron las siguientes actividades:
Socialización Flujograma Gestionar Analítica de datos e información (1)Base Única de Vigilados actualizada (1)Documentos Reglas de Negocio e Integración de Datos actualizado (1)Catálogo de Datos Abiertos actualizado (2)Informes Validación de mallas - Archivos Tipo (2)Reporting Services gestionados y actualizados (3) actividad mensualInformes Cartera y otros financieros de vigilados (1)Informe UIAF (1)Tableros de Mando gestionados y actualizados (2)Script (1)
 Se resalta que de acuerdo con la Oficina Asesora de Planeación, este indicador es acumulado, motivo por el cual y de acuerdo con los cronogramas definidos se tiene un avance del 27,7%.
Se adjunta enlace de carpeta para complementar evidencias de REPORTING SERVICES: Reporting Service 
</v>
      </c>
      <c r="DA165" s="211" t="str">
        <f t="shared" si="127"/>
        <v>N/A</v>
      </c>
      <c r="DB165" s="211" t="str">
        <f t="shared" si="128"/>
        <v>N/A</v>
      </c>
      <c r="DC165" s="211" t="str">
        <f t="shared" si="129"/>
        <v>N/A</v>
      </c>
      <c r="DD165" s="211" t="str">
        <f t="shared" si="130"/>
        <v>N/A</v>
      </c>
      <c r="DE165" s="211" t="str">
        <f t="shared" si="131"/>
        <v>N/A</v>
      </c>
      <c r="DF165" s="211" t="str">
        <f t="shared" si="132"/>
        <v>N/A</v>
      </c>
    </row>
    <row r="166" spans="1:110" s="211" customFormat="1" ht="64.5" customHeight="1">
      <c r="A166" s="348" t="s">
        <v>238</v>
      </c>
      <c r="B166" s="211" t="s">
        <v>143</v>
      </c>
      <c r="C166" s="211" t="s">
        <v>245</v>
      </c>
      <c r="D166" s="211" t="s">
        <v>246</v>
      </c>
      <c r="E166" s="211" t="s">
        <v>247</v>
      </c>
      <c r="F166" s="348" t="s">
        <v>248</v>
      </c>
      <c r="G166" s="211" t="s">
        <v>178</v>
      </c>
      <c r="H166" s="211">
        <v>6</v>
      </c>
      <c r="I166" s="323">
        <v>8</v>
      </c>
      <c r="J166" s="323">
        <v>10</v>
      </c>
      <c r="K166" s="288">
        <v>0.8</v>
      </c>
      <c r="L166" s="211" t="s">
        <v>3010</v>
      </c>
      <c r="M166" s="211" t="b">
        <v>1</v>
      </c>
      <c r="N166" s="211" t="s">
        <v>747</v>
      </c>
      <c r="O166" s="209" t="s">
        <v>2832</v>
      </c>
      <c r="P166" s="211" t="s">
        <v>159</v>
      </c>
      <c r="Q166" s="211" t="s">
        <v>160</v>
      </c>
      <c r="T166" s="236"/>
      <c r="U166" s="236"/>
      <c r="V166" s="236"/>
      <c r="W166" s="236"/>
      <c r="X166" s="236"/>
      <c r="Y166" s="236"/>
      <c r="Z166" s="236"/>
      <c r="AA166" s="236"/>
      <c r="AB166" s="236"/>
      <c r="AC166" s="236"/>
      <c r="AD166" s="236"/>
      <c r="AE166" s="236"/>
      <c r="AF166" s="236"/>
      <c r="AG166" s="236"/>
      <c r="AH166" s="236"/>
      <c r="AI166" s="236"/>
      <c r="AJ166" s="236"/>
      <c r="AK166" s="242"/>
      <c r="AL166" s="242"/>
      <c r="AM166" s="242"/>
      <c r="AN166" s="242"/>
      <c r="AO166" s="242"/>
      <c r="AP166" s="242"/>
      <c r="AQ166" s="242"/>
      <c r="AR166" s="242"/>
      <c r="AS166" s="242"/>
      <c r="BI166" s="240"/>
      <c r="BU166" s="236"/>
      <c r="CA166" s="274"/>
      <c r="CB166" s="209"/>
      <c r="CC166" s="209"/>
      <c r="CD166" s="209"/>
      <c r="CE166" s="209"/>
      <c r="CF166" s="209"/>
      <c r="CG166" s="209"/>
      <c r="CO166" s="211" t="s">
        <v>238</v>
      </c>
      <c r="CP166" s="211" t="s">
        <v>143</v>
      </c>
      <c r="CQ166" s="211" t="s">
        <v>245</v>
      </c>
      <c r="CR166" s="211" t="s">
        <v>246</v>
      </c>
      <c r="CS166" s="211" t="s">
        <v>3010</v>
      </c>
      <c r="CT166" s="211" t="s">
        <v>245</v>
      </c>
      <c r="CU166" s="211" t="str">
        <f t="shared" si="121"/>
        <v>N/A</v>
      </c>
      <c r="CV166" s="211" t="str">
        <f t="shared" si="122"/>
        <v>N/A</v>
      </c>
      <c r="CW166" s="211" t="str">
        <f t="shared" si="123"/>
        <v>N/A</v>
      </c>
      <c r="CX166" s="211" t="str">
        <f t="shared" si="124"/>
        <v>N/A</v>
      </c>
      <c r="CY166" s="211" t="str">
        <f t="shared" si="125"/>
        <v>N/A</v>
      </c>
      <c r="CZ166" s="211" t="str">
        <f t="shared" si="126"/>
        <v xml:space="preserve">En el periodo de tiempo evaluado, se adelantaron las siguientes acciones para la implementación de la Política de Gestión de Información Estadística, con un avance de 6 actividades de las programadas: 
Soportes inicio etapa precontractual para la Política de Gestión de Información Estadística, se adjunta modificación PAA y por lo tanto esta etapa no ha iniciado por cambio de objeto contractual para transferencia de conocimiento aun sin definir por decisiones gerenciales asociadas al concurso y cambio de personal (1)
Línea base de demandas insatisfechas (1)
Implementación de Buenas Prácticas DANE SEN en el flujo de actividades clave de éxito (1)
Línea Base Registros Administrativos (1)
Línea base de operaciones estadísticas (1)
Documento Estrategia de Difusión (1)
Se hace la aclaración que de acuerdo con indicaciones de la Oficina Asesora de Planeación, el avance acumulado de este indicador es del 80%. 
</v>
      </c>
      <c r="DA166" s="211" t="str">
        <f t="shared" si="127"/>
        <v>N/A</v>
      </c>
      <c r="DB166" s="211" t="str">
        <f t="shared" si="128"/>
        <v>N/A</v>
      </c>
      <c r="DC166" s="211" t="str">
        <f t="shared" si="129"/>
        <v>N/A</v>
      </c>
      <c r="DD166" s="211" t="str">
        <f t="shared" si="130"/>
        <v>N/A</v>
      </c>
      <c r="DE166" s="211" t="str">
        <f t="shared" si="131"/>
        <v>N/A</v>
      </c>
      <c r="DF166" s="211" t="str">
        <f t="shared" si="132"/>
        <v>N/A</v>
      </c>
    </row>
    <row r="167" spans="1:110" s="211" customFormat="1" ht="64.5" customHeight="1">
      <c r="A167" s="348" t="s">
        <v>317</v>
      </c>
      <c r="B167" s="211" t="s">
        <v>143</v>
      </c>
      <c r="C167" s="211" t="s">
        <v>277</v>
      </c>
      <c r="D167" s="211" t="s">
        <v>696</v>
      </c>
      <c r="E167" s="211" t="s">
        <v>697</v>
      </c>
      <c r="F167" s="348" t="s">
        <v>698</v>
      </c>
      <c r="G167" s="211" t="s">
        <v>178</v>
      </c>
      <c r="H167" s="211">
        <v>1</v>
      </c>
      <c r="I167" s="323">
        <v>14</v>
      </c>
      <c r="J167" s="323">
        <v>14</v>
      </c>
      <c r="K167" s="288">
        <v>1</v>
      </c>
      <c r="L167" s="211" t="s">
        <v>2816</v>
      </c>
      <c r="M167" s="211" t="b">
        <v>0</v>
      </c>
      <c r="O167" s="209" t="s">
        <v>2832</v>
      </c>
      <c r="P167" s="211" t="s">
        <v>159</v>
      </c>
      <c r="Q167" s="211" t="s">
        <v>160</v>
      </c>
      <c r="T167" s="236"/>
      <c r="U167" s="236"/>
      <c r="V167" s="236"/>
      <c r="W167" s="236"/>
      <c r="X167" s="236"/>
      <c r="Y167" s="236"/>
      <c r="Z167" s="236"/>
      <c r="AA167" s="236"/>
      <c r="AB167" s="236"/>
      <c r="AC167" s="236"/>
      <c r="AD167" s="236"/>
      <c r="AE167" s="236"/>
      <c r="AF167" s="236"/>
      <c r="AG167" s="236"/>
      <c r="AH167" s="236"/>
      <c r="AI167" s="236"/>
      <c r="AJ167" s="236"/>
      <c r="AK167" s="242"/>
      <c r="AL167" s="242"/>
      <c r="AM167" s="242"/>
      <c r="AN167" s="242"/>
      <c r="AO167" s="242"/>
      <c r="AP167" s="242"/>
      <c r="AQ167" s="242"/>
      <c r="AR167" s="242"/>
      <c r="AS167" s="242"/>
      <c r="BI167" s="240"/>
      <c r="BU167" s="236"/>
      <c r="CA167" s="274"/>
      <c r="CB167" s="209"/>
      <c r="CC167" s="209"/>
      <c r="CD167" s="209"/>
      <c r="CE167" s="209"/>
      <c r="CF167" s="209"/>
      <c r="CG167" s="209"/>
      <c r="CO167" s="211" t="s">
        <v>317</v>
      </c>
      <c r="CP167" s="211" t="s">
        <v>143</v>
      </c>
      <c r="CQ167" s="211" t="s">
        <v>277</v>
      </c>
      <c r="CR167" s="211" t="s">
        <v>696</v>
      </c>
      <c r="CS167" s="211" t="s">
        <v>2816</v>
      </c>
      <c r="CT167" s="211" t="s">
        <v>277</v>
      </c>
      <c r="CU167" s="211" t="str">
        <f t="shared" si="121"/>
        <v>N/A</v>
      </c>
      <c r="CV167" s="211" t="str">
        <f t="shared" si="122"/>
        <v>N/A</v>
      </c>
      <c r="CW167" s="211" t="str">
        <f t="shared" si="123"/>
        <v>N/A</v>
      </c>
      <c r="CX167" s="211" t="str">
        <f t="shared" si="124"/>
        <v>N/A</v>
      </c>
      <c r="CY167" s="211" t="str">
        <f t="shared" si="125"/>
        <v>N/A</v>
      </c>
      <c r="CZ167" s="211" t="str">
        <f t="shared" si="126"/>
        <v xml:space="preserve">​Dentro del periodo a reportar la Subdirección de Recursos Jurídicos cumplió con el indicador propuesto (100%), toda vez que, resolvió  los recursos de única instancia en el termino de oportunidad de dos meses desde la fecha de recepción del recursos. 
 Dentro de los asuntos gestionados se encuentran 13 recursos de reposición y una solicitud de revocatoria directa.
</v>
      </c>
      <c r="DA167" s="211" t="str">
        <f t="shared" si="127"/>
        <v>N/A</v>
      </c>
      <c r="DB167" s="211" t="str">
        <f t="shared" si="128"/>
        <v>N/A</v>
      </c>
      <c r="DC167" s="211" t="str">
        <f t="shared" si="129"/>
        <v>N/A</v>
      </c>
      <c r="DD167" s="211" t="str">
        <f t="shared" si="130"/>
        <v>N/A</v>
      </c>
      <c r="DE167" s="211" t="str">
        <f t="shared" si="131"/>
        <v>N/A</v>
      </c>
      <c r="DF167" s="211" t="str">
        <f t="shared" si="132"/>
        <v>N/A</v>
      </c>
    </row>
    <row r="168" spans="1:110" s="211" customFormat="1" ht="64.5" customHeight="1">
      <c r="A168" s="348" t="s">
        <v>317</v>
      </c>
      <c r="B168" s="211" t="s">
        <v>143</v>
      </c>
      <c r="C168" s="211" t="s">
        <v>282</v>
      </c>
      <c r="D168" s="211" t="s">
        <v>699</v>
      </c>
      <c r="E168" s="211" t="s">
        <v>700</v>
      </c>
      <c r="F168" s="348" t="s">
        <v>701</v>
      </c>
      <c r="G168" s="211" t="s">
        <v>178</v>
      </c>
      <c r="H168" s="211">
        <v>1</v>
      </c>
      <c r="I168" s="323">
        <v>114</v>
      </c>
      <c r="J168" s="323">
        <v>114</v>
      </c>
      <c r="K168" s="288">
        <v>1</v>
      </c>
      <c r="L168" s="211" t="s">
        <v>2817</v>
      </c>
      <c r="M168" s="211" t="b">
        <v>0</v>
      </c>
      <c r="O168" s="209" t="s">
        <v>2832</v>
      </c>
      <c r="P168" s="211" t="s">
        <v>159</v>
      </c>
      <c r="Q168" s="211" t="s">
        <v>160</v>
      </c>
      <c r="T168" s="236"/>
      <c r="U168" s="236"/>
      <c r="V168" s="236"/>
      <c r="W168" s="236"/>
      <c r="X168" s="236"/>
      <c r="Y168" s="236"/>
      <c r="Z168" s="236"/>
      <c r="AA168" s="236"/>
      <c r="AB168" s="236"/>
      <c r="AC168" s="236"/>
      <c r="AD168" s="236"/>
      <c r="AE168" s="236"/>
      <c r="AF168" s="236"/>
      <c r="AG168" s="236"/>
      <c r="AH168" s="236"/>
      <c r="AI168" s="236"/>
      <c r="AJ168" s="236"/>
      <c r="AK168" s="242"/>
      <c r="AL168" s="242"/>
      <c r="AM168" s="242"/>
      <c r="AN168" s="242"/>
      <c r="AO168" s="242"/>
      <c r="AP168" s="242"/>
      <c r="AQ168" s="242"/>
      <c r="AR168" s="242"/>
      <c r="AS168" s="242"/>
      <c r="BI168" s="240"/>
      <c r="BU168" s="236"/>
      <c r="CA168" s="274"/>
      <c r="CB168" s="209"/>
      <c r="CC168" s="209"/>
      <c r="CD168" s="209"/>
      <c r="CE168" s="209"/>
      <c r="CF168" s="209"/>
      <c r="CG168" s="209"/>
      <c r="CO168" s="211" t="s">
        <v>317</v>
      </c>
      <c r="CP168" s="211" t="s">
        <v>143</v>
      </c>
      <c r="CQ168" s="211" t="s">
        <v>282</v>
      </c>
      <c r="CR168" s="211" t="s">
        <v>699</v>
      </c>
      <c r="CS168" s="211" t="s">
        <v>2817</v>
      </c>
      <c r="CT168" s="211" t="s">
        <v>282</v>
      </c>
      <c r="CU168" s="211" t="str">
        <f t="shared" si="121"/>
        <v>N/A</v>
      </c>
      <c r="CV168" s="211" t="str">
        <f t="shared" si="122"/>
        <v>N/A</v>
      </c>
      <c r="CW168" s="211" t="str">
        <f t="shared" si="123"/>
        <v>N/A</v>
      </c>
      <c r="CX168" s="211" t="str">
        <f t="shared" si="124"/>
        <v>N/A</v>
      </c>
      <c r="CY168" s="211" t="str">
        <f t="shared" si="125"/>
        <v>N/A</v>
      </c>
      <c r="CZ168" s="211" t="str">
        <f t="shared" si="126"/>
        <v xml:space="preserve">​Durante el periodo a reportar (2025-1) está Subdirección  cumplió con el indicador propuesto (100%),  entregando para firma y notificación los actos administrativos en el termino previsto por el artículo 52 de la Ley 1437.
 Dentro del periodo a reportar, se encuentran 102 asuntos que resuelven apelación, 5 que resuelven recurso de queja y  7 que resuelven solicitudes de revocatoria directa.
</v>
      </c>
      <c r="DA168" s="211" t="str">
        <f t="shared" si="127"/>
        <v>N/A</v>
      </c>
      <c r="DB168" s="211" t="str">
        <f t="shared" si="128"/>
        <v>N/A</v>
      </c>
      <c r="DC168" s="211" t="str">
        <f t="shared" si="129"/>
        <v>N/A</v>
      </c>
      <c r="DD168" s="211" t="str">
        <f t="shared" si="130"/>
        <v>N/A</v>
      </c>
      <c r="DE168" s="211" t="str">
        <f t="shared" si="131"/>
        <v>N/A</v>
      </c>
      <c r="DF168" s="211" t="str">
        <f t="shared" si="132"/>
        <v>N/A</v>
      </c>
    </row>
    <row r="169" spans="1:110" s="211" customFormat="1" ht="64.5" customHeight="1">
      <c r="A169" s="348" t="s">
        <v>317</v>
      </c>
      <c r="B169" s="211" t="s">
        <v>143</v>
      </c>
      <c r="C169" s="211" t="s">
        <v>471</v>
      </c>
      <c r="D169" s="211" t="s">
        <v>782</v>
      </c>
      <c r="E169" s="211" t="s">
        <v>783</v>
      </c>
      <c r="F169" s="348" t="s">
        <v>784</v>
      </c>
      <c r="G169" s="211" t="s">
        <v>178</v>
      </c>
      <c r="H169" s="211">
        <v>1</v>
      </c>
      <c r="I169" s="323">
        <v>88</v>
      </c>
      <c r="J169" s="323">
        <v>88</v>
      </c>
      <c r="K169" s="288">
        <v>1</v>
      </c>
      <c r="L169" s="211" t="s">
        <v>785</v>
      </c>
      <c r="M169" s="211" t="b">
        <v>0</v>
      </c>
      <c r="O169" s="209" t="s">
        <v>2832</v>
      </c>
      <c r="P169" s="211" t="s">
        <v>159</v>
      </c>
      <c r="Q169" s="211" t="s">
        <v>160</v>
      </c>
      <c r="T169" s="236"/>
      <c r="U169" s="236"/>
      <c r="V169" s="236"/>
      <c r="W169" s="236"/>
      <c r="X169" s="236"/>
      <c r="Y169" s="236"/>
      <c r="Z169" s="236"/>
      <c r="AA169" s="236"/>
      <c r="AB169" s="236"/>
      <c r="AC169" s="236"/>
      <c r="AD169" s="236"/>
      <c r="AE169" s="236"/>
      <c r="AF169" s="236"/>
      <c r="AG169" s="236"/>
      <c r="AH169" s="236"/>
      <c r="AI169" s="236"/>
      <c r="AJ169" s="236"/>
      <c r="AK169" s="242"/>
      <c r="AL169" s="242"/>
      <c r="AM169" s="242"/>
      <c r="AN169" s="242"/>
      <c r="AO169" s="242"/>
      <c r="AP169" s="242"/>
      <c r="AQ169" s="242"/>
      <c r="AR169" s="242"/>
      <c r="AS169" s="242"/>
      <c r="BI169" s="240"/>
      <c r="BU169" s="236"/>
      <c r="CA169" s="274"/>
      <c r="CB169" s="209"/>
      <c r="CC169" s="209"/>
      <c r="CD169" s="209"/>
      <c r="CE169" s="209"/>
      <c r="CF169" s="209"/>
      <c r="CG169" s="209"/>
      <c r="CO169" s="211" t="s">
        <v>317</v>
      </c>
      <c r="CP169" s="211" t="s">
        <v>143</v>
      </c>
      <c r="CQ169" s="211" t="s">
        <v>471</v>
      </c>
      <c r="CR169" s="211" t="s">
        <v>782</v>
      </c>
      <c r="CS169" s="211" t="s">
        <v>785</v>
      </c>
      <c r="CT169" s="211" t="s">
        <v>471</v>
      </c>
      <c r="CU169" s="211" t="str">
        <f t="shared" si="121"/>
        <v>N/A</v>
      </c>
      <c r="CV169" s="211" t="str">
        <f t="shared" si="122"/>
        <v>N/A</v>
      </c>
      <c r="CW169" s="211" t="str">
        <f t="shared" si="123"/>
        <v>N/A</v>
      </c>
      <c r="CX169" s="211" t="str">
        <f t="shared" si="124"/>
        <v>N/A</v>
      </c>
      <c r="CY169" s="211" t="str">
        <f t="shared" si="125"/>
        <v>N/A</v>
      </c>
      <c r="CZ169" s="211" t="str">
        <f t="shared" si="126"/>
        <v xml:space="preserve">En el primer semestre de 2025, todos los requerimientos por incidentes de desacato derivados de acciones de tutela en las que se consideró por parte del accionante la vulneración a derechos fundamentales por acciones u omisiones propias de la Entidad, fueron tramitados por el grupo de tutelas.
</v>
      </c>
      <c r="DA169" s="211" t="str">
        <f t="shared" si="127"/>
        <v>N/A</v>
      </c>
      <c r="DB169" s="211" t="str">
        <f t="shared" si="128"/>
        <v>N/A</v>
      </c>
      <c r="DC169" s="211" t="str">
        <f t="shared" si="129"/>
        <v>N/A</v>
      </c>
      <c r="DD169" s="211" t="str">
        <f t="shared" si="130"/>
        <v>N/A</v>
      </c>
      <c r="DE169" s="211" t="str">
        <f t="shared" si="131"/>
        <v>N/A</v>
      </c>
      <c r="DF169" s="211" t="str">
        <f t="shared" si="132"/>
        <v>N/A</v>
      </c>
    </row>
    <row r="170" spans="1:110" s="211" customFormat="1" ht="64.5" customHeight="1">
      <c r="A170" s="348" t="s">
        <v>317</v>
      </c>
      <c r="B170" s="211" t="s">
        <v>143</v>
      </c>
      <c r="C170" s="211" t="s">
        <v>475</v>
      </c>
      <c r="D170" s="211" t="s">
        <v>718</v>
      </c>
      <c r="E170" s="211" t="s">
        <v>719</v>
      </c>
      <c r="F170" s="348" t="s">
        <v>720</v>
      </c>
      <c r="G170" s="211" t="s">
        <v>178</v>
      </c>
      <c r="H170" s="211">
        <v>1</v>
      </c>
      <c r="I170" s="323">
        <v>475</v>
      </c>
      <c r="J170" s="323">
        <v>484</v>
      </c>
      <c r="K170" s="288">
        <v>0.98140495867768596</v>
      </c>
      <c r="L170" s="211" t="s">
        <v>721</v>
      </c>
      <c r="M170" s="211" t="b">
        <v>0</v>
      </c>
      <c r="O170" s="209" t="s">
        <v>2832</v>
      </c>
      <c r="P170" s="211" t="s">
        <v>159</v>
      </c>
      <c r="Q170" s="211" t="s">
        <v>160</v>
      </c>
      <c r="T170" s="236"/>
      <c r="U170" s="236"/>
      <c r="V170" s="236"/>
      <c r="W170" s="236"/>
      <c r="X170" s="236"/>
      <c r="Y170" s="236"/>
      <c r="Z170" s="236"/>
      <c r="AA170" s="236"/>
      <c r="AB170" s="236"/>
      <c r="AC170" s="236"/>
      <c r="AD170" s="236"/>
      <c r="AE170" s="236"/>
      <c r="AF170" s="236"/>
      <c r="AG170" s="236"/>
      <c r="AH170" s="236"/>
      <c r="AI170" s="236"/>
      <c r="AJ170" s="236"/>
      <c r="AK170" s="242"/>
      <c r="AL170" s="242"/>
      <c r="AM170" s="242"/>
      <c r="AN170" s="242"/>
      <c r="AO170" s="242"/>
      <c r="AP170" s="242"/>
      <c r="AQ170" s="242"/>
      <c r="AR170" s="242"/>
      <c r="AS170" s="242"/>
      <c r="BI170" s="240"/>
      <c r="BU170" s="236"/>
      <c r="CA170" s="274"/>
      <c r="CB170" s="209"/>
      <c r="CC170" s="209"/>
      <c r="CD170" s="209"/>
      <c r="CE170" s="209"/>
      <c r="CF170" s="209"/>
      <c r="CG170" s="209"/>
      <c r="CO170" s="211" t="s">
        <v>317</v>
      </c>
      <c r="CP170" s="211" t="s">
        <v>143</v>
      </c>
      <c r="CQ170" s="211" t="s">
        <v>475</v>
      </c>
      <c r="CR170" s="211" t="s">
        <v>718</v>
      </c>
      <c r="CS170" s="211" t="s">
        <v>721</v>
      </c>
      <c r="CT170" s="211" t="s">
        <v>475</v>
      </c>
      <c r="CU170" s="211" t="str">
        <f t="shared" si="121"/>
        <v>N/A</v>
      </c>
      <c r="CV170" s="211" t="str">
        <f t="shared" si="122"/>
        <v>N/A</v>
      </c>
      <c r="CW170" s="211" t="str">
        <f t="shared" si="123"/>
        <v>N/A</v>
      </c>
      <c r="CX170" s="211" t="str">
        <f t="shared" si="124"/>
        <v>N/A</v>
      </c>
      <c r="CY170" s="211" t="str">
        <f t="shared" si="125"/>
        <v>N/A</v>
      </c>
      <c r="CZ170" s="211" t="str">
        <f t="shared" si="126"/>
        <v xml:space="preserve">Durante el primer semestre de 2025 se obtuvieron los resultados relacionados en el documento adjunto, en el cual se evidencian tanto los porcentajes de respuesta a peticiones en tiempo como los porcentajes de aquellas que fueron atendidas de manera extemporánea, en su mayoría porque llegaron vencidos a la Dirección Jurídica. ​
</v>
      </c>
      <c r="DA170" s="211" t="str">
        <f t="shared" si="127"/>
        <v>N/A</v>
      </c>
      <c r="DB170" s="211" t="str">
        <f t="shared" si="128"/>
        <v>N/A</v>
      </c>
      <c r="DC170" s="211" t="str">
        <f t="shared" si="129"/>
        <v>N/A</v>
      </c>
      <c r="DD170" s="211" t="str">
        <f t="shared" si="130"/>
        <v>N/A</v>
      </c>
      <c r="DE170" s="211" t="str">
        <f t="shared" si="131"/>
        <v>N/A</v>
      </c>
      <c r="DF170" s="211" t="str">
        <f t="shared" si="132"/>
        <v>N/A</v>
      </c>
    </row>
    <row r="171" spans="1:110" s="211" customFormat="1" ht="64.5" customHeight="1">
      <c r="A171" s="348" t="s">
        <v>317</v>
      </c>
      <c r="B171" s="211" t="s">
        <v>143</v>
      </c>
      <c r="C171" s="211" t="s">
        <v>336</v>
      </c>
      <c r="D171" s="211" t="s">
        <v>337</v>
      </c>
      <c r="E171" s="211" t="s">
        <v>338</v>
      </c>
      <c r="F171" s="348" t="s">
        <v>339</v>
      </c>
      <c r="G171" s="211" t="s">
        <v>178</v>
      </c>
      <c r="H171" s="211">
        <v>1</v>
      </c>
      <c r="I171" s="323">
        <v>153</v>
      </c>
      <c r="J171" s="323">
        <v>153</v>
      </c>
      <c r="K171" s="288">
        <v>1</v>
      </c>
      <c r="L171" s="211" t="s">
        <v>723</v>
      </c>
      <c r="M171" s="211" t="b">
        <v>0</v>
      </c>
      <c r="O171" s="209" t="s">
        <v>2832</v>
      </c>
      <c r="P171" s="211" t="s">
        <v>159</v>
      </c>
      <c r="Q171" s="211" t="s">
        <v>160</v>
      </c>
      <c r="T171" s="236"/>
      <c r="U171" s="236"/>
      <c r="V171" s="236"/>
      <c r="W171" s="236"/>
      <c r="X171" s="236"/>
      <c r="Y171" s="236"/>
      <c r="Z171" s="236"/>
      <c r="AA171" s="236"/>
      <c r="AB171" s="236"/>
      <c r="AC171" s="236"/>
      <c r="AD171" s="236"/>
      <c r="AE171" s="236"/>
      <c r="AF171" s="236"/>
      <c r="AG171" s="236"/>
      <c r="AH171" s="236"/>
      <c r="AI171" s="236"/>
      <c r="AJ171" s="236"/>
      <c r="AK171" s="242"/>
      <c r="AL171" s="242"/>
      <c r="AM171" s="242"/>
      <c r="AN171" s="242"/>
      <c r="AO171" s="242"/>
      <c r="AP171" s="242"/>
      <c r="AQ171" s="242"/>
      <c r="AR171" s="242"/>
      <c r="AS171" s="242"/>
      <c r="BI171" s="240"/>
      <c r="BU171" s="236"/>
      <c r="CA171" s="274"/>
      <c r="CB171" s="209"/>
      <c r="CC171" s="209"/>
      <c r="CD171" s="209"/>
      <c r="CE171" s="209"/>
      <c r="CF171" s="209"/>
      <c r="CG171" s="209"/>
      <c r="CO171" s="211" t="s">
        <v>317</v>
      </c>
      <c r="CP171" s="211" t="s">
        <v>143</v>
      </c>
      <c r="CQ171" s="211" t="s">
        <v>336</v>
      </c>
      <c r="CR171" s="211" t="s">
        <v>337</v>
      </c>
      <c r="CS171" s="211" t="s">
        <v>723</v>
      </c>
      <c r="CT171" s="211" t="s">
        <v>336</v>
      </c>
      <c r="CU171" s="211" t="str">
        <f t="shared" si="121"/>
        <v>N/A</v>
      </c>
      <c r="CV171" s="211" t="str">
        <f t="shared" si="122"/>
        <v>N/A</v>
      </c>
      <c r="CW171" s="211" t="str">
        <f t="shared" si="123"/>
        <v>N/A</v>
      </c>
      <c r="CX171" s="211" t="str">
        <f t="shared" si="124"/>
        <v>N/A</v>
      </c>
      <c r="CY171" s="211" t="str">
        <f t="shared" si="125"/>
        <v>N/A</v>
      </c>
      <c r="CZ171" s="211" t="str">
        <f t="shared" si="126"/>
        <v xml:space="preserve">​En el segundo trimestre del año 2025, se recibieron en total 153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Respecto a los 153 asuntos de demandas recibidos , se notificaron 12 autos admisorios de la demanda por lo que, los abogados del Grupo de Defensa Judicial realizaron la contestación de estas 06 demandas en el término otorgado por la ley, y 137 asuntos judiciales están en trámite de proyección por no haberse notificado a la fecha el auto admisorio de estas demandas; 1 asunto judicial se encuentra en evaluación de presentación de Nulidad frente a la notificación, al tratarse de un auto vencido en términos; 2 asuntos judiciales se encuentran en viabilidad de presentación de la demanda por falta de documentos; en 1 asunto judicial no hace parte la SNS; en conclusión se tiene un total de 153 procesos judiciales y un cumplimiento del 100% respecto de las demandas notificadas y contestadas dentro del término legal.
</v>
      </c>
      <c r="DA171" s="211" t="str">
        <f t="shared" si="127"/>
        <v>N/A</v>
      </c>
      <c r="DB171" s="211" t="str">
        <f t="shared" si="128"/>
        <v>N/A</v>
      </c>
      <c r="DC171" s="211" t="str">
        <f t="shared" si="129"/>
        <v>N/A</v>
      </c>
      <c r="DD171" s="211" t="str">
        <f t="shared" si="130"/>
        <v>N/A</v>
      </c>
      <c r="DE171" s="211" t="str">
        <f t="shared" si="131"/>
        <v>N/A</v>
      </c>
      <c r="DF171" s="211" t="str">
        <f t="shared" si="132"/>
        <v>N/A</v>
      </c>
    </row>
    <row r="172" spans="1:110" s="211" customFormat="1" ht="64.5" customHeight="1">
      <c r="A172" s="348" t="s">
        <v>317</v>
      </c>
      <c r="B172" s="211" t="s">
        <v>143</v>
      </c>
      <c r="C172" s="211" t="s">
        <v>342</v>
      </c>
      <c r="D172" s="211" t="s">
        <v>343</v>
      </c>
      <c r="E172" s="211" t="s">
        <v>344</v>
      </c>
      <c r="F172" s="348" t="s">
        <v>345</v>
      </c>
      <c r="G172" s="211" t="s">
        <v>178</v>
      </c>
      <c r="H172" s="211">
        <v>1</v>
      </c>
      <c r="I172" s="323">
        <v>75</v>
      </c>
      <c r="J172" s="323">
        <v>78</v>
      </c>
      <c r="K172" s="288">
        <v>0.96153846153846201</v>
      </c>
      <c r="L172" s="211" t="s">
        <v>725</v>
      </c>
      <c r="M172" s="211" t="b">
        <v>0</v>
      </c>
      <c r="O172" s="209" t="s">
        <v>2832</v>
      </c>
      <c r="P172" s="211" t="s">
        <v>159</v>
      </c>
      <c r="Q172" s="211" t="s">
        <v>160</v>
      </c>
      <c r="T172" s="236"/>
      <c r="U172" s="236"/>
      <c r="V172" s="236"/>
      <c r="W172" s="236"/>
      <c r="X172" s="236"/>
      <c r="Y172" s="236"/>
      <c r="Z172" s="236"/>
      <c r="AA172" s="236"/>
      <c r="AB172" s="236"/>
      <c r="AC172" s="236"/>
      <c r="AD172" s="236"/>
      <c r="AE172" s="236"/>
      <c r="AF172" s="236"/>
      <c r="AG172" s="236"/>
      <c r="AH172" s="236"/>
      <c r="AI172" s="236"/>
      <c r="AJ172" s="236"/>
      <c r="AK172" s="242"/>
      <c r="AL172" s="242"/>
      <c r="AM172" s="242"/>
      <c r="AN172" s="242"/>
      <c r="AO172" s="242"/>
      <c r="AP172" s="242"/>
      <c r="AQ172" s="242"/>
      <c r="AR172" s="242"/>
      <c r="AS172" s="242"/>
      <c r="BI172" s="240"/>
      <c r="BU172" s="236"/>
      <c r="CA172" s="274"/>
      <c r="CB172" s="209"/>
      <c r="CC172" s="209"/>
      <c r="CD172" s="209"/>
      <c r="CE172" s="209"/>
      <c r="CF172" s="209"/>
      <c r="CG172" s="209"/>
      <c r="CO172" s="211" t="s">
        <v>317</v>
      </c>
      <c r="CP172" s="211" t="s">
        <v>143</v>
      </c>
      <c r="CQ172" s="211" t="s">
        <v>342</v>
      </c>
      <c r="CR172" s="211" t="s">
        <v>343</v>
      </c>
      <c r="CS172" s="211" t="s">
        <v>725</v>
      </c>
      <c r="CT172" s="211" t="s">
        <v>342</v>
      </c>
      <c r="CU172" s="211" t="str">
        <f t="shared" si="121"/>
        <v>N/A</v>
      </c>
      <c r="CV172" s="211" t="str">
        <f t="shared" si="122"/>
        <v>N/A</v>
      </c>
      <c r="CW172" s="211" t="str">
        <f t="shared" si="123"/>
        <v>N/A</v>
      </c>
      <c r="CX172" s="211" t="str">
        <f t="shared" si="124"/>
        <v>N/A</v>
      </c>
      <c r="CY172" s="211" t="str">
        <f t="shared" si="125"/>
        <v>N/A</v>
      </c>
      <c r="CZ172" s="211" t="str">
        <f t="shared" si="126"/>
        <v xml:space="preserve">​En el segundo trimestre del año 2025, se recibieron 78 solicitudes de conciliación extrajudicial; de las cuales 75 fueron presentadas y decididas por el Comité de Conciliación, 2 se encuentran en proyecto para ser presentadas en el próximo comité de conciliación, y 1 solicitud de conciliación se encuentra en evaluación por duplicidad, en espera de soporte; para un total de 78 solicitudes, cumpliéndose este indicador en un 96,15%.
</v>
      </c>
      <c r="DA172" s="211" t="str">
        <f t="shared" si="127"/>
        <v>N/A</v>
      </c>
      <c r="DB172" s="211" t="str">
        <f t="shared" si="128"/>
        <v>N/A</v>
      </c>
      <c r="DC172" s="211" t="str">
        <f t="shared" si="129"/>
        <v>N/A</v>
      </c>
      <c r="DD172" s="211" t="str">
        <f t="shared" si="130"/>
        <v>N/A</v>
      </c>
      <c r="DE172" s="211" t="str">
        <f t="shared" si="131"/>
        <v>N/A</v>
      </c>
      <c r="DF172" s="211" t="str">
        <f t="shared" si="132"/>
        <v>N/A</v>
      </c>
    </row>
    <row r="173" spans="1:110" s="211" customFormat="1" ht="64.5" customHeight="1">
      <c r="A173" s="348" t="s">
        <v>317</v>
      </c>
      <c r="B173" s="211" t="s">
        <v>143</v>
      </c>
      <c r="C173" s="211" t="s">
        <v>330</v>
      </c>
      <c r="D173" s="211" t="s">
        <v>331</v>
      </c>
      <c r="E173" s="211" t="s">
        <v>332</v>
      </c>
      <c r="F173" s="348" t="s">
        <v>333</v>
      </c>
      <c r="G173" s="211" t="s">
        <v>157</v>
      </c>
      <c r="H173" s="211">
        <v>7</v>
      </c>
      <c r="I173" s="323">
        <v>7</v>
      </c>
      <c r="J173" s="323">
        <v>7</v>
      </c>
      <c r="K173" s="288">
        <f>+I173/J173</f>
        <v>1</v>
      </c>
      <c r="L173" s="211" t="s">
        <v>722</v>
      </c>
      <c r="M173" s="211" t="b">
        <v>0</v>
      </c>
      <c r="O173" s="209" t="s">
        <v>2832</v>
      </c>
      <c r="P173" s="211" t="s">
        <v>159</v>
      </c>
      <c r="Q173" s="211" t="s">
        <v>160</v>
      </c>
      <c r="T173" s="236"/>
      <c r="U173" s="236"/>
      <c r="AE173" s="236"/>
      <c r="AF173" s="236"/>
      <c r="AG173" s="236"/>
      <c r="AH173" s="236"/>
      <c r="AI173" s="236"/>
      <c r="AJ173" s="236"/>
      <c r="AK173" s="242"/>
      <c r="AL173" s="242"/>
      <c r="AM173" s="242"/>
      <c r="AN173" s="242"/>
      <c r="AO173" s="242"/>
      <c r="AP173" s="242"/>
      <c r="AQ173" s="242"/>
      <c r="AR173" s="242"/>
      <c r="AS173" s="242"/>
      <c r="BI173" s="240"/>
      <c r="BU173" s="236"/>
      <c r="CA173" s="274"/>
      <c r="CB173" s="209"/>
      <c r="CC173" s="209"/>
      <c r="CD173" s="209"/>
      <c r="CE173" s="209"/>
      <c r="CF173" s="209"/>
      <c r="CG173" s="209"/>
      <c r="CO173" s="211" t="s">
        <v>317</v>
      </c>
      <c r="CP173" s="211" t="s">
        <v>143</v>
      </c>
      <c r="CQ173" s="211" t="s">
        <v>330</v>
      </c>
      <c r="CR173" s="211" t="s">
        <v>331</v>
      </c>
      <c r="CS173" s="211" t="s">
        <v>722</v>
      </c>
      <c r="CT173" s="211" t="s">
        <v>330</v>
      </c>
      <c r="CU173" s="211" t="str">
        <f t="shared" si="121"/>
        <v>N/A</v>
      </c>
      <c r="CV173" s="211" t="str">
        <f t="shared" si="122"/>
        <v>N/A</v>
      </c>
      <c r="CW173" s="211" t="str">
        <f t="shared" si="123"/>
        <v>N/A</v>
      </c>
      <c r="CX173" s="211" t="str">
        <f t="shared" si="124"/>
        <v>N/A</v>
      </c>
      <c r="CY173" s="211" t="str">
        <f t="shared" si="125"/>
        <v>N/A</v>
      </c>
      <c r="CZ173" s="211" t="str">
        <f t="shared" si="126"/>
        <v xml:space="preserve">​Durante este trimestre se realizaron las 6 actualizaciones correspondiente al normograma de la entidad. Adicionalmente, se programó mesa de trabajo de la politica de mejora nornativa para el 16 de junio de 2025; sin embargo esta se reprogramó para el dia 1 de julio de 2025 por contingencias laborales en las Direcciones.
</v>
      </c>
      <c r="DA173" s="211" t="str">
        <f t="shared" si="127"/>
        <v>N/A</v>
      </c>
      <c r="DB173" s="211" t="str">
        <f t="shared" si="128"/>
        <v>N/A</v>
      </c>
      <c r="DC173" s="211" t="str">
        <f t="shared" si="129"/>
        <v>N/A</v>
      </c>
      <c r="DD173" s="211" t="str">
        <f t="shared" si="130"/>
        <v>N/A</v>
      </c>
      <c r="DE173" s="211" t="str">
        <f t="shared" si="131"/>
        <v>N/A</v>
      </c>
      <c r="DF173" s="211" t="str">
        <f t="shared" si="132"/>
        <v>N/A</v>
      </c>
    </row>
    <row r="174" spans="1:110" s="211" customFormat="1" ht="64.5" customHeight="1">
      <c r="A174" s="348" t="s">
        <v>317</v>
      </c>
      <c r="B174" s="211" t="s">
        <v>143</v>
      </c>
      <c r="C174" s="211" t="s">
        <v>318</v>
      </c>
      <c r="D174" s="211" t="s">
        <v>319</v>
      </c>
      <c r="E174" s="211" t="s">
        <v>320</v>
      </c>
      <c r="F174" s="348" t="s">
        <v>321</v>
      </c>
      <c r="G174" s="211" t="s">
        <v>157</v>
      </c>
      <c r="H174" s="211">
        <v>5</v>
      </c>
      <c r="I174" s="323">
        <v>5</v>
      </c>
      <c r="J174" s="323">
        <v>5</v>
      </c>
      <c r="K174" s="288">
        <v>1</v>
      </c>
      <c r="L174" s="211" t="s">
        <v>704</v>
      </c>
      <c r="M174" s="211" t="b">
        <v>0</v>
      </c>
      <c r="O174" s="209" t="s">
        <v>2832</v>
      </c>
      <c r="P174" s="211" t="s">
        <v>159</v>
      </c>
      <c r="Q174" s="211" t="s">
        <v>160</v>
      </c>
      <c r="T174" s="236"/>
      <c r="U174" s="236"/>
      <c r="AE174" s="236"/>
      <c r="AF174" s="236"/>
      <c r="AG174" s="236"/>
      <c r="AH174" s="236"/>
      <c r="AI174" s="236"/>
      <c r="AJ174" s="236"/>
      <c r="AK174" s="242"/>
      <c r="AL174" s="242"/>
      <c r="AM174" s="242"/>
      <c r="AN174" s="242"/>
      <c r="AO174" s="242"/>
      <c r="AP174" s="242"/>
      <c r="AQ174" s="242"/>
      <c r="AR174" s="242"/>
      <c r="AS174" s="242"/>
      <c r="BI174" s="240"/>
      <c r="BU174" s="236"/>
      <c r="CA174" s="274"/>
      <c r="CB174" s="209"/>
      <c r="CC174" s="209"/>
      <c r="CD174" s="209"/>
      <c r="CE174" s="209"/>
      <c r="CF174" s="209"/>
      <c r="CG174" s="209"/>
      <c r="CO174" s="211" t="s">
        <v>317</v>
      </c>
      <c r="CP174" s="211" t="s">
        <v>143</v>
      </c>
      <c r="CQ174" s="211" t="s">
        <v>318</v>
      </c>
      <c r="CR174" s="211" t="s">
        <v>319</v>
      </c>
      <c r="CS174" s="211" t="s">
        <v>704</v>
      </c>
      <c r="CT174" s="211" t="s">
        <v>318</v>
      </c>
      <c r="CU174" s="211" t="str">
        <f t="shared" si="121"/>
        <v>N/A</v>
      </c>
      <c r="CV174" s="211" t="str">
        <f t="shared" si="122"/>
        <v>N/A</v>
      </c>
      <c r="CW174" s="211" t="str">
        <f t="shared" si="123"/>
        <v>N/A</v>
      </c>
      <c r="CX174" s="211" t="str">
        <f t="shared" si="124"/>
        <v>N/A</v>
      </c>
      <c r="CY174" s="211" t="str">
        <f t="shared" si="125"/>
        <v>N/A</v>
      </c>
      <c r="CZ174" s="211" t="str">
        <f t="shared" si="126"/>
        <v xml:space="preserve">​Con respecto a la medición de la tasa de éxito procesal: Durante el primer semestre de 2025 fueron fallados 116 procesos, 7 con sentido del fallo desfavorable que corresponde al 6,03%  y 109 con sentencias favorables que corresponde al 93,97%, evidenciando una adecuada defensa técnica de los intereses de la Superintendencia Nacional de Salud por parte de los abogados del Grupo de Defensa Judicial.
Con respecto a la actualización de la Relatoría: Durante el primer semestre de 2025 los abogados del Grupo de Defensa Judicial, realizaron la actualización de la relatoria, se adjunta como soporte: el documento Relatoría 2025 y la matriz en excel.
Con respecto a fortalecer con capacitación a los abogados en la actuación en procesos orales y cambios normativos: Durante el primer semestre de 2025 los abogados del Grupo de Defensa Judicial, se capacitaron en la Comunidad Jurídica del Conocimiento, se adjuntan evidencias de cursos.
Con respecto al monitoreo de la ejecución del plan de acción de la política del daño antijurídico: En cumplimiento a la actividad,  se adjunta soportes de capacitación del 02 de abril de 2025 de la Subdirección de Recursos Jurídicos. Asímismo se remite correo electrónico del 04 de julio solicitando la evidencias de capacitación de la DIA.
Con respecto a adelantar actividades de seguimiento a la gestión en el marco de la política de prevención del daño antijurídico PPDA en la Superintendencia Nacional de Salud: Como evidencia de realización de la actividad se anexa el reporte de seguimiento a la PPDA del Ekogui.
</v>
      </c>
      <c r="DA174" s="211" t="str">
        <f t="shared" si="127"/>
        <v>N/A</v>
      </c>
      <c r="DB174" s="211" t="str">
        <f t="shared" si="128"/>
        <v>N/A</v>
      </c>
      <c r="DC174" s="211" t="str">
        <f t="shared" si="129"/>
        <v>N/A</v>
      </c>
      <c r="DD174" s="211" t="str">
        <f t="shared" si="130"/>
        <v>N/A</v>
      </c>
      <c r="DE174" s="211" t="str">
        <f t="shared" si="131"/>
        <v>N/A</v>
      </c>
      <c r="DF174" s="211" t="str">
        <f t="shared" si="132"/>
        <v>N/A</v>
      </c>
    </row>
    <row r="175" spans="1:110" s="211" customFormat="1" ht="64.5" customHeight="1">
      <c r="A175" s="348" t="s">
        <v>317</v>
      </c>
      <c r="B175" s="211" t="s">
        <v>143</v>
      </c>
      <c r="C175" s="211" t="s">
        <v>509</v>
      </c>
      <c r="D175" s="211" t="s">
        <v>774</v>
      </c>
      <c r="E175" s="211" t="s">
        <v>775</v>
      </c>
      <c r="F175" s="348" t="s">
        <v>776</v>
      </c>
      <c r="G175" s="211" t="s">
        <v>178</v>
      </c>
      <c r="H175" s="211">
        <v>1</v>
      </c>
      <c r="I175" s="323">
        <v>7</v>
      </c>
      <c r="J175" s="323">
        <v>8</v>
      </c>
      <c r="K175" s="288">
        <v>0.875</v>
      </c>
      <c r="L175" s="211" t="s">
        <v>777</v>
      </c>
      <c r="M175" s="211" t="b">
        <v>0</v>
      </c>
      <c r="O175" s="209" t="s">
        <v>2832</v>
      </c>
      <c r="P175" s="211" t="s">
        <v>159</v>
      </c>
      <c r="Q175" s="211" t="s">
        <v>160</v>
      </c>
      <c r="T175" s="236"/>
      <c r="U175" s="236"/>
      <c r="AE175" s="236"/>
      <c r="AF175" s="236"/>
      <c r="AG175" s="236"/>
      <c r="AH175" s="236"/>
      <c r="AI175" s="236"/>
      <c r="AJ175" s="236"/>
      <c r="AK175" s="242"/>
      <c r="AL175" s="242"/>
      <c r="AM175" s="242"/>
      <c r="AN175" s="242"/>
      <c r="AO175" s="242"/>
      <c r="AP175" s="242"/>
      <c r="AQ175" s="242"/>
      <c r="AR175" s="242"/>
      <c r="AS175" s="242"/>
      <c r="BI175" s="240"/>
      <c r="BU175" s="236"/>
      <c r="CA175" s="274"/>
      <c r="CB175" s="209"/>
      <c r="CC175" s="209"/>
      <c r="CD175" s="209"/>
      <c r="CE175" s="209"/>
      <c r="CF175" s="209"/>
      <c r="CG175" s="209"/>
      <c r="CO175" s="211" t="s">
        <v>317</v>
      </c>
      <c r="CP175" s="211" t="s">
        <v>143</v>
      </c>
      <c r="CQ175" s="211" t="s">
        <v>509</v>
      </c>
      <c r="CR175" s="211" t="s">
        <v>774</v>
      </c>
      <c r="CS175" s="211" t="s">
        <v>777</v>
      </c>
      <c r="CT175" s="211" t="s">
        <v>509</v>
      </c>
      <c r="CU175" s="211" t="str">
        <f t="shared" si="121"/>
        <v>N/A</v>
      </c>
      <c r="CV175" s="211" t="str">
        <f t="shared" si="122"/>
        <v>N/A</v>
      </c>
      <c r="CW175" s="211" t="str">
        <f t="shared" si="123"/>
        <v>N/A</v>
      </c>
      <c r="CX175" s="211" t="str">
        <f t="shared" si="124"/>
        <v>N/A</v>
      </c>
      <c r="CY175" s="211" t="str">
        <f t="shared" si="125"/>
        <v>N/A</v>
      </c>
      <c r="CZ175" s="211" t="str">
        <f t="shared" si="126"/>
        <v xml:space="preserve">​De las  8 sanciones enviadas en grado de consulta, solamente una sanción no fue revocada, dado que el Despacho entendió que nuestras acciones no habían sido efectivas para garantizar el derecho a la salud de la accionante. 
</v>
      </c>
      <c r="DA175" s="211" t="str">
        <f t="shared" si="127"/>
        <v>N/A</v>
      </c>
      <c r="DB175" s="211" t="str">
        <f t="shared" si="128"/>
        <v>N/A</v>
      </c>
      <c r="DC175" s="211" t="str">
        <f t="shared" si="129"/>
        <v>N/A</v>
      </c>
      <c r="DD175" s="211" t="str">
        <f t="shared" si="130"/>
        <v>N/A</v>
      </c>
      <c r="DE175" s="211" t="str">
        <f t="shared" si="131"/>
        <v>N/A</v>
      </c>
      <c r="DF175" s="211" t="str">
        <f t="shared" si="132"/>
        <v>N/A</v>
      </c>
    </row>
    <row r="176" spans="1:110" s="211" customFormat="1" ht="64.5" customHeight="1">
      <c r="A176" s="348" t="s">
        <v>317</v>
      </c>
      <c r="B176" s="211" t="s">
        <v>143</v>
      </c>
      <c r="C176" s="211" t="s">
        <v>513</v>
      </c>
      <c r="D176" s="211" t="s">
        <v>711</v>
      </c>
      <c r="E176" s="211" t="s">
        <v>712</v>
      </c>
      <c r="F176" s="348" t="s">
        <v>713</v>
      </c>
      <c r="G176" s="211" t="s">
        <v>178</v>
      </c>
      <c r="H176" s="211">
        <v>1</v>
      </c>
      <c r="I176" s="323">
        <v>2</v>
      </c>
      <c r="J176" s="323">
        <v>2</v>
      </c>
      <c r="K176" s="288">
        <v>1</v>
      </c>
      <c r="L176" s="211" t="s">
        <v>714</v>
      </c>
      <c r="M176" s="211" t="b">
        <v>0</v>
      </c>
      <c r="O176" s="209" t="s">
        <v>2832</v>
      </c>
      <c r="P176" s="211" t="s">
        <v>159</v>
      </c>
      <c r="Q176" s="211" t="s">
        <v>160</v>
      </c>
      <c r="T176" s="236"/>
      <c r="U176" s="236"/>
      <c r="AE176" s="236"/>
      <c r="AF176" s="236"/>
      <c r="AG176" s="236"/>
      <c r="AH176" s="236"/>
      <c r="AI176" s="236"/>
      <c r="AJ176" s="236"/>
      <c r="AK176" s="242"/>
      <c r="AL176" s="242"/>
      <c r="AM176" s="242"/>
      <c r="AN176" s="242"/>
      <c r="AO176" s="242"/>
      <c r="AP176" s="242"/>
      <c r="AQ176" s="242"/>
      <c r="AR176" s="242"/>
      <c r="AS176" s="242"/>
      <c r="BI176" s="240"/>
      <c r="BU176" s="236"/>
      <c r="CA176" s="274"/>
      <c r="CB176" s="209"/>
      <c r="CC176" s="209"/>
      <c r="CD176" s="209"/>
      <c r="CE176" s="209"/>
      <c r="CF176" s="209"/>
      <c r="CG176" s="209"/>
      <c r="CO176" s="211" t="s">
        <v>317</v>
      </c>
      <c r="CP176" s="211" t="s">
        <v>143</v>
      </c>
      <c r="CQ176" s="211" t="s">
        <v>513</v>
      </c>
      <c r="CR176" s="211" t="s">
        <v>711</v>
      </c>
      <c r="CS176" s="211" t="s">
        <v>714</v>
      </c>
      <c r="CT176" s="211" t="s">
        <v>513</v>
      </c>
      <c r="CU176" s="211" t="str">
        <f t="shared" si="121"/>
        <v>N/A</v>
      </c>
      <c r="CV176" s="211" t="str">
        <f t="shared" si="122"/>
        <v>N/A</v>
      </c>
      <c r="CW176" s="211" t="str">
        <f t="shared" si="123"/>
        <v>N/A</v>
      </c>
      <c r="CX176" s="211" t="str">
        <f t="shared" si="124"/>
        <v>N/A</v>
      </c>
      <c r="CY176" s="211" t="str">
        <f t="shared" si="125"/>
        <v>N/A</v>
      </c>
      <c r="CZ176" s="211" t="str">
        <f t="shared" si="126"/>
        <v xml:space="preserve">​Durante el primer semestre de 2025  para las dos actividades programadas en el cumplimiento del indicador, se confirmó la realización de las capacitaciones a cargo de la Subdirección de Recursos Jurídicos y la Delegada de Investigaciones Administrativas, en cumplimiento al seguimiento a la PPDA, se adjunta soportes.
</v>
      </c>
      <c r="DA176" s="211" t="str">
        <f t="shared" si="127"/>
        <v>N/A</v>
      </c>
      <c r="DB176" s="211" t="str">
        <f t="shared" si="128"/>
        <v>N/A</v>
      </c>
      <c r="DC176" s="211" t="str">
        <f t="shared" si="129"/>
        <v>N/A</v>
      </c>
      <c r="DD176" s="211" t="str">
        <f t="shared" si="130"/>
        <v>N/A</v>
      </c>
      <c r="DE176" s="211" t="str">
        <f t="shared" si="131"/>
        <v>N/A</v>
      </c>
      <c r="DF176" s="211" t="str">
        <f t="shared" si="132"/>
        <v>N/A</v>
      </c>
    </row>
    <row r="177" spans="1:110" s="211" customFormat="1" ht="64.5" customHeight="1">
      <c r="A177" s="348" t="s">
        <v>317</v>
      </c>
      <c r="B177" s="211" t="s">
        <v>143</v>
      </c>
      <c r="C177" s="211" t="s">
        <v>515</v>
      </c>
      <c r="D177" s="211" t="s">
        <v>734</v>
      </c>
      <c r="E177" s="211" t="s">
        <v>735</v>
      </c>
      <c r="F177" s="348" t="s">
        <v>736</v>
      </c>
      <c r="G177" s="211" t="s">
        <v>178</v>
      </c>
      <c r="H177" s="211">
        <v>1</v>
      </c>
      <c r="I177" s="323">
        <v>3</v>
      </c>
      <c r="J177" s="323">
        <v>3</v>
      </c>
      <c r="K177" s="288">
        <v>1</v>
      </c>
      <c r="L177" s="211" t="s">
        <v>737</v>
      </c>
      <c r="M177" s="211" t="b">
        <v>0</v>
      </c>
      <c r="O177" s="209" t="s">
        <v>2832</v>
      </c>
      <c r="P177" s="211" t="s">
        <v>159</v>
      </c>
      <c r="Q177" s="211" t="s">
        <v>160</v>
      </c>
      <c r="T177" s="236"/>
      <c r="U177" s="236"/>
      <c r="AE177" s="236"/>
      <c r="AF177" s="236"/>
      <c r="AG177" s="236"/>
      <c r="AH177" s="236"/>
      <c r="AI177" s="236"/>
      <c r="AJ177" s="236"/>
      <c r="AK177" s="242"/>
      <c r="AL177" s="242"/>
      <c r="AM177" s="242"/>
      <c r="AN177" s="242"/>
      <c r="AO177" s="242"/>
      <c r="AP177" s="242"/>
      <c r="AQ177" s="242"/>
      <c r="AR177" s="242"/>
      <c r="AS177" s="242"/>
      <c r="BI177" s="240"/>
      <c r="BU177" s="236"/>
      <c r="CA177" s="274"/>
      <c r="CB177" s="209"/>
      <c r="CC177" s="209"/>
      <c r="CD177" s="209"/>
      <c r="CE177" s="209"/>
      <c r="CF177" s="209"/>
      <c r="CG177" s="209"/>
      <c r="CO177" s="211" t="s">
        <v>317</v>
      </c>
      <c r="CP177" s="211" t="s">
        <v>143</v>
      </c>
      <c r="CQ177" s="211" t="s">
        <v>515</v>
      </c>
      <c r="CR177" s="211" t="s">
        <v>734</v>
      </c>
      <c r="CS177" s="211" t="s">
        <v>737</v>
      </c>
      <c r="CT177" s="211" t="s">
        <v>515</v>
      </c>
      <c r="CU177" s="211" t="str">
        <f t="shared" si="121"/>
        <v>N/A</v>
      </c>
      <c r="CV177" s="211" t="str">
        <f t="shared" si="122"/>
        <v>N/A</v>
      </c>
      <c r="CW177" s="211" t="str">
        <f t="shared" si="123"/>
        <v>N/A</v>
      </c>
      <c r="CX177" s="211" t="str">
        <f t="shared" si="124"/>
        <v>N/A</v>
      </c>
      <c r="CY177" s="211" t="str">
        <f t="shared" si="125"/>
        <v>N/A</v>
      </c>
      <c r="CZ177" s="211" t="str">
        <f t="shared" si="126"/>
        <v xml:space="preserve">​Durante el primer semestre se realizaron 3 acciones para el diseño del sistema integral de seguimiento a sentencias, en las cuales se viene trabajando la creación del procedimiento de seguimiento a sentencias y el desarrollo del aplicativo que apoye en la identificación, seguimiento y cumplimiento de las diferentes ordenes. 
</v>
      </c>
      <c r="DA177" s="211" t="str">
        <f t="shared" si="127"/>
        <v>N/A</v>
      </c>
      <c r="DB177" s="211" t="str">
        <f t="shared" si="128"/>
        <v>N/A</v>
      </c>
      <c r="DC177" s="211" t="str">
        <f t="shared" si="129"/>
        <v>N/A</v>
      </c>
      <c r="DD177" s="211" t="str">
        <f t="shared" si="130"/>
        <v>N/A</v>
      </c>
      <c r="DE177" s="211" t="str">
        <f t="shared" si="131"/>
        <v>N/A</v>
      </c>
      <c r="DF177" s="211" t="str">
        <f t="shared" si="132"/>
        <v>N/A</v>
      </c>
    </row>
    <row r="178" spans="1:110" s="211" customFormat="1" ht="64.5" customHeight="1">
      <c r="A178" s="348" t="s">
        <v>359</v>
      </c>
      <c r="B178" s="211" t="s">
        <v>143</v>
      </c>
      <c r="C178" s="211" t="s">
        <v>529</v>
      </c>
      <c r="D178" s="211" t="s">
        <v>690</v>
      </c>
      <c r="E178" s="211" t="s">
        <v>691</v>
      </c>
      <c r="F178" s="348" t="s">
        <v>692</v>
      </c>
      <c r="G178" s="211" t="s">
        <v>157</v>
      </c>
      <c r="H178" s="211">
        <v>4</v>
      </c>
      <c r="I178" s="323">
        <v>2</v>
      </c>
      <c r="J178" s="323">
        <v>4</v>
      </c>
      <c r="K178" s="288">
        <v>0.5</v>
      </c>
      <c r="L178" s="211" t="s">
        <v>693</v>
      </c>
      <c r="M178" s="211" t="b">
        <v>0</v>
      </c>
      <c r="O178" s="209" t="s">
        <v>2832</v>
      </c>
      <c r="P178" s="211" t="s">
        <v>159</v>
      </c>
      <c r="Q178" s="211" t="s">
        <v>160</v>
      </c>
      <c r="T178" s="236"/>
      <c r="U178" s="236"/>
      <c r="AE178" s="236"/>
      <c r="AF178" s="236"/>
      <c r="AG178" s="236"/>
      <c r="AH178" s="236"/>
      <c r="AI178" s="236"/>
      <c r="AJ178" s="236"/>
      <c r="AK178" s="242"/>
      <c r="AL178" s="242"/>
      <c r="AM178" s="242"/>
      <c r="AN178" s="242"/>
      <c r="AO178" s="242"/>
      <c r="AP178" s="242"/>
      <c r="AQ178" s="242"/>
      <c r="AR178" s="242"/>
      <c r="AS178" s="242"/>
      <c r="BI178" s="240"/>
      <c r="BU178" s="236"/>
      <c r="CA178" s="274"/>
      <c r="CB178" s="209"/>
      <c r="CC178" s="209"/>
      <c r="CD178" s="209"/>
      <c r="CE178" s="209"/>
      <c r="CF178" s="209"/>
      <c r="CG178" s="209"/>
      <c r="CO178" s="211" t="s">
        <v>359</v>
      </c>
      <c r="CP178" s="211" t="s">
        <v>143</v>
      </c>
      <c r="CQ178" s="211" t="s">
        <v>529</v>
      </c>
      <c r="CR178" s="211" t="s">
        <v>690</v>
      </c>
      <c r="CS178" s="211" t="s">
        <v>693</v>
      </c>
      <c r="CT178" s="211" t="s">
        <v>529</v>
      </c>
      <c r="CU178" s="211" t="str">
        <f t="shared" si="121"/>
        <v>N/A</v>
      </c>
      <c r="CV178" s="211" t="str">
        <f t="shared" si="122"/>
        <v>N/A</v>
      </c>
      <c r="CW178" s="211" t="str">
        <f t="shared" si="123"/>
        <v>N/A</v>
      </c>
      <c r="CX178" s="211" t="str">
        <f t="shared" si="124"/>
        <v>N/A</v>
      </c>
      <c r="CY178" s="211" t="str">
        <f t="shared" si="125"/>
        <v>N/A</v>
      </c>
      <c r="CZ178" s="211" t="str">
        <f t="shared" si="126"/>
        <v xml:space="preserve">De conformidad a la programación establecida en el PAAS para la vigencia 2025 y en atención a la actividad "Ejecutar Programa Anual Seguimiento a la Gestión Institucional", alusiva al indicador "Auditorías realizadas de acuerdo con el Plan Anual de Auditorías", la Oficina de Control Interno definió reportar en el mes de julio el cumplimiento correspondiente al primer semestre de la presente anualidad; de ello, se puede precisar, que fueron presentadas ante el CICCI dos (2) de las cuatro (4) auditorías programadas.
De las 2 (dos) restantes, la referente al proceso "Gestión Financiera" fue presentada el 01 de julio de 2025 ante el CICCI y la segunda alusiva al proceso "Gestión de Bienes y Servicios" se encuentra en ejecución, concluyéndose que las auditorías en mención serán reportadas en el segundo semestre de la presente anualidad.
Por lo anteriormente señalado, el porcentaje de cumplimiento para el período ahora reportado obedece al 50% de ejecución de acuerdo con lo definido en el Plan Anual de Auditorías.
</v>
      </c>
      <c r="DA178" s="211" t="str">
        <f t="shared" si="127"/>
        <v>N/A</v>
      </c>
      <c r="DB178" s="211" t="str">
        <f t="shared" si="128"/>
        <v>N/A</v>
      </c>
      <c r="DC178" s="211" t="str">
        <f t="shared" si="129"/>
        <v>N/A</v>
      </c>
      <c r="DD178" s="211" t="str">
        <f t="shared" si="130"/>
        <v>N/A</v>
      </c>
      <c r="DE178" s="211" t="str">
        <f t="shared" si="131"/>
        <v>N/A</v>
      </c>
      <c r="DF178" s="211" t="str">
        <f t="shared" si="132"/>
        <v>N/A</v>
      </c>
    </row>
    <row r="179" spans="1:110" s="211" customFormat="1" ht="64.5" customHeight="1">
      <c r="A179" s="348" t="s">
        <v>359</v>
      </c>
      <c r="B179" s="211" t="s">
        <v>143</v>
      </c>
      <c r="C179" s="211" t="s">
        <v>360</v>
      </c>
      <c r="D179" s="211" t="s">
        <v>361</v>
      </c>
      <c r="E179" s="211" t="s">
        <v>362</v>
      </c>
      <c r="F179" s="348" t="s">
        <v>363</v>
      </c>
      <c r="G179" s="211" t="s">
        <v>157</v>
      </c>
      <c r="H179" s="211">
        <v>13</v>
      </c>
      <c r="I179" s="323">
        <v>9</v>
      </c>
      <c r="J179" s="323">
        <v>13</v>
      </c>
      <c r="K179" s="288">
        <v>0.69230769230769196</v>
      </c>
      <c r="L179" s="211" t="s">
        <v>694</v>
      </c>
      <c r="M179" s="211" t="b">
        <v>0</v>
      </c>
      <c r="O179" s="209" t="s">
        <v>2832</v>
      </c>
      <c r="P179" s="211" t="s">
        <v>159</v>
      </c>
      <c r="Q179" s="211" t="s">
        <v>160</v>
      </c>
      <c r="T179" s="236"/>
      <c r="U179" s="236"/>
      <c r="AE179" s="236"/>
      <c r="AF179" s="236"/>
      <c r="AG179" s="236"/>
      <c r="AH179" s="236"/>
      <c r="AI179" s="236"/>
      <c r="AJ179" s="236"/>
      <c r="AK179" s="242"/>
      <c r="AL179" s="242"/>
      <c r="AM179" s="242"/>
      <c r="AN179" s="242"/>
      <c r="AO179" s="242"/>
      <c r="AP179" s="242"/>
      <c r="AQ179" s="242"/>
      <c r="AR179" s="242"/>
      <c r="AS179" s="242"/>
      <c r="BI179" s="240"/>
      <c r="BU179" s="236"/>
      <c r="CA179" s="274"/>
      <c r="CB179" s="209"/>
      <c r="CC179" s="209"/>
      <c r="CD179" s="209"/>
      <c r="CE179" s="209"/>
      <c r="CF179" s="209"/>
      <c r="CG179" s="209"/>
      <c r="CO179" s="211" t="s">
        <v>359</v>
      </c>
      <c r="CP179" s="211" t="s">
        <v>143</v>
      </c>
      <c r="CQ179" s="211" t="s">
        <v>360</v>
      </c>
      <c r="CR179" s="211" t="s">
        <v>361</v>
      </c>
      <c r="CS179" s="211" t="s">
        <v>694</v>
      </c>
      <c r="CT179" s="211" t="s">
        <v>360</v>
      </c>
      <c r="CU179" s="211" t="str">
        <f t="shared" si="121"/>
        <v>N/A</v>
      </c>
      <c r="CV179" s="211" t="str">
        <f t="shared" si="122"/>
        <v>N/A</v>
      </c>
      <c r="CW179" s="211" t="str">
        <f t="shared" si="123"/>
        <v>N/A</v>
      </c>
      <c r="CX179" s="211" t="str">
        <f t="shared" si="124"/>
        <v>N/A</v>
      </c>
      <c r="CY179" s="211" t="str">
        <f t="shared" si="125"/>
        <v>N/A</v>
      </c>
      <c r="CZ179" s="211" t="str">
        <f t="shared" si="126"/>
        <v xml:space="preserve">De conformidad a la programación establecida en el PAAS para la vigencia 2025 y en atención a la actividad "Ejecutar Programa Anual Seguimiento a la Gestión Institucional", alusiva al indicador "Seguimientos y evaluaciones efectuadas al control institucional", la Oficina de Control Interno definió reportar en el mes de julio el cumplimiento correspondiente al segundo trimestre de la presente anualidad; de ello, se puede precisar, que fueron ejecutadas nueve (9) de las trece (13) actividades programadas, concluyéndose que las cuatro (4) restantes serán reportadas en el segundo semestre de la presente anualidad.
Por lo anteriormente señalado, el porcentaje de cumplimiento para el período ahora reportado obedece al 69% de ejecución de acuerdo con lo definido en el Plan Anual de Seguimientos de Ley a la Gestión Institucional.
Adicionalmente, la Oficina de Control Interno durante el trimestre en mención, efectúo actividades adicionales, los cuales, hacen referencia a Apoyos Jurídicos competencia de la Oficina, requerimientos efectuados por entes de control, derechos de petición, actividades de gestores, entre otros.
</v>
      </c>
      <c r="DA179" s="211" t="str">
        <f t="shared" si="127"/>
        <v>N/A</v>
      </c>
      <c r="DB179" s="211" t="str">
        <f t="shared" si="128"/>
        <v>N/A</v>
      </c>
      <c r="DC179" s="211" t="str">
        <f t="shared" si="129"/>
        <v>N/A</v>
      </c>
      <c r="DD179" s="211" t="str">
        <f t="shared" si="130"/>
        <v>N/A</v>
      </c>
      <c r="DE179" s="211" t="str">
        <f t="shared" si="131"/>
        <v>N/A</v>
      </c>
      <c r="DF179" s="211" t="str">
        <f t="shared" si="132"/>
        <v>N/A</v>
      </c>
    </row>
    <row r="180" spans="1:110" s="211" customFormat="1" ht="64.5" customHeight="1">
      <c r="A180" s="348" t="s">
        <v>592</v>
      </c>
      <c r="B180" s="211" t="s">
        <v>143</v>
      </c>
      <c r="C180" s="211" t="s">
        <v>611</v>
      </c>
      <c r="D180" s="211" t="s">
        <v>683</v>
      </c>
      <c r="E180" s="211" t="s">
        <v>684</v>
      </c>
      <c r="F180" s="348" t="s">
        <v>595</v>
      </c>
      <c r="G180" s="211" t="s">
        <v>157</v>
      </c>
      <c r="H180" s="211">
        <v>1</v>
      </c>
      <c r="I180" s="323">
        <v>0</v>
      </c>
      <c r="J180" s="323" t="s">
        <v>2995</v>
      </c>
      <c r="K180" s="288">
        <v>0</v>
      </c>
      <c r="L180" s="211" t="s">
        <v>685</v>
      </c>
      <c r="M180" s="211" t="b">
        <v>0</v>
      </c>
      <c r="O180" s="209" t="s">
        <v>2832</v>
      </c>
      <c r="P180" s="211" t="s">
        <v>159</v>
      </c>
      <c r="Q180" s="211" t="s">
        <v>160</v>
      </c>
      <c r="T180" s="236"/>
      <c r="U180" s="236"/>
      <c r="AE180" s="236"/>
      <c r="AF180" s="236"/>
      <c r="AG180" s="236"/>
      <c r="AH180" s="236"/>
      <c r="AI180" s="236"/>
      <c r="AJ180" s="236"/>
      <c r="AK180" s="242"/>
      <c r="AL180" s="242"/>
      <c r="AM180" s="242"/>
      <c r="AN180" s="242"/>
      <c r="AO180" s="242"/>
      <c r="AP180" s="242"/>
      <c r="AQ180" s="242"/>
      <c r="AR180" s="242"/>
      <c r="AS180" s="242"/>
      <c r="BI180" s="240"/>
      <c r="BU180" s="236"/>
      <c r="CA180" s="274"/>
      <c r="CB180" s="209"/>
      <c r="CC180" s="209"/>
      <c r="CD180" s="209"/>
      <c r="CE180" s="209"/>
      <c r="CF180" s="209"/>
      <c r="CG180" s="209"/>
      <c r="CO180" s="211" t="s">
        <v>592</v>
      </c>
      <c r="CP180" s="211" t="s">
        <v>143</v>
      </c>
      <c r="CQ180" s="211" t="s">
        <v>611</v>
      </c>
      <c r="CR180" s="211" t="s">
        <v>683</v>
      </c>
      <c r="CS180" s="211" t="s">
        <v>685</v>
      </c>
      <c r="CT180" s="211" t="s">
        <v>611</v>
      </c>
      <c r="CU180" s="211" t="str">
        <f t="shared" si="121"/>
        <v>N/A</v>
      </c>
      <c r="CV180" s="211" t="str">
        <f t="shared" si="122"/>
        <v>N/A</v>
      </c>
      <c r="CW180" s="211" t="str">
        <f t="shared" si="123"/>
        <v>N/A</v>
      </c>
      <c r="CX180" s="211" t="str">
        <f t="shared" si="124"/>
        <v>N/A</v>
      </c>
      <c r="CY180" s="211" t="str">
        <f t="shared" si="125"/>
        <v>N/A</v>
      </c>
      <c r="CZ180" s="211" t="str">
        <f t="shared" si="126"/>
        <v xml:space="preserve">​Debido al cambio de personal de la OL y la prioridad de las visitas de seguimiento y monitoreo de las entidades en liquidación , las visitas programadas en el año se realizaran en el segundo semestre.Se modificará este indicador .  
</v>
      </c>
      <c r="DA180" s="211" t="str">
        <f t="shared" si="127"/>
        <v>N/A</v>
      </c>
      <c r="DB180" s="211" t="str">
        <f t="shared" si="128"/>
        <v>N/A</v>
      </c>
      <c r="DC180" s="211" t="str">
        <f t="shared" si="129"/>
        <v>N/A</v>
      </c>
      <c r="DD180" s="211" t="str">
        <f t="shared" si="130"/>
        <v>N/A</v>
      </c>
      <c r="DE180" s="211" t="str">
        <f t="shared" si="131"/>
        <v>N/A</v>
      </c>
      <c r="DF180" s="211" t="str">
        <f t="shared" si="132"/>
        <v>N/A</v>
      </c>
    </row>
    <row r="181" spans="1:110" s="211" customFormat="1" ht="64.5" customHeight="1">
      <c r="A181" s="348" t="s">
        <v>592</v>
      </c>
      <c r="B181" s="211" t="s">
        <v>143</v>
      </c>
      <c r="C181" s="211" t="s">
        <v>646</v>
      </c>
      <c r="D181" s="211" t="s">
        <v>686</v>
      </c>
      <c r="E181" s="211" t="s">
        <v>687</v>
      </c>
      <c r="F181" s="348" t="s">
        <v>688</v>
      </c>
      <c r="G181" s="211" t="s">
        <v>157</v>
      </c>
      <c r="H181" s="211">
        <v>400</v>
      </c>
      <c r="I181" s="323">
        <v>400</v>
      </c>
      <c r="J181" s="323">
        <v>400</v>
      </c>
      <c r="K181" s="288">
        <f>+I181/J181</f>
        <v>1</v>
      </c>
      <c r="L181" s="211" t="s">
        <v>689</v>
      </c>
      <c r="M181" s="211" t="b">
        <v>0</v>
      </c>
      <c r="O181" s="209" t="s">
        <v>2832</v>
      </c>
      <c r="P181" s="211" t="s">
        <v>159</v>
      </c>
      <c r="Q181" s="211" t="s">
        <v>160</v>
      </c>
      <c r="T181" s="236"/>
      <c r="U181" s="236"/>
      <c r="AE181" s="236"/>
      <c r="AF181" s="236"/>
      <c r="AG181" s="236"/>
      <c r="AH181" s="236"/>
      <c r="AI181" s="236"/>
      <c r="AJ181" s="236"/>
      <c r="AK181" s="242"/>
      <c r="AL181" s="242"/>
      <c r="AM181" s="242"/>
      <c r="AN181" s="242"/>
      <c r="AO181" s="242"/>
      <c r="AP181" s="242"/>
      <c r="AQ181" s="242"/>
      <c r="AR181" s="242"/>
      <c r="AS181" s="242"/>
      <c r="BI181" s="240"/>
      <c r="BU181" s="236"/>
      <c r="CA181" s="274"/>
      <c r="CB181" s="209"/>
      <c r="CC181" s="209"/>
      <c r="CD181" s="209"/>
      <c r="CE181" s="209"/>
      <c r="CF181" s="209"/>
      <c r="CG181" s="209"/>
      <c r="CO181" s="211" t="s">
        <v>592</v>
      </c>
      <c r="CP181" s="211" t="s">
        <v>143</v>
      </c>
      <c r="CQ181" s="211" t="s">
        <v>646</v>
      </c>
      <c r="CR181" s="211" t="s">
        <v>686</v>
      </c>
      <c r="CS181" s="211" t="s">
        <v>689</v>
      </c>
      <c r="CT181" s="211" t="s">
        <v>646</v>
      </c>
      <c r="CU181" s="211" t="str">
        <f t="shared" si="121"/>
        <v>N/A</v>
      </c>
      <c r="CV181" s="211" t="str">
        <f t="shared" si="122"/>
        <v>N/A</v>
      </c>
      <c r="CW181" s="211" t="str">
        <f t="shared" si="123"/>
        <v>N/A</v>
      </c>
      <c r="CX181" s="211" t="str">
        <f t="shared" si="124"/>
        <v>N/A</v>
      </c>
      <c r="CY181" s="211" t="str">
        <f t="shared" si="125"/>
        <v>N/A</v>
      </c>
      <c r="CZ181" s="211" t="str">
        <f t="shared" si="126"/>
        <v xml:space="preserve">​Mediante la contratación de 2 profesionales del area jurídica  se esta haciendo el  seguimiento y monitoreo de los vigilados a cargo de la Oficina de Liquidaciones la evidencia son los documentos documentos radicados efectivos de salida en la herramienta Superargo de los procesos de respuesta a los usuarios o entidades del SGSSS y traslados a órganos de control que para el caso del primer semestre fueron 322 de salida efectivos . El incumplimiento del indicador a que se retrazó el tiempo en la oficina de contratación para realizar los contratos y la fecha de inicio fué diferente a la programada. 
</v>
      </c>
      <c r="DA181" s="211" t="str">
        <f t="shared" si="127"/>
        <v>N/A</v>
      </c>
      <c r="DB181" s="211" t="str">
        <f t="shared" si="128"/>
        <v>N/A</v>
      </c>
      <c r="DC181" s="211" t="str">
        <f t="shared" si="129"/>
        <v>N/A</v>
      </c>
      <c r="DD181" s="211" t="str">
        <f t="shared" si="130"/>
        <v>N/A</v>
      </c>
      <c r="DE181" s="211" t="str">
        <f t="shared" si="131"/>
        <v>N/A</v>
      </c>
      <c r="DF181" s="211" t="str">
        <f t="shared" si="132"/>
        <v>N/A</v>
      </c>
    </row>
    <row r="182" spans="1:110" s="211" customFormat="1" ht="64.5" customHeight="1">
      <c r="A182" s="348" t="s">
        <v>190</v>
      </c>
      <c r="B182" s="211" t="s">
        <v>143</v>
      </c>
      <c r="C182" s="211" t="s">
        <v>182</v>
      </c>
      <c r="D182" s="211" t="s">
        <v>620</v>
      </c>
      <c r="E182" s="211" t="s">
        <v>621</v>
      </c>
      <c r="F182" s="348" t="s">
        <v>622</v>
      </c>
      <c r="G182" s="211" t="s">
        <v>178</v>
      </c>
      <c r="H182" s="211">
        <v>0.45</v>
      </c>
      <c r="I182" s="323">
        <v>64</v>
      </c>
      <c r="J182" s="323">
        <v>64</v>
      </c>
      <c r="K182" s="288">
        <v>1</v>
      </c>
      <c r="L182" s="211" t="s">
        <v>625</v>
      </c>
      <c r="M182" s="211" t="b">
        <v>0</v>
      </c>
      <c r="O182" s="209" t="s">
        <v>2832</v>
      </c>
      <c r="P182" s="211" t="s">
        <v>159</v>
      </c>
      <c r="Q182" s="211" t="s">
        <v>160</v>
      </c>
      <c r="T182" s="236"/>
      <c r="U182" s="236"/>
      <c r="AE182" s="236"/>
      <c r="AF182" s="236"/>
      <c r="AG182" s="236"/>
      <c r="AH182" s="236"/>
      <c r="AI182" s="236"/>
      <c r="AJ182" s="236"/>
      <c r="AK182" s="242"/>
      <c r="AL182" s="242"/>
      <c r="AM182" s="242"/>
      <c r="AN182" s="242"/>
      <c r="AO182" s="242"/>
      <c r="AP182" s="242"/>
      <c r="AQ182" s="242"/>
      <c r="AR182" s="242"/>
      <c r="AS182" s="242"/>
      <c r="BI182" s="240"/>
      <c r="BU182" s="236"/>
      <c r="CA182" s="274"/>
      <c r="CB182" s="209"/>
      <c r="CC182" s="209"/>
      <c r="CD182" s="209"/>
      <c r="CE182" s="209"/>
      <c r="CF182" s="209"/>
      <c r="CG182" s="209"/>
      <c r="CO182" s="211" t="s">
        <v>190</v>
      </c>
      <c r="CP182" s="211" t="s">
        <v>143</v>
      </c>
      <c r="CQ182" s="211" t="s">
        <v>182</v>
      </c>
      <c r="CR182" s="211" t="s">
        <v>620</v>
      </c>
      <c r="CS182" s="211" t="s">
        <v>625</v>
      </c>
      <c r="CT182" s="211" t="s">
        <v>182</v>
      </c>
      <c r="CU182" s="211" t="str">
        <f t="shared" si="121"/>
        <v>N/A</v>
      </c>
      <c r="CV182" s="211" t="str">
        <f t="shared" si="122"/>
        <v>N/A</v>
      </c>
      <c r="CW182" s="211" t="str">
        <f t="shared" si="123"/>
        <v>N/A</v>
      </c>
      <c r="CX182" s="211" t="str">
        <f t="shared" si="124"/>
        <v>N/A</v>
      </c>
      <c r="CY182" s="211" t="str">
        <f t="shared" si="125"/>
        <v>N/A</v>
      </c>
      <c r="CZ182" s="211" t="str">
        <f t="shared" si="126"/>
        <v xml:space="preserve">​De las (64) noticias disciplinarias (Quejas, informe de servidor público o de oficio) recibidas en el tercer bimestre de 2025 (Mayo - Junio), se adelantaron las siguientes actuaciones: 28 (44%) Aperturas de indagación Previa; 27 (42%) Autos Inhibitorios; 4 (6%) Traslados por competencia y 5 (8%) Aperturas de Investigación Disciplinaria, profiriendo igual número de autos por el Coordinador del Grupo de Instrucción Disciplinaria en el periodo.
</v>
      </c>
      <c r="DA182" s="211" t="str">
        <f t="shared" si="127"/>
        <v>N/A</v>
      </c>
      <c r="DB182" s="211" t="str">
        <f t="shared" si="128"/>
        <v>N/A</v>
      </c>
      <c r="DC182" s="211" t="str">
        <f t="shared" si="129"/>
        <v>N/A</v>
      </c>
      <c r="DD182" s="211" t="str">
        <f t="shared" si="130"/>
        <v>N/A</v>
      </c>
      <c r="DE182" s="211" t="str">
        <f t="shared" si="131"/>
        <v>N/A</v>
      </c>
      <c r="DF182" s="211" t="str">
        <f t="shared" si="132"/>
        <v>N/A</v>
      </c>
    </row>
    <row r="183" spans="1:110" s="211" customFormat="1" ht="64.5" customHeight="1">
      <c r="A183" s="348" t="s">
        <v>190</v>
      </c>
      <c r="B183" s="211" t="s">
        <v>143</v>
      </c>
      <c r="C183" s="211" t="s">
        <v>188</v>
      </c>
      <c r="D183" s="211" t="s">
        <v>626</v>
      </c>
      <c r="E183" s="211" t="s">
        <v>627</v>
      </c>
      <c r="F183" s="348" t="s">
        <v>628</v>
      </c>
      <c r="G183" s="211" t="s">
        <v>178</v>
      </c>
      <c r="H183" s="211">
        <v>0.25</v>
      </c>
      <c r="I183" s="323">
        <v>132</v>
      </c>
      <c r="J183" s="323">
        <v>215</v>
      </c>
      <c r="K183" s="288">
        <v>0.61395348837209296</v>
      </c>
      <c r="L183" s="211" t="s">
        <v>629</v>
      </c>
      <c r="M183" s="211" t="b">
        <v>0</v>
      </c>
      <c r="O183" s="209" t="s">
        <v>2832</v>
      </c>
      <c r="P183" s="211" t="s">
        <v>159</v>
      </c>
      <c r="Q183" s="211" t="s">
        <v>160</v>
      </c>
      <c r="T183" s="236"/>
      <c r="U183" s="236"/>
      <c r="AE183" s="236"/>
      <c r="AF183" s="236"/>
      <c r="AG183" s="236"/>
      <c r="AH183" s="236"/>
      <c r="AI183" s="236"/>
      <c r="AJ183" s="236"/>
      <c r="AK183" s="242"/>
      <c r="AL183" s="242"/>
      <c r="AM183" s="242"/>
      <c r="AN183" s="242"/>
      <c r="AO183" s="242"/>
      <c r="AP183" s="242"/>
      <c r="AQ183" s="242"/>
      <c r="AR183" s="242"/>
      <c r="AS183" s="242"/>
      <c r="BI183" s="240"/>
      <c r="BU183" s="236"/>
      <c r="CA183" s="274"/>
      <c r="CB183" s="209"/>
      <c r="CC183" s="209"/>
      <c r="CD183" s="209"/>
      <c r="CE183" s="209"/>
      <c r="CF183" s="209"/>
      <c r="CG183" s="209"/>
      <c r="CO183" s="211" t="s">
        <v>190</v>
      </c>
      <c r="CP183" s="211" t="s">
        <v>143</v>
      </c>
      <c r="CQ183" s="211" t="s">
        <v>188</v>
      </c>
      <c r="CR183" s="211" t="s">
        <v>626</v>
      </c>
      <c r="CS183" s="211" t="s">
        <v>629</v>
      </c>
      <c r="CT183" s="211" t="s">
        <v>188</v>
      </c>
      <c r="CU183" s="211" t="str">
        <f t="shared" si="121"/>
        <v>N/A</v>
      </c>
      <c r="CV183" s="211" t="str">
        <f t="shared" si="122"/>
        <v>N/A</v>
      </c>
      <c r="CW183" s="211" t="str">
        <f t="shared" si="123"/>
        <v>N/A</v>
      </c>
      <c r="CX183" s="211" t="str">
        <f t="shared" si="124"/>
        <v>N/A</v>
      </c>
      <c r="CY183" s="211" t="str">
        <f t="shared" si="125"/>
        <v>N/A</v>
      </c>
      <c r="CZ183" s="211" t="str">
        <f t="shared" si="126"/>
        <v xml:space="preserve">Dada la dinámica de la etapa de instrucción y la variación mensual (Enero:2014; Febrero: 207; Marzo: 226; Abril:206;Mayo:214 y Junio:226) del inventario de expedientes objeto de evaluación o calificación, para adoptar una decisión (archivo o pliego de cargos), se tomará el promedio del semestre (215) como denominador, para el cálculo del indicador, excluyendo aquellos expedientes cuyo termino de duración de la indagación previa o investigación disciplinaria se encuentra en curso (vigente), de los 215 expedientes reseñados, se adoptaron 131 decisiones de archivo con fundamento en las causales del artículo 90 del Código General Disciplinario y se formuló un (1) pliego de cargos.    
En las reuniones de Autoevaluación mensual de la OCDI se verifica el avance frente al indicador y se acumula el mismo, a saber:EneroFebreroMarzoAbrilMayoJunioIndicador:
 (49) Decisiones de Fondo Adoptadas Etapa Instrucción / (214) Número Total Procesos Evaluados - Etapa Instrucción *100 = 22,89%Indicador:
 (32) Decisiones de Fondo Adoptadas Etapa Instrucción / (207) Número Total Procesos Evaluados - Etapa Instrucción *100 = 15,45%Indicador:
 (25) Decisiones de Fondo Adoptadas Etapa Instrucción / (226) Número Total Procesos Evaluados - Etapa Instrucción *100 = 11,06%Indicador:
 (12) Decisiones de Fondo Adoptadas Etapa Instrucción / (206) Número Total Procesos Evaluados - Etapa Instrucción *100 = 5,82%Indicador:
 (1) Decisiones de Fondo Adoptadas Etapa Instrucción / (214) Número Total Procesos Evaluados - Etapa Instrucción *100 = 0,46%Indicador:
 (14) Decisiones de Fondo Adoptadas Etapa Instrucción / (226) Número Total Procesos Evaluados - Etapa Instrucción *100 = 6,19% 22,89% (49)38,34% (81)49,40 % (106)55,22% (117)55,68% (118)61,87% (132)
La meta programada, esta superada en el 36,39%, ya que para el primer semestre se tenia previsto un avance del 25%, pero se logro el 61,39%     
</v>
      </c>
      <c r="DA183" s="211" t="str">
        <f t="shared" si="127"/>
        <v>N/A</v>
      </c>
      <c r="DB183" s="211" t="str">
        <f t="shared" si="128"/>
        <v>N/A</v>
      </c>
      <c r="DC183" s="211" t="str">
        <f t="shared" si="129"/>
        <v>N/A</v>
      </c>
      <c r="DD183" s="211" t="str">
        <f t="shared" si="130"/>
        <v>N/A</v>
      </c>
      <c r="DE183" s="211" t="str">
        <f t="shared" si="131"/>
        <v>N/A</v>
      </c>
      <c r="DF183" s="211" t="str">
        <f t="shared" si="132"/>
        <v>N/A</v>
      </c>
    </row>
    <row r="184" spans="1:110" s="211" customFormat="1" ht="64.5" customHeight="1">
      <c r="A184" s="348" t="s">
        <v>190</v>
      </c>
      <c r="B184" s="211" t="s">
        <v>143</v>
      </c>
      <c r="C184" s="211" t="s">
        <v>196</v>
      </c>
      <c r="D184" s="211" t="s">
        <v>631</v>
      </c>
      <c r="E184" s="211" t="s">
        <v>632</v>
      </c>
      <c r="F184" s="348" t="s">
        <v>633</v>
      </c>
      <c r="G184" s="211" t="s">
        <v>178</v>
      </c>
      <c r="H184" s="211">
        <v>0.5</v>
      </c>
      <c r="I184" s="323">
        <v>2</v>
      </c>
      <c r="J184" s="323">
        <v>4</v>
      </c>
      <c r="K184" s="288">
        <v>0.5</v>
      </c>
      <c r="L184" s="211" t="s">
        <v>634</v>
      </c>
      <c r="M184" s="211" t="b">
        <v>0</v>
      </c>
      <c r="O184" s="209" t="s">
        <v>2832</v>
      </c>
      <c r="P184" s="211" t="s">
        <v>159</v>
      </c>
      <c r="Q184" s="211" t="s">
        <v>160</v>
      </c>
      <c r="T184" s="236"/>
      <c r="U184" s="236"/>
      <c r="AE184" s="236"/>
      <c r="AF184" s="236"/>
      <c r="AG184" s="236"/>
      <c r="AH184" s="236"/>
      <c r="AI184" s="236"/>
      <c r="AJ184" s="236"/>
      <c r="AK184" s="242"/>
      <c r="AL184" s="242"/>
      <c r="AM184" s="242"/>
      <c r="AN184" s="242"/>
      <c r="AO184" s="242"/>
      <c r="AP184" s="242"/>
      <c r="AQ184" s="242"/>
      <c r="AR184" s="242"/>
      <c r="AS184" s="242"/>
      <c r="BI184" s="240"/>
      <c r="BU184" s="236"/>
      <c r="CA184" s="274"/>
      <c r="CB184" s="209"/>
      <c r="CC184" s="209"/>
      <c r="CD184" s="209"/>
      <c r="CE184" s="209"/>
      <c r="CF184" s="209"/>
      <c r="CG184" s="209"/>
      <c r="CO184" s="211" t="s">
        <v>190</v>
      </c>
      <c r="CP184" s="211" t="s">
        <v>143</v>
      </c>
      <c r="CQ184" s="211" t="s">
        <v>196</v>
      </c>
      <c r="CR184" s="211" t="s">
        <v>631</v>
      </c>
      <c r="CS184" s="211" t="s">
        <v>634</v>
      </c>
      <c r="CT184" s="211" t="s">
        <v>196</v>
      </c>
      <c r="CU184" s="211" t="str">
        <f t="shared" si="121"/>
        <v>N/A</v>
      </c>
      <c r="CV184" s="211" t="str">
        <f t="shared" si="122"/>
        <v>N/A</v>
      </c>
      <c r="CW184" s="211" t="str">
        <f t="shared" si="123"/>
        <v>N/A</v>
      </c>
      <c r="CX184" s="211" t="str">
        <f t="shared" si="124"/>
        <v>N/A</v>
      </c>
      <c r="CY184" s="211" t="str">
        <f t="shared" si="125"/>
        <v>N/A</v>
      </c>
      <c r="CZ184" s="211" t="str">
        <f t="shared" si="126"/>
        <v xml:space="preserve">El inventario de expedientes existentes en el primer semestre 2025, a evaluar en etapa de juzgamiento, para adoptar la decisión de primera instancia, correspondía a cuatro (4) de los cuales se adoptó fallo sancionatorio de primera instancia en dos (2),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
Lo previsto para el primer semestre se alcanzó según o previsto en el indicador, incluso superando la línea base del indicador.
</v>
      </c>
      <c r="DA184" s="211" t="str">
        <f t="shared" si="127"/>
        <v>N/A</v>
      </c>
      <c r="DB184" s="211" t="str">
        <f t="shared" si="128"/>
        <v>N/A</v>
      </c>
      <c r="DC184" s="211" t="str">
        <f t="shared" si="129"/>
        <v>N/A</v>
      </c>
      <c r="DD184" s="211" t="str">
        <f t="shared" si="130"/>
        <v>N/A</v>
      </c>
      <c r="DE184" s="211" t="str">
        <f t="shared" si="131"/>
        <v>N/A</v>
      </c>
      <c r="DF184" s="211" t="str">
        <f t="shared" si="132"/>
        <v>N/A</v>
      </c>
    </row>
    <row r="185" spans="1:110" s="211" customFormat="1" ht="64.5" customHeight="1">
      <c r="A185" s="348" t="s">
        <v>190</v>
      </c>
      <c r="B185" s="211" t="s">
        <v>143</v>
      </c>
      <c r="C185" s="211" t="s">
        <v>236</v>
      </c>
      <c r="D185" s="211" t="s">
        <v>372</v>
      </c>
      <c r="E185" s="211" t="s">
        <v>373</v>
      </c>
      <c r="F185" s="348" t="s">
        <v>374</v>
      </c>
      <c r="G185" s="211" t="s">
        <v>157</v>
      </c>
      <c r="H185" s="211">
        <v>2</v>
      </c>
      <c r="I185" s="323">
        <v>2</v>
      </c>
      <c r="J185" s="323">
        <v>2</v>
      </c>
      <c r="K185" s="288">
        <v>1</v>
      </c>
      <c r="L185" s="211" t="s">
        <v>3011</v>
      </c>
      <c r="M185" s="211" t="b">
        <v>0</v>
      </c>
      <c r="O185" s="209" t="s">
        <v>2832</v>
      </c>
      <c r="P185" s="211" t="s">
        <v>159</v>
      </c>
      <c r="Q185" s="211" t="s">
        <v>160</v>
      </c>
      <c r="T185" s="236"/>
      <c r="U185" s="236"/>
      <c r="AE185" s="236"/>
      <c r="AF185" s="236"/>
      <c r="AG185" s="236"/>
      <c r="AH185" s="236"/>
      <c r="AI185" s="236"/>
      <c r="AJ185" s="236"/>
      <c r="AK185" s="242"/>
      <c r="AL185" s="242"/>
      <c r="AM185" s="242"/>
      <c r="AN185" s="242"/>
      <c r="AO185" s="242"/>
      <c r="AP185" s="242"/>
      <c r="AQ185" s="242"/>
      <c r="AR185" s="242"/>
      <c r="AS185" s="242"/>
      <c r="BI185" s="240"/>
      <c r="BU185" s="236"/>
      <c r="CA185" s="274"/>
      <c r="CB185" s="209"/>
      <c r="CC185" s="209"/>
      <c r="CD185" s="209"/>
      <c r="CE185" s="209"/>
      <c r="CF185" s="209"/>
      <c r="CG185" s="209"/>
      <c r="CO185" s="211" t="s">
        <v>190</v>
      </c>
      <c r="CP185" s="211" t="s">
        <v>143</v>
      </c>
      <c r="CQ185" s="211" t="s">
        <v>236</v>
      </c>
      <c r="CR185" s="211" t="s">
        <v>372</v>
      </c>
      <c r="CS185" s="211" t="s">
        <v>3011</v>
      </c>
      <c r="CT185" s="211" t="s">
        <v>236</v>
      </c>
      <c r="CU185" s="211" t="str">
        <f t="shared" si="121"/>
        <v>N/A</v>
      </c>
      <c r="CV185" s="211" t="str">
        <f t="shared" si="122"/>
        <v>N/A</v>
      </c>
      <c r="CW185" s="211" t="str">
        <f t="shared" si="123"/>
        <v>N/A</v>
      </c>
      <c r="CX185" s="211" t="str">
        <f t="shared" si="124"/>
        <v>N/A</v>
      </c>
      <c r="CY185" s="211" t="str">
        <f t="shared" si="125"/>
        <v>N/A</v>
      </c>
      <c r="CZ185" s="211" t="str">
        <f t="shared" si="126"/>
        <v xml:space="preserve">En los meses de abril, mayo y junio de 2025  el Grupo de Almacen realizó campañas de sensibilizacion y asesoria a los funcionarios y contratistas de la Entidad acerca del cuidado y control de los bienes.
                                                                                                                                                                        Esto con el fin de mantener el uso correcto de los mismos y evitar acciones disciplinarias. Como resultado se ha obtenido que los funcionarios tengan el mayor cuidado de los bienes a cargo de cada uno y asi darle el mejor uso para el desarrollo de las funciones.
</v>
      </c>
      <c r="DA185" s="211" t="str">
        <f t="shared" si="127"/>
        <v>N/A</v>
      </c>
      <c r="DB185" s="211" t="str">
        <f t="shared" si="128"/>
        <v>N/A</v>
      </c>
      <c r="DC185" s="211" t="str">
        <f t="shared" si="129"/>
        <v>N/A</v>
      </c>
      <c r="DD185" s="211" t="str">
        <f t="shared" si="130"/>
        <v>N/A</v>
      </c>
      <c r="DE185" s="211" t="str">
        <f t="shared" si="131"/>
        <v>N/A</v>
      </c>
      <c r="DF185" s="211" t="str">
        <f t="shared" si="132"/>
        <v>N/A</v>
      </c>
    </row>
    <row r="186" spans="1:110" s="211" customFormat="1" ht="64.5" customHeight="1">
      <c r="A186" s="348" t="s">
        <v>190</v>
      </c>
      <c r="B186" s="211" t="s">
        <v>143</v>
      </c>
      <c r="C186" s="211" t="s">
        <v>244</v>
      </c>
      <c r="D186" s="211" t="s">
        <v>702</v>
      </c>
      <c r="E186" s="211" t="s">
        <v>377</v>
      </c>
      <c r="F186" s="348" t="s">
        <v>378</v>
      </c>
      <c r="G186" s="211" t="s">
        <v>178</v>
      </c>
      <c r="H186" s="211">
        <v>35</v>
      </c>
      <c r="I186" s="323">
        <v>35</v>
      </c>
      <c r="J186" s="323">
        <v>63</v>
      </c>
      <c r="K186" s="288">
        <v>0.55555555555555602</v>
      </c>
      <c r="L186" s="211" t="s">
        <v>3012</v>
      </c>
      <c r="M186" s="211" t="b">
        <v>1</v>
      </c>
      <c r="N186" s="211" t="s">
        <v>703</v>
      </c>
      <c r="O186" s="209" t="s">
        <v>2832</v>
      </c>
      <c r="P186" s="211" t="s">
        <v>159</v>
      </c>
      <c r="Q186" s="211" t="s">
        <v>160</v>
      </c>
      <c r="T186" s="236"/>
      <c r="U186" s="236"/>
      <c r="AE186" s="236"/>
      <c r="AF186" s="236"/>
      <c r="AG186" s="236"/>
      <c r="AH186" s="236"/>
      <c r="AI186" s="236"/>
      <c r="AJ186" s="236"/>
      <c r="AK186" s="242"/>
      <c r="AL186" s="242"/>
      <c r="AM186" s="242"/>
      <c r="AN186" s="242"/>
      <c r="AO186" s="242"/>
      <c r="AP186" s="242"/>
      <c r="AQ186" s="242"/>
      <c r="AR186" s="242"/>
      <c r="AS186" s="242"/>
      <c r="BI186" s="240"/>
      <c r="BU186" s="236"/>
      <c r="CA186" s="274"/>
      <c r="CB186" s="209"/>
      <c r="CC186" s="209"/>
      <c r="CD186" s="209"/>
      <c r="CE186" s="209"/>
      <c r="CF186" s="209"/>
      <c r="CG186" s="209"/>
      <c r="CO186" s="211" t="s">
        <v>190</v>
      </c>
      <c r="CP186" s="211" t="s">
        <v>143</v>
      </c>
      <c r="CQ186" s="211" t="s">
        <v>244</v>
      </c>
      <c r="CR186" s="211" t="s">
        <v>702</v>
      </c>
      <c r="CS186" s="211" t="s">
        <v>3012</v>
      </c>
      <c r="CT186" s="211" t="s">
        <v>244</v>
      </c>
      <c r="CU186" s="211" t="str">
        <f t="shared" si="121"/>
        <v>N/A</v>
      </c>
      <c r="CV186" s="211" t="str">
        <f t="shared" si="122"/>
        <v>N/A</v>
      </c>
      <c r="CW186" s="211" t="str">
        <f t="shared" si="123"/>
        <v>N/A</v>
      </c>
      <c r="CX186" s="211" t="str">
        <f t="shared" si="124"/>
        <v>N/A</v>
      </c>
      <c r="CY186" s="211" t="str">
        <f t="shared" si="125"/>
        <v>N/A</v>
      </c>
      <c r="CZ186" s="211" t="str">
        <f t="shared" si="126"/>
        <v xml:space="preserve">Los funcionarios encargados del componente Ambiental del  Grupo de Recursos Físicos, realizaron el seguimiento y cumplimiento oportuno de las actividades generadas en el cronograma de Hitos ambientales del Sistema de Gestión Ambiental con corte a junio de 2025, realizando todas las actividades programadas, con el fin de mejorar el rendimiento del Sistema de Gestión Ambiental basado en la ISO 14001:2015. Lo anteior, con el fin de posesionar el sistema de Gestión Ambiental en busca de adherir conocimiento y madures del mismo.    
Se generaron las evidencias correspondientes de las actividades ejecutadas del cronograma, las mismas se cargan en el aplicativo destinado.
Se ejecutaron las 19 actividades  programadas generando un avance total del 55%  conforme planeación establecida en el cronograma.
</v>
      </c>
      <c r="DA186" s="211" t="str">
        <f t="shared" si="127"/>
        <v>N/A</v>
      </c>
      <c r="DB186" s="211" t="str">
        <f t="shared" si="128"/>
        <v>N/A</v>
      </c>
      <c r="DC186" s="211" t="str">
        <f t="shared" si="129"/>
        <v>N/A</v>
      </c>
      <c r="DD186" s="211" t="str">
        <f t="shared" si="130"/>
        <v>N/A</v>
      </c>
      <c r="DE186" s="211" t="str">
        <f t="shared" si="131"/>
        <v>N/A</v>
      </c>
      <c r="DF186" s="211" t="str">
        <f t="shared" si="132"/>
        <v>N/A</v>
      </c>
    </row>
    <row r="187" spans="1:110" s="211" customFormat="1" ht="64.5" customHeight="1">
      <c r="A187" s="348" t="s">
        <v>190</v>
      </c>
      <c r="B187" s="211" t="s">
        <v>143</v>
      </c>
      <c r="C187" s="211" t="s">
        <v>251</v>
      </c>
      <c r="D187" s="211" t="s">
        <v>472</v>
      </c>
      <c r="E187" s="211" t="s">
        <v>473</v>
      </c>
      <c r="F187" s="348" t="s">
        <v>474</v>
      </c>
      <c r="G187" s="211" t="s">
        <v>157</v>
      </c>
      <c r="H187" s="211">
        <v>3</v>
      </c>
      <c r="I187" s="433">
        <v>3</v>
      </c>
      <c r="J187" s="433">
        <v>3</v>
      </c>
      <c r="K187" s="288">
        <v>1</v>
      </c>
      <c r="L187" s="211" t="s">
        <v>2822</v>
      </c>
      <c r="M187" s="211" t="b">
        <v>1</v>
      </c>
      <c r="N187" s="211" t="s">
        <v>2823</v>
      </c>
      <c r="O187" s="209" t="s">
        <v>2832</v>
      </c>
      <c r="P187" s="211" t="s">
        <v>159</v>
      </c>
      <c r="Q187" s="211" t="s">
        <v>160</v>
      </c>
      <c r="T187" s="236"/>
      <c r="U187" s="236"/>
      <c r="AE187" s="236"/>
      <c r="AF187" s="236"/>
      <c r="AG187" s="236"/>
      <c r="AH187" s="236"/>
      <c r="AI187" s="236"/>
      <c r="AJ187" s="236"/>
      <c r="AK187" s="242"/>
      <c r="AL187" s="242"/>
      <c r="AM187" s="242"/>
      <c r="AN187" s="242"/>
      <c r="AO187" s="242"/>
      <c r="AP187" s="242"/>
      <c r="AQ187" s="242"/>
      <c r="AR187" s="242"/>
      <c r="AS187" s="242"/>
      <c r="BI187" s="240"/>
      <c r="BU187" s="236"/>
      <c r="CA187" s="274"/>
      <c r="CB187" s="209"/>
      <c r="CC187" s="209"/>
      <c r="CD187" s="209"/>
      <c r="CE187" s="209"/>
      <c r="CF187" s="209"/>
      <c r="CG187" s="209"/>
      <c r="CO187" s="211" t="s">
        <v>190</v>
      </c>
      <c r="CP187" s="211" t="s">
        <v>143</v>
      </c>
      <c r="CQ187" s="211" t="s">
        <v>251</v>
      </c>
      <c r="CR187" s="211" t="s">
        <v>472</v>
      </c>
      <c r="CS187" s="211" t="s">
        <v>2822</v>
      </c>
      <c r="CT187" s="211" t="s">
        <v>251</v>
      </c>
      <c r="CU187" s="211" t="str">
        <f t="shared" si="121"/>
        <v>N/A</v>
      </c>
      <c r="CV187" s="211" t="str">
        <f t="shared" si="122"/>
        <v>N/A</v>
      </c>
      <c r="CW187" s="211" t="str">
        <f t="shared" si="123"/>
        <v>N/A</v>
      </c>
      <c r="CX187" s="211" t="str">
        <f t="shared" si="124"/>
        <v>N/A</v>
      </c>
      <c r="CY187" s="211" t="str">
        <f t="shared" si="125"/>
        <v>N/A</v>
      </c>
      <c r="CZ187" s="211" t="str">
        <f t="shared" si="126"/>
        <v xml:space="preserve">​Durante el segundo trimestre de 2025, la Superintendencia Nacional de Salud realizó seguimiento a la ejecución del Plan Anual de Adquisiciones, alcanzando un avance del 37,7% en inversión y 36,1% en funcionamiento. Se publicaron 13 versiones del PAA en SECOP II, con múltiples actualizaciones derivadas de solicitudes de las dependencias, y se efectuaron reuniones y memorandos mensuales para su seguimiento. Al corte de junio, se habían programado 314 líneas y quedaban tres procesos contractuales pendientes por radicar.
</v>
      </c>
      <c r="DA187" s="211" t="str">
        <f t="shared" si="127"/>
        <v>N/A</v>
      </c>
      <c r="DB187" s="211" t="str">
        <f t="shared" si="128"/>
        <v>N/A</v>
      </c>
      <c r="DC187" s="211" t="str">
        <f t="shared" si="129"/>
        <v>N/A</v>
      </c>
      <c r="DD187" s="211" t="str">
        <f t="shared" si="130"/>
        <v>N/A</v>
      </c>
      <c r="DE187" s="211" t="str">
        <f t="shared" si="131"/>
        <v>N/A</v>
      </c>
      <c r="DF187" s="211" t="str">
        <f t="shared" si="132"/>
        <v>N/A</v>
      </c>
    </row>
    <row r="188" spans="1:110" s="211" customFormat="1" ht="64.5" customHeight="1">
      <c r="A188" s="348" t="s">
        <v>190</v>
      </c>
      <c r="B188" s="211" t="s">
        <v>143</v>
      </c>
      <c r="C188" s="211" t="s">
        <v>1530</v>
      </c>
      <c r="D188" s="211" t="s">
        <v>1531</v>
      </c>
      <c r="E188" s="211" t="s">
        <v>2809</v>
      </c>
      <c r="F188" s="348" t="s">
        <v>1533</v>
      </c>
      <c r="G188" s="211" t="s">
        <v>178</v>
      </c>
      <c r="H188" s="211">
        <v>0.5</v>
      </c>
      <c r="I188" s="323">
        <v>1</v>
      </c>
      <c r="J188" s="323">
        <v>1</v>
      </c>
      <c r="K188" s="288">
        <v>1</v>
      </c>
      <c r="L188" s="211" t="s">
        <v>3013</v>
      </c>
      <c r="M188" s="211" t="b">
        <v>0</v>
      </c>
      <c r="O188" s="209" t="s">
        <v>2832</v>
      </c>
      <c r="P188" s="211" t="s">
        <v>159</v>
      </c>
      <c r="Q188" s="211" t="s">
        <v>160</v>
      </c>
      <c r="T188" s="236"/>
      <c r="U188" s="236"/>
      <c r="AE188" s="236"/>
      <c r="AF188" s="236"/>
      <c r="AG188" s="236"/>
      <c r="AH188" s="236"/>
      <c r="AI188" s="236"/>
      <c r="AJ188" s="236"/>
      <c r="AK188" s="242"/>
      <c r="AL188" s="242"/>
      <c r="AM188" s="242"/>
      <c r="AN188" s="242"/>
      <c r="AO188" s="242"/>
      <c r="AP188" s="242"/>
      <c r="AQ188" s="242"/>
      <c r="AR188" s="242"/>
      <c r="AS188" s="242"/>
      <c r="BI188" s="240"/>
      <c r="BU188" s="236"/>
      <c r="CA188" s="274"/>
      <c r="CB188" s="209"/>
      <c r="CC188" s="209"/>
      <c r="CD188" s="209"/>
      <c r="CE188" s="209"/>
      <c r="CF188" s="209"/>
      <c r="CG188" s="209"/>
      <c r="CO188" s="211" t="s">
        <v>190</v>
      </c>
      <c r="CP188" s="211" t="s">
        <v>143</v>
      </c>
      <c r="CQ188" s="211" t="s">
        <v>1530</v>
      </c>
      <c r="CR188" s="211" t="s">
        <v>1531</v>
      </c>
      <c r="CS188" s="211" t="s">
        <v>3013</v>
      </c>
      <c r="CT188" s="211" t="s">
        <v>1530</v>
      </c>
      <c r="CU188" s="211" t="str">
        <f t="shared" si="121"/>
        <v>N/A</v>
      </c>
      <c r="CV188" s="211" t="str">
        <f t="shared" si="122"/>
        <v>N/A</v>
      </c>
      <c r="CW188" s="211" t="str">
        <f t="shared" si="123"/>
        <v>N/A</v>
      </c>
      <c r="CX188" s="211" t="str">
        <f t="shared" si="124"/>
        <v>N/A</v>
      </c>
      <c r="CY188" s="211" t="str">
        <f t="shared" si="125"/>
        <v>N/A</v>
      </c>
      <c r="CZ188" s="211" t="str">
        <f t="shared" si="126"/>
        <v xml:space="preserve">ENERO
En el periodo indicado se suscribieron catorce (14) contratos en la modalidad directa, trece (13) por prestación de servicios y un (1) contrato interadministrativo,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14 contratos.
FEBRERO
En el periodo indicado se suscribieron treinta y ocho (38) contratos, de los cuales treinta y siete (37) fueron bajo la modalidad de Contratación Directa y uno (1) por Mínima Cuantía,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38 contratos.
MARZO
En el periodo indicado se suscribieron veinte (20) contratos, de los catorce (14) fueron bajo la modalidad de Contratación Directa y cinco (5) por Mínima Cuantía y un (1) por selección abreviada acuerdo marco de precios, a los cuales dentro de su estudio previo se les aplicaron prácticas de Análisis de datos, entendiéndose esto como la consulta de información, datos estadísticos, entre otros, de diferentes fuentes y con las cuales se logra establecer el sector relativo al objeto contractual, para ello se detalla una muestra de los 20 contratos.
ABRIL
En el periodo indicado se suscribieron diecisiete (17) contratos, de los cuales dieciséis (16) fueron bajo la modalidad de Contratación Directa y uno (1) por Selección Abreviada – Subasta Inversa.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MAYO
En el periodo indicado se suscribieron veinticinco (25) contratos, de los cuales dieciocho (18) fueron bajo la modalidad de Contratación Directa, cuatro (4) por Mínima Cuantía, uno (1) por Selección Abreviada por Acuerdo Marco de Precios, uno (1) por Selección Abreviada mediante Subasta Inversa y uno (1) por Licitación Pública.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JUNIO
En el periodo indicado se suscribieron diecisiete (17) contratos, de los cuales quince (15) fueron bajo la modalidad de Contratación Directa y dos (2) por Mínima Cuantía. A estos contratos, dentro de sus respectivos estudios previos, se les aplicaron prácticas de análisis de datos, entendiéndose esto como la consulta de información, datos estadísticos, entre otros, provenientes de diversas fuentes, lo cual permitió establecer el sector relativo al objeto contractual. 
</v>
      </c>
      <c r="DA188" s="211" t="str">
        <f t="shared" si="127"/>
        <v>N/A</v>
      </c>
      <c r="DB188" s="211" t="str">
        <f t="shared" si="128"/>
        <v>N/A</v>
      </c>
      <c r="DC188" s="211" t="str">
        <f t="shared" si="129"/>
        <v>N/A</v>
      </c>
      <c r="DD188" s="211" t="str">
        <f t="shared" si="130"/>
        <v>N/A</v>
      </c>
      <c r="DE188" s="211" t="str">
        <f t="shared" si="131"/>
        <v>N/A</v>
      </c>
      <c r="DF188" s="211" t="str">
        <f t="shared" si="132"/>
        <v>N/A</v>
      </c>
    </row>
    <row r="189" spans="1:110" s="211" customFormat="1" ht="64.5" customHeight="1">
      <c r="A189" s="348" t="s">
        <v>190</v>
      </c>
      <c r="B189" s="211" t="s">
        <v>143</v>
      </c>
      <c r="C189" s="211" t="s">
        <v>1513</v>
      </c>
      <c r="D189" s="211" t="s">
        <v>1516</v>
      </c>
      <c r="E189" s="211" t="s">
        <v>2810</v>
      </c>
      <c r="F189" s="348" t="s">
        <v>1518</v>
      </c>
      <c r="G189" s="211" t="s">
        <v>178</v>
      </c>
      <c r="H189" s="211">
        <v>0.5</v>
      </c>
      <c r="I189" s="323">
        <v>1</v>
      </c>
      <c r="J189" s="323">
        <v>1</v>
      </c>
      <c r="K189" s="288">
        <v>1</v>
      </c>
      <c r="L189" s="211" t="s">
        <v>3014</v>
      </c>
      <c r="M189" s="211" t="b">
        <v>0</v>
      </c>
      <c r="O189" s="209" t="s">
        <v>2832</v>
      </c>
      <c r="P189" s="211" t="s">
        <v>159</v>
      </c>
      <c r="Q189" s="211" t="s">
        <v>160</v>
      </c>
      <c r="T189" s="236"/>
      <c r="U189" s="236"/>
      <c r="AE189" s="236"/>
      <c r="AF189" s="236"/>
      <c r="AG189" s="236"/>
      <c r="AH189" s="236"/>
      <c r="AI189" s="236"/>
      <c r="AJ189" s="236"/>
      <c r="AK189" s="242"/>
      <c r="AL189" s="242"/>
      <c r="AM189" s="242"/>
      <c r="AN189" s="242"/>
      <c r="AO189" s="242"/>
      <c r="AP189" s="242"/>
      <c r="AQ189" s="242"/>
      <c r="AR189" s="242"/>
      <c r="AS189" s="242"/>
      <c r="BI189" s="240"/>
      <c r="BU189" s="236"/>
      <c r="CA189" s="274"/>
      <c r="CB189" s="209"/>
      <c r="CC189" s="209"/>
      <c r="CD189" s="209"/>
      <c r="CE189" s="209"/>
      <c r="CF189" s="209"/>
      <c r="CG189" s="209"/>
      <c r="CO189" s="211" t="s">
        <v>190</v>
      </c>
      <c r="CP189" s="211" t="s">
        <v>143</v>
      </c>
      <c r="CQ189" s="211" t="s">
        <v>1513</v>
      </c>
      <c r="CR189" s="211" t="s">
        <v>1516</v>
      </c>
      <c r="CS189" s="211" t="s">
        <v>3014</v>
      </c>
      <c r="CT189" s="211" t="s">
        <v>1513</v>
      </c>
      <c r="CU189" s="211" t="str">
        <f t="shared" si="121"/>
        <v>N/A</v>
      </c>
      <c r="CV189" s="211" t="str">
        <f t="shared" si="122"/>
        <v>N/A</v>
      </c>
      <c r="CW189" s="211" t="str">
        <f t="shared" si="123"/>
        <v>N/A</v>
      </c>
      <c r="CX189" s="211" t="str">
        <f t="shared" si="124"/>
        <v>N/A</v>
      </c>
      <c r="CY189" s="211" t="str">
        <f t="shared" si="125"/>
        <v>N/A</v>
      </c>
      <c r="CZ189" s="211" t="str">
        <f t="shared" si="126"/>
        <v xml:space="preserve">​
ENERO
En el periodo indicado solo se suscribieron contratos en modalidad directa, por lo que no se reportan resultados para dicho indicador.
FEBRERO
En el periodo indicado se suscribió un (1) contrato por Mínima Cuantía al cual se le aplico Abastecimiento estratégico dirigidas a la promoción de la micro, pequeña y mediana empresa. 
 MARZO
En el periodo indicado se suscribieron cinco (5) contratos por Mínima Cuantía a los cuales se le aplico Abastecimiento estratégico dirigidas a la promoción de la micro, pequeña y mediana empresa. 
ABRIL
En el periodo indicado se suscribieron (17) contratos, distribuidos en diferentes modalidades de contratación, entre ellas Selección Abreviada de Subasta Inversa y Contratación Directa, a los cuales se les aplicó el esquema de Abastecimiento Estratégico, dirigido a la promoción de la micro, pequeña y mediana empresa. 
MAYO
En el periodo indicado se suscribieron siete (7) contratos, distribuidos en diversas modalidades de contratación, entre ellas Mínima Cuantía (4), Selección Abreviada Acuerdo Marco de Precios (1), Selección Abreviada de Subasta Inversa (1) y Licitación Pública (1). A estos contratos se les aplicó el esquema de Abastecimiento Estratégico, orientado a la promoción de la micro, pequeña y mediana empresa
JUNIO
En el periodo indicado se suscribieron un (1) contrato por medio de la modalidad de Mínima Cuantía al cual se le aplicó el esquema de Abastecimiento Estratégico, dirigido a la promoción de la micro, pequeña y mediana empresa. 
</v>
      </c>
      <c r="DA189" s="211" t="str">
        <f t="shared" si="127"/>
        <v>N/A</v>
      </c>
      <c r="DB189" s="211" t="str">
        <f t="shared" si="128"/>
        <v>N/A</v>
      </c>
      <c r="DC189" s="211" t="str">
        <f t="shared" si="129"/>
        <v>N/A</v>
      </c>
      <c r="DD189" s="211" t="str">
        <f t="shared" si="130"/>
        <v>N/A</v>
      </c>
      <c r="DE189" s="211" t="str">
        <f t="shared" si="131"/>
        <v>N/A</v>
      </c>
      <c r="DF189" s="211" t="str">
        <f t="shared" si="132"/>
        <v>N/A</v>
      </c>
    </row>
    <row r="190" spans="1:110" s="211" customFormat="1" ht="64.5" customHeight="1">
      <c r="A190" s="348" t="s">
        <v>190</v>
      </c>
      <c r="B190" s="211" t="s">
        <v>143</v>
      </c>
      <c r="C190" s="211" t="s">
        <v>1522</v>
      </c>
      <c r="D190" s="211" t="s">
        <v>2811</v>
      </c>
      <c r="E190" s="211" t="s">
        <v>1524</v>
      </c>
      <c r="F190" s="348" t="s">
        <v>1525</v>
      </c>
      <c r="G190" s="211" t="s">
        <v>178</v>
      </c>
      <c r="H190" s="211">
        <v>0.5</v>
      </c>
      <c r="I190" s="323">
        <v>1</v>
      </c>
      <c r="J190" s="323">
        <v>1</v>
      </c>
      <c r="K190" s="288">
        <v>1</v>
      </c>
      <c r="L190" s="211" t="s">
        <v>3015</v>
      </c>
      <c r="M190" s="211" t="b">
        <v>0</v>
      </c>
      <c r="O190" s="209" t="s">
        <v>2832</v>
      </c>
      <c r="P190" s="211" t="s">
        <v>159</v>
      </c>
      <c r="Q190" s="211" t="s">
        <v>160</v>
      </c>
      <c r="T190" s="236"/>
      <c r="U190" s="236"/>
      <c r="AE190" s="236"/>
      <c r="AF190" s="236"/>
      <c r="AG190" s="236"/>
      <c r="AH190" s="236"/>
      <c r="AI190" s="236"/>
      <c r="AJ190" s="236"/>
      <c r="AK190" s="242"/>
      <c r="AL190" s="242"/>
      <c r="AM190" s="242"/>
      <c r="AN190" s="242"/>
      <c r="AO190" s="242"/>
      <c r="AP190" s="242"/>
      <c r="AQ190" s="242"/>
      <c r="AR190" s="242"/>
      <c r="AS190" s="242"/>
      <c r="BI190" s="240"/>
      <c r="BU190" s="236"/>
      <c r="CA190" s="274"/>
      <c r="CB190" s="209"/>
      <c r="CC190" s="209"/>
      <c r="CD190" s="209"/>
      <c r="CE190" s="209"/>
      <c r="CF190" s="209"/>
      <c r="CG190" s="209"/>
      <c r="CO190" s="211" t="s">
        <v>190</v>
      </c>
      <c r="CP190" s="211" t="s">
        <v>143</v>
      </c>
      <c r="CQ190" s="211" t="s">
        <v>1522</v>
      </c>
      <c r="CR190" s="211" t="s">
        <v>2811</v>
      </c>
      <c r="CS190" s="211" t="s">
        <v>3015</v>
      </c>
      <c r="CT190" s="211" t="s">
        <v>1522</v>
      </c>
      <c r="CU190" s="211" t="str">
        <f t="shared" si="121"/>
        <v>N/A</v>
      </c>
      <c r="CV190" s="211" t="str">
        <f t="shared" si="122"/>
        <v>N/A</v>
      </c>
      <c r="CW190" s="211" t="str">
        <f t="shared" si="123"/>
        <v>N/A</v>
      </c>
      <c r="CX190" s="211" t="str">
        <f t="shared" si="124"/>
        <v>N/A</v>
      </c>
      <c r="CY190" s="211" t="str">
        <f t="shared" si="125"/>
        <v>N/A</v>
      </c>
      <c r="CZ190" s="211" t="str">
        <f t="shared" si="126"/>
        <v xml:space="preserve">​ENERO
En el periodo indicado solo se suscribieron contratos en modalidad directa, por lo que no se reportan resultados para este indicador. 
FEBRERO
En el periodo indicado no se suscribieron contratos a través de la tienda virtual del estado colombiano - TVEC, por lo tanto, no se reportan resultados para este indicador. 
MARZO
SELECCION ABREVIADA ACUERDO MARCO DE PRECIOS 
Contrato No. 71 de 2025, cuyo objeto es: ADQUIRIR LOS SERVICIOS DE NUBE PÚBLICA MICROSOFT AZURE PARA LA SUPERINTENDENCIA NACIONAL DE SALUD. No. S Orden de compra 143254 
ABRIL
En el periodo indicado no se suscribieron contratos a través de la tienda virtual del estado colombiano - TVEC, por lo tanto, no se reportan resultados para este indicador. 
MAYO
SELECCION ABREVIADA ACUERDO MARCO DE PRECIOS 
Contrato No. 96 de 2025, cuyo objeto es: Adquirir los certificados de firma digital con token virtual para la Superintendencia Nacional de Salud  
JUNIO
E n el periodo indicado no se suscribieron contratos a través de la tienda virtual del estado colombiano - TVEC, por lo tanto, no se reportan resultados para este indicador. 
</v>
      </c>
      <c r="DA190" s="211" t="str">
        <f t="shared" si="127"/>
        <v>N/A</v>
      </c>
      <c r="DB190" s="211" t="str">
        <f t="shared" si="128"/>
        <v>N/A</v>
      </c>
      <c r="DC190" s="211" t="str">
        <f t="shared" si="129"/>
        <v>N/A</v>
      </c>
      <c r="DD190" s="211" t="str">
        <f t="shared" si="130"/>
        <v>N/A</v>
      </c>
      <c r="DE190" s="211" t="str">
        <f t="shared" si="131"/>
        <v>N/A</v>
      </c>
      <c r="DF190" s="211" t="str">
        <f t="shared" si="132"/>
        <v>N/A</v>
      </c>
    </row>
    <row r="191" spans="1:110" s="211" customFormat="1" ht="64.5" customHeight="1">
      <c r="A191" s="348" t="s">
        <v>190</v>
      </c>
      <c r="B191" s="211" t="s">
        <v>143</v>
      </c>
      <c r="C191" s="211" t="s">
        <v>191</v>
      </c>
      <c r="D191" s="211" t="s">
        <v>192</v>
      </c>
      <c r="E191" s="211" t="s">
        <v>193</v>
      </c>
      <c r="F191" s="348" t="s">
        <v>194</v>
      </c>
      <c r="G191" s="211" t="s">
        <v>178</v>
      </c>
      <c r="H191" s="211">
        <v>0.95</v>
      </c>
      <c r="I191" s="323">
        <v>5182</v>
      </c>
      <c r="J191" s="323">
        <v>5233</v>
      </c>
      <c r="K191" s="288">
        <v>0.99025415631568903</v>
      </c>
      <c r="L191" s="211" t="s">
        <v>678</v>
      </c>
      <c r="M191" s="211" t="b">
        <v>0</v>
      </c>
      <c r="O191" s="209" t="s">
        <v>2832</v>
      </c>
      <c r="P191" s="211" t="s">
        <v>159</v>
      </c>
      <c r="Q191" s="211" t="s">
        <v>160</v>
      </c>
      <c r="T191" s="236"/>
      <c r="U191" s="236"/>
      <c r="AE191" s="236"/>
      <c r="AF191" s="236"/>
      <c r="AG191" s="236"/>
      <c r="AH191" s="236"/>
      <c r="AI191" s="236"/>
      <c r="AJ191" s="236"/>
      <c r="AK191" s="242"/>
      <c r="AL191" s="242"/>
      <c r="AM191" s="242"/>
      <c r="AN191" s="242"/>
      <c r="AO191" s="242"/>
      <c r="AP191" s="242"/>
      <c r="AQ191" s="242"/>
      <c r="AR191" s="242"/>
      <c r="AS191" s="242"/>
      <c r="BI191" s="240"/>
      <c r="BU191" s="236"/>
      <c r="CA191" s="274"/>
      <c r="CB191" s="209"/>
      <c r="CC191" s="209"/>
      <c r="CD191" s="209"/>
      <c r="CE191" s="209"/>
      <c r="CF191" s="209"/>
      <c r="CG191" s="209"/>
      <c r="CO191" s="211" t="s">
        <v>190</v>
      </c>
      <c r="CP191" s="211" t="s">
        <v>143</v>
      </c>
      <c r="CQ191" s="211" t="s">
        <v>191</v>
      </c>
      <c r="CR191" s="211" t="s">
        <v>192</v>
      </c>
      <c r="CS191" s="211" t="s">
        <v>678</v>
      </c>
      <c r="CT191" s="211" t="s">
        <v>191</v>
      </c>
      <c r="CU191" s="211" t="str">
        <f t="shared" si="121"/>
        <v>N/A</v>
      </c>
      <c r="CV191" s="211" t="str">
        <f t="shared" si="122"/>
        <v>N/A</v>
      </c>
      <c r="CW191" s="211" t="str">
        <f t="shared" si="123"/>
        <v>N/A</v>
      </c>
      <c r="CX191" s="211" t="str">
        <f t="shared" si="124"/>
        <v>N/A</v>
      </c>
      <c r="CY191" s="211" t="str">
        <f t="shared" si="125"/>
        <v>N/A</v>
      </c>
      <c r="CZ191" s="211" t="str">
        <f t="shared" si="126"/>
        <v xml:space="preserve">​Al corte del 30 de junio de 2025 en la entidad se expidieron 5233 resoluciones las cuales ingresaron en su totalidad al Grupo de Gestion de Notificaciones y Comunicaciones, se gestionaron 5182, dejando en trámite 51 actos administrativos en su gran mayoría expedidos en los últimos días del mes y los cuales por distintos tramites se encuentra en gestion al corte del mes de este reporte. 
</v>
      </c>
      <c r="DA191" s="211" t="str">
        <f t="shared" si="127"/>
        <v>N/A</v>
      </c>
      <c r="DB191" s="211" t="str">
        <f t="shared" si="128"/>
        <v>N/A</v>
      </c>
      <c r="DC191" s="211" t="str">
        <f t="shared" si="129"/>
        <v>N/A</v>
      </c>
      <c r="DD191" s="211" t="str">
        <f t="shared" si="130"/>
        <v>N/A</v>
      </c>
      <c r="DE191" s="211" t="str">
        <f t="shared" si="131"/>
        <v>N/A</v>
      </c>
      <c r="DF191" s="211" t="str">
        <f t="shared" si="132"/>
        <v>N/A</v>
      </c>
    </row>
    <row r="192" spans="1:110" s="211" customFormat="1" ht="64.5" customHeight="1">
      <c r="A192" s="348" t="s">
        <v>190</v>
      </c>
      <c r="B192" s="211" t="s">
        <v>143</v>
      </c>
      <c r="C192" s="211" t="s">
        <v>397</v>
      </c>
      <c r="D192" s="211" t="s">
        <v>679</v>
      </c>
      <c r="E192" s="211" t="s">
        <v>680</v>
      </c>
      <c r="F192" s="348" t="s">
        <v>681</v>
      </c>
      <c r="G192" s="211" t="s">
        <v>157</v>
      </c>
      <c r="H192" s="211">
        <v>1</v>
      </c>
      <c r="I192" s="323">
        <v>1</v>
      </c>
      <c r="J192" s="323">
        <v>1</v>
      </c>
      <c r="K192" s="288">
        <v>1</v>
      </c>
      <c r="L192" s="211" t="s">
        <v>682</v>
      </c>
      <c r="M192" s="211" t="b">
        <v>0</v>
      </c>
      <c r="O192" s="209" t="s">
        <v>2832</v>
      </c>
      <c r="P192" s="211" t="s">
        <v>159</v>
      </c>
      <c r="Q192" s="211" t="s">
        <v>160</v>
      </c>
      <c r="T192" s="236"/>
      <c r="U192" s="236"/>
      <c r="AE192" s="236"/>
      <c r="AF192" s="236"/>
      <c r="AG192" s="236"/>
      <c r="AH192" s="236"/>
      <c r="AI192" s="236"/>
      <c r="AJ192" s="236"/>
      <c r="AK192" s="242"/>
      <c r="AL192" s="242"/>
      <c r="AM192" s="242"/>
      <c r="AN192" s="242"/>
      <c r="AO192" s="242"/>
      <c r="AP192" s="242"/>
      <c r="AQ192" s="242"/>
      <c r="AR192" s="242"/>
      <c r="AS192" s="242"/>
      <c r="BI192" s="240"/>
      <c r="BU192" s="236"/>
      <c r="CA192" s="274"/>
      <c r="CB192" s="209"/>
      <c r="CC192" s="209"/>
      <c r="CD192" s="209"/>
      <c r="CE192" s="209"/>
      <c r="CF192" s="209"/>
      <c r="CG192" s="209"/>
      <c r="CO192" s="211" t="s">
        <v>190</v>
      </c>
      <c r="CP192" s="211" t="s">
        <v>143</v>
      </c>
      <c r="CQ192" s="211" t="s">
        <v>397</v>
      </c>
      <c r="CR192" s="211" t="s">
        <v>679</v>
      </c>
      <c r="CS192" s="211" t="s">
        <v>682</v>
      </c>
      <c r="CT192" s="211" t="s">
        <v>397</v>
      </c>
      <c r="CU192" s="211" t="str">
        <f t="shared" si="121"/>
        <v>N/A</v>
      </c>
      <c r="CV192" s="211" t="str">
        <f t="shared" si="122"/>
        <v>N/A</v>
      </c>
      <c r="CW192" s="211" t="str">
        <f t="shared" si="123"/>
        <v>N/A</v>
      </c>
      <c r="CX192" s="211" t="str">
        <f t="shared" si="124"/>
        <v>N/A</v>
      </c>
      <c r="CY192" s="211" t="str">
        <f t="shared" si="125"/>
        <v>N/A</v>
      </c>
      <c r="CZ192" s="211" t="str">
        <f t="shared" si="126"/>
        <v xml:space="preserve">Entre las actividades realizadas para la sensibilización se solicitó a través de la dirección administrativa la creación y divulgación de una pieza grafica con información relacionada al formato DIFT05 por el cual los vigilados pueden autorizar la notificación electrónica de los actos administrativos tramitados por el grupo de gestión de notificación y comunicaciones de la dirección administrativa, se adjunta evidencia de la campaña ya realizada por correo institucional. 
</v>
      </c>
      <c r="DA192" s="211" t="str">
        <f t="shared" si="127"/>
        <v>N/A</v>
      </c>
      <c r="DB192" s="211" t="str">
        <f t="shared" si="128"/>
        <v>N/A</v>
      </c>
      <c r="DC192" s="211" t="str">
        <f t="shared" si="129"/>
        <v>N/A</v>
      </c>
      <c r="DD192" s="211" t="str">
        <f t="shared" si="130"/>
        <v>N/A</v>
      </c>
      <c r="DE192" s="211" t="str">
        <f t="shared" si="131"/>
        <v>N/A</v>
      </c>
      <c r="DF192" s="211" t="str">
        <f t="shared" si="132"/>
        <v>N/A</v>
      </c>
    </row>
    <row r="193" spans="1:110" s="211" customFormat="1" ht="64.5" customHeight="1">
      <c r="A193" s="348" t="s">
        <v>190</v>
      </c>
      <c r="B193" s="211" t="s">
        <v>143</v>
      </c>
      <c r="C193" s="211" t="s">
        <v>398</v>
      </c>
      <c r="D193" s="211" t="s">
        <v>812</v>
      </c>
      <c r="E193" s="211" t="s">
        <v>400</v>
      </c>
      <c r="F193" s="348" t="s">
        <v>401</v>
      </c>
      <c r="G193" s="211" t="s">
        <v>178</v>
      </c>
      <c r="H193" s="211">
        <v>0.98</v>
      </c>
      <c r="I193" s="323">
        <v>139528</v>
      </c>
      <c r="J193" s="323">
        <v>140427</v>
      </c>
      <c r="K193" s="288">
        <v>0.99359809723201398</v>
      </c>
      <c r="L193" s="211" t="s">
        <v>3016</v>
      </c>
      <c r="M193" s="211" t="b">
        <v>0</v>
      </c>
      <c r="O193" s="209" t="s">
        <v>2832</v>
      </c>
      <c r="P193" s="211" t="s">
        <v>159</v>
      </c>
      <c r="Q193" s="211" t="s">
        <v>160</v>
      </c>
      <c r="T193" s="236"/>
      <c r="U193" s="236"/>
      <c r="AE193" s="236"/>
      <c r="AF193" s="236"/>
      <c r="AG193" s="236"/>
      <c r="AH193" s="236"/>
      <c r="AI193" s="236"/>
      <c r="AJ193" s="236"/>
      <c r="AK193" s="242"/>
      <c r="AL193" s="242"/>
      <c r="AM193" s="242"/>
      <c r="AN193" s="242"/>
      <c r="AO193" s="242"/>
      <c r="AP193" s="242"/>
      <c r="AQ193" s="242"/>
      <c r="AR193" s="242"/>
      <c r="AS193" s="242"/>
      <c r="BI193" s="240"/>
      <c r="BU193" s="236"/>
      <c r="CA193" s="274"/>
      <c r="CB193" s="209"/>
      <c r="CC193" s="209"/>
      <c r="CD193" s="209"/>
      <c r="CE193" s="209"/>
      <c r="CF193" s="209"/>
      <c r="CG193" s="209"/>
      <c r="CO193" s="211" t="s">
        <v>190</v>
      </c>
      <c r="CP193" s="211" t="s">
        <v>143</v>
      </c>
      <c r="CQ193" s="211" t="s">
        <v>398</v>
      </c>
      <c r="CR193" s="211" t="s">
        <v>812</v>
      </c>
      <c r="CS193" s="211" t="s">
        <v>3016</v>
      </c>
      <c r="CT193" s="211" t="s">
        <v>398</v>
      </c>
      <c r="CU193" s="211" t="str">
        <f t="shared" si="121"/>
        <v>N/A</v>
      </c>
      <c r="CV193" s="211" t="str">
        <f t="shared" si="122"/>
        <v>N/A</v>
      </c>
      <c r="CW193" s="211" t="str">
        <f t="shared" si="123"/>
        <v>N/A</v>
      </c>
      <c r="CX193" s="211" t="str">
        <f t="shared" si="124"/>
        <v>N/A</v>
      </c>
      <c r="CY193" s="211" t="str">
        <f t="shared" si="125"/>
        <v>N/A</v>
      </c>
      <c r="CZ193" s="211" t="str">
        <f t="shared" si="126"/>
        <v xml:space="preserve">​
 De 140.427 documentos radicados entre abril, mayo y junio de2025, se tomó una muestra del 5% lo cual arrojó un resultado de 7.020 documentosradicados que fueron revisados en los cuales se encontraron un total de 6.975documentos asignados correctamente y que proyectados al total de radicados son139.528 que cumplen con la asignación correcta a las dependencias; lo querepresenta un porcentaje de cumplimiento del  99.36% en dicho periodo, teniendo encuenta que la meta es del 98%. ABRILTOTAL RADICADOS 44.623 ASIGNADOS CORRECTAMENTE 44.320, MAYOTOTAL 49.969 ASIGNADOS CORRECTAMENTE 49.669, JUNIO 45.835ASIGNADOS CORRECTAMENTE 45.537.​ 
​ 
</v>
      </c>
      <c r="DA193" s="211" t="str">
        <f t="shared" si="127"/>
        <v>N/A</v>
      </c>
      <c r="DB193" s="211" t="str">
        <f t="shared" si="128"/>
        <v>N/A</v>
      </c>
      <c r="DC193" s="211" t="str">
        <f t="shared" si="129"/>
        <v>N/A</v>
      </c>
      <c r="DD193" s="211" t="str">
        <f t="shared" si="130"/>
        <v>N/A</v>
      </c>
      <c r="DE193" s="211" t="str">
        <f t="shared" si="131"/>
        <v>N/A</v>
      </c>
      <c r="DF193" s="211" t="str">
        <f t="shared" si="132"/>
        <v>N/A</v>
      </c>
    </row>
    <row r="194" spans="1:110" s="211" customFormat="1" ht="64.5" customHeight="1">
      <c r="A194" s="348" t="s">
        <v>190</v>
      </c>
      <c r="B194" s="211" t="s">
        <v>143</v>
      </c>
      <c r="C194" s="211" t="s">
        <v>403</v>
      </c>
      <c r="D194" s="211" t="s">
        <v>404</v>
      </c>
      <c r="E194" s="211" t="s">
        <v>405</v>
      </c>
      <c r="F194" s="348" t="s">
        <v>406</v>
      </c>
      <c r="G194" s="211" t="s">
        <v>178</v>
      </c>
      <c r="H194" s="211">
        <v>0.99870000000000003</v>
      </c>
      <c r="I194" s="323">
        <v>140273</v>
      </c>
      <c r="J194" s="323">
        <v>140427</v>
      </c>
      <c r="K194" s="288">
        <v>0.99890334479836496</v>
      </c>
      <c r="L194" s="211" t="s">
        <v>813</v>
      </c>
      <c r="M194" s="211" t="b">
        <v>0</v>
      </c>
      <c r="O194" s="209" t="s">
        <v>2832</v>
      </c>
      <c r="P194" s="211" t="s">
        <v>159</v>
      </c>
      <c r="Q194" s="211" t="s">
        <v>160</v>
      </c>
      <c r="T194" s="236"/>
      <c r="U194" s="236"/>
      <c r="AE194" s="236"/>
      <c r="AF194" s="236"/>
      <c r="AG194" s="236"/>
      <c r="AH194" s="236"/>
      <c r="AI194" s="236"/>
      <c r="AJ194" s="236"/>
      <c r="AK194" s="242"/>
      <c r="AL194" s="242"/>
      <c r="AM194" s="242"/>
      <c r="AN194" s="242"/>
      <c r="AO194" s="242"/>
      <c r="AP194" s="242"/>
      <c r="AQ194" s="242"/>
      <c r="AR194" s="242"/>
      <c r="AS194" s="242"/>
      <c r="BI194" s="240"/>
      <c r="BU194" s="236"/>
      <c r="CA194" s="274"/>
      <c r="CB194" s="209"/>
      <c r="CC194" s="209"/>
      <c r="CD194" s="209"/>
      <c r="CE194" s="209"/>
      <c r="CF194" s="209"/>
      <c r="CG194" s="209"/>
      <c r="CO194" s="211" t="s">
        <v>190</v>
      </c>
      <c r="CP194" s="211" t="s">
        <v>143</v>
      </c>
      <c r="CQ194" s="211" t="s">
        <v>403</v>
      </c>
      <c r="CR194" s="211" t="s">
        <v>404</v>
      </c>
      <c r="CS194" s="211" t="s">
        <v>813</v>
      </c>
      <c r="CT194" s="211" t="s">
        <v>403</v>
      </c>
      <c r="CU194" s="211" t="str">
        <f t="shared" si="121"/>
        <v>N/A</v>
      </c>
      <c r="CV194" s="211" t="str">
        <f t="shared" si="122"/>
        <v>N/A</v>
      </c>
      <c r="CW194" s="211" t="str">
        <f t="shared" si="123"/>
        <v>N/A</v>
      </c>
      <c r="CX194" s="211" t="str">
        <f t="shared" si="124"/>
        <v>N/A</v>
      </c>
      <c r="CY194" s="211" t="str">
        <f t="shared" si="125"/>
        <v>N/A</v>
      </c>
      <c r="CZ194" s="211" t="str">
        <f t="shared" si="126"/>
        <v xml:space="preserve">De 140.427 documentos digitalizados en mayo de 2025, se tomó unamuestra del 5% lo cual arrojó un resultado de 7.020 documentos digitalizados quefueron revisados en los cuales se encontraron un total de 7.012 documentosdigitalizados correctamente y que proyectados al total de digitalizados son 140.273que cumplen con la digitalización correcta; lo que representa un porcentaje decumplimiento del 99.89% en dicho periodo, teniendo en cuenta que la meta es del99.87%.ABRIL TOTAL DIGITALIZADOS44.623 CORRECTOS 44.623, MAYO TOTAL 49.969 ASIGNADOSCORRECTAMENTE 49.969, JUNIO 45.835 ASIGNADOS CORRECTAMENTE45.675.​ 
​ 
</v>
      </c>
      <c r="DA194" s="211" t="str">
        <f t="shared" si="127"/>
        <v>N/A</v>
      </c>
      <c r="DB194" s="211" t="str">
        <f t="shared" si="128"/>
        <v>N/A</v>
      </c>
      <c r="DC194" s="211" t="str">
        <f t="shared" si="129"/>
        <v>N/A</v>
      </c>
      <c r="DD194" s="211" t="str">
        <f t="shared" si="130"/>
        <v>N/A</v>
      </c>
      <c r="DE194" s="211" t="str">
        <f t="shared" si="131"/>
        <v>N/A</v>
      </c>
      <c r="DF194" s="211" t="str">
        <f t="shared" si="132"/>
        <v>N/A</v>
      </c>
    </row>
    <row r="195" spans="1:110" s="211" customFormat="1" ht="64.5" customHeight="1">
      <c r="A195" s="348" t="s">
        <v>190</v>
      </c>
      <c r="B195" s="211" t="s">
        <v>143</v>
      </c>
      <c r="C195" s="211" t="s">
        <v>381</v>
      </c>
      <c r="D195" s="211" t="s">
        <v>382</v>
      </c>
      <c r="E195" s="211" t="s">
        <v>383</v>
      </c>
      <c r="F195" s="348" t="s">
        <v>384</v>
      </c>
      <c r="G195" s="211" t="s">
        <v>178</v>
      </c>
      <c r="H195" s="211">
        <v>18</v>
      </c>
      <c r="I195" s="323">
        <v>26</v>
      </c>
      <c r="J195" s="323">
        <v>58</v>
      </c>
      <c r="K195" s="288">
        <v>0.44827586206896602</v>
      </c>
      <c r="L195" s="211" t="s">
        <v>3017</v>
      </c>
      <c r="M195" s="211" t="b">
        <v>1</v>
      </c>
      <c r="N195" s="211" t="s">
        <v>741</v>
      </c>
      <c r="O195" s="209" t="s">
        <v>2832</v>
      </c>
      <c r="P195" s="211" t="s">
        <v>159</v>
      </c>
      <c r="Q195" s="211" t="s">
        <v>160</v>
      </c>
      <c r="T195" s="236"/>
      <c r="U195" s="236"/>
      <c r="AE195" s="236"/>
      <c r="AF195" s="236"/>
      <c r="AG195" s="236"/>
      <c r="AH195" s="236"/>
      <c r="AI195" s="236"/>
      <c r="AJ195" s="236"/>
      <c r="AK195" s="242"/>
      <c r="AL195" s="242"/>
      <c r="AM195" s="242"/>
      <c r="AN195" s="242"/>
      <c r="AO195" s="242"/>
      <c r="AP195" s="242"/>
      <c r="AQ195" s="242"/>
      <c r="AR195" s="242"/>
      <c r="AS195" s="242"/>
      <c r="BI195" s="240"/>
      <c r="BU195" s="236"/>
      <c r="CA195" s="274"/>
      <c r="CB195" s="209"/>
      <c r="CC195" s="209"/>
      <c r="CD195" s="209"/>
      <c r="CE195" s="209"/>
      <c r="CF195" s="209"/>
      <c r="CG195" s="209"/>
      <c r="CO195" s="211" t="s">
        <v>190</v>
      </c>
      <c r="CP195" s="211" t="s">
        <v>143</v>
      </c>
      <c r="CQ195" s="211" t="s">
        <v>381</v>
      </c>
      <c r="CR195" s="211" t="s">
        <v>382</v>
      </c>
      <c r="CS195" s="211" t="s">
        <v>3017</v>
      </c>
      <c r="CT195" s="211" t="s">
        <v>381</v>
      </c>
      <c r="CU195" s="211" t="str">
        <f t="shared" ref="CU195:CU258" si="133">+IF(CP195=$CU$1,CS195,"N/A")</f>
        <v>N/A</v>
      </c>
      <c r="CV195" s="211" t="str">
        <f t="shared" ref="CV195:CV258" si="134">+IF(CP195=$CV$1,CS195,"N/A")</f>
        <v>N/A</v>
      </c>
      <c r="CW195" s="211" t="str">
        <f t="shared" ref="CW195:CW258" si="135">+IF(CP195=$CW$1,CS195,"N/A")</f>
        <v>N/A</v>
      </c>
      <c r="CX195" s="211" t="str">
        <f t="shared" ref="CX195:CX258" si="136">+IF(CP195=$CX$1,CS195,"N/A")</f>
        <v>N/A</v>
      </c>
      <c r="CY195" s="211" t="str">
        <f t="shared" ref="CY195:CY258" si="137">+IF(CP195=$CY$1,CS195,"N/A")</f>
        <v>N/A</v>
      </c>
      <c r="CZ195" s="211" t="str">
        <f t="shared" ref="CZ195:CZ258" si="138">+IF(CP195=$CZ$1,CS195,"N/A")</f>
        <v xml:space="preserve">     Observamos que, para el segundo trimestre de 2025, el Indicador DI28 Nivel de madurez de acuerdo con la matriz de cumplimiento del MGDA, alcanzó un cumplimiento satisfactorio del 100% con la ejecución de 18 actividades , llegando a un avance consolidado del 45%, con 26 actividades cumplidas.
</v>
      </c>
      <c r="DA195" s="211" t="str">
        <f t="shared" ref="DA195:DA258" si="139">+IF(CP195=$DA$1,CS195,"N/A")</f>
        <v>N/A</v>
      </c>
      <c r="DB195" s="211" t="str">
        <f t="shared" ref="DB195:DB258" si="140">+IF(CP195=$DB$1,CS195,"N/A")</f>
        <v>N/A</v>
      </c>
      <c r="DC195" s="211" t="str">
        <f t="shared" ref="DC195:DC258" si="141">+IF(CP195=$DC$1,CS195,"N/A")</f>
        <v>N/A</v>
      </c>
      <c r="DD195" s="211" t="str">
        <f t="shared" ref="DD195:DD258" si="142">+IF(CP195=$DD$1,CS195,"N/A")</f>
        <v>N/A</v>
      </c>
      <c r="DE195" s="211" t="str">
        <f t="shared" ref="DE195:DE258" si="143">+IF(CP195=$DE$1,CS195,"N/A")</f>
        <v>N/A</v>
      </c>
      <c r="DF195" s="211" t="str">
        <f t="shared" ref="DF195:DF258" si="144">+IF(CP195=$DF$1,CS195,"N/A")</f>
        <v>N/A</v>
      </c>
    </row>
    <row r="196" spans="1:110" s="211" customFormat="1" ht="64.5" customHeight="1">
      <c r="A196" s="348" t="s">
        <v>190</v>
      </c>
      <c r="B196" s="211" t="s">
        <v>143</v>
      </c>
      <c r="C196" s="211" t="s">
        <v>408</v>
      </c>
      <c r="D196" s="211" t="s">
        <v>409</v>
      </c>
      <c r="E196" s="211" t="s">
        <v>410</v>
      </c>
      <c r="F196" s="348" t="s">
        <v>411</v>
      </c>
      <c r="G196" s="211" t="s">
        <v>157</v>
      </c>
      <c r="H196" s="211">
        <v>3</v>
      </c>
      <c r="I196" s="323">
        <v>2</v>
      </c>
      <c r="J196" s="323">
        <v>3</v>
      </c>
      <c r="K196" s="288">
        <v>0.66666666666666696</v>
      </c>
      <c r="L196" s="211" t="s">
        <v>3018</v>
      </c>
      <c r="M196" s="211" t="b">
        <v>0</v>
      </c>
      <c r="O196" s="209" t="s">
        <v>2832</v>
      </c>
      <c r="P196" s="211" t="s">
        <v>159</v>
      </c>
      <c r="Q196" s="211" t="s">
        <v>160</v>
      </c>
      <c r="T196" s="236"/>
      <c r="U196" s="236"/>
      <c r="AE196" s="236"/>
      <c r="AF196" s="236"/>
      <c r="AG196" s="236"/>
      <c r="AH196" s="236"/>
      <c r="AI196" s="236"/>
      <c r="AJ196" s="236"/>
      <c r="AK196" s="242"/>
      <c r="AL196" s="242"/>
      <c r="AM196" s="242"/>
      <c r="AN196" s="242"/>
      <c r="AO196" s="242"/>
      <c r="AP196" s="242"/>
      <c r="AQ196" s="242"/>
      <c r="AR196" s="242"/>
      <c r="AS196" s="242"/>
      <c r="BI196" s="240"/>
      <c r="BU196" s="236"/>
      <c r="CA196" s="274"/>
      <c r="CB196" s="209"/>
      <c r="CC196" s="209"/>
      <c r="CD196" s="209"/>
      <c r="CE196" s="209"/>
      <c r="CF196" s="209"/>
      <c r="CG196" s="209"/>
      <c r="CO196" s="211" t="s">
        <v>190</v>
      </c>
      <c r="CP196" s="211" t="s">
        <v>143</v>
      </c>
      <c r="CQ196" s="211" t="s">
        <v>408</v>
      </c>
      <c r="CR196" s="211" t="s">
        <v>409</v>
      </c>
      <c r="CS196" s="211" t="s">
        <v>3018</v>
      </c>
      <c r="CT196" s="211" t="s">
        <v>408</v>
      </c>
      <c r="CU196" s="211" t="str">
        <f t="shared" si="133"/>
        <v>N/A</v>
      </c>
      <c r="CV196" s="211" t="str">
        <f t="shared" si="134"/>
        <v>N/A</v>
      </c>
      <c r="CW196" s="211" t="str">
        <f t="shared" si="135"/>
        <v>N/A</v>
      </c>
      <c r="CX196" s="211" t="str">
        <f t="shared" si="136"/>
        <v>N/A</v>
      </c>
      <c r="CY196" s="211" t="str">
        <f t="shared" si="137"/>
        <v>N/A</v>
      </c>
      <c r="CZ196" s="211" t="str">
        <f t="shared" si="138"/>
        <v xml:space="preserve">​En mayo y junio de 2025  se publicaron 2 campañas de comunicaciones.
Se proyectará la campaña faltante del segundo trimestre de 2025 en  julio de 2025 y con ello cumplir con la meta de 12 campañas al 31 de diciembre de 2025
</v>
      </c>
      <c r="DA196" s="211" t="str">
        <f t="shared" si="139"/>
        <v>N/A</v>
      </c>
      <c r="DB196" s="211" t="str">
        <f t="shared" si="140"/>
        <v>N/A</v>
      </c>
      <c r="DC196" s="211" t="str">
        <f t="shared" si="141"/>
        <v>N/A</v>
      </c>
      <c r="DD196" s="211" t="str">
        <f t="shared" si="142"/>
        <v>N/A</v>
      </c>
      <c r="DE196" s="211" t="str">
        <f t="shared" si="143"/>
        <v>N/A</v>
      </c>
      <c r="DF196" s="211" t="str">
        <f t="shared" si="144"/>
        <v>N/A</v>
      </c>
    </row>
    <row r="197" spans="1:110" s="211" customFormat="1" ht="64.5" customHeight="1">
      <c r="A197" s="348" t="s">
        <v>190</v>
      </c>
      <c r="B197" s="211" t="s">
        <v>143</v>
      </c>
      <c r="C197" s="211" t="s">
        <v>226</v>
      </c>
      <c r="D197" s="211" t="s">
        <v>227</v>
      </c>
      <c r="E197" s="211" t="s">
        <v>228</v>
      </c>
      <c r="F197" s="348" t="s">
        <v>229</v>
      </c>
      <c r="G197" s="211" t="s">
        <v>157</v>
      </c>
      <c r="H197" s="211">
        <v>3</v>
      </c>
      <c r="I197" s="323">
        <v>3</v>
      </c>
      <c r="J197" s="323">
        <v>3</v>
      </c>
      <c r="K197" s="288">
        <v>1</v>
      </c>
      <c r="L197" s="211" t="s">
        <v>3019</v>
      </c>
      <c r="M197" s="211" t="b">
        <v>0</v>
      </c>
      <c r="O197" s="209" t="s">
        <v>2832</v>
      </c>
      <c r="P197" s="211" t="s">
        <v>159</v>
      </c>
      <c r="Q197" s="211" t="s">
        <v>160</v>
      </c>
      <c r="T197" s="236"/>
      <c r="U197" s="236"/>
      <c r="AE197" s="236"/>
      <c r="AF197" s="236"/>
      <c r="AG197" s="236"/>
      <c r="AH197" s="236"/>
      <c r="AI197" s="236"/>
      <c r="AJ197" s="236"/>
      <c r="AK197" s="242"/>
      <c r="AL197" s="242"/>
      <c r="AM197" s="242"/>
      <c r="AN197" s="242"/>
      <c r="AO197" s="242"/>
      <c r="AP197" s="242"/>
      <c r="AQ197" s="242"/>
      <c r="AR197" s="242"/>
      <c r="AS197" s="242"/>
      <c r="BI197" s="240"/>
      <c r="BU197" s="236"/>
      <c r="CA197" s="274"/>
      <c r="CB197" s="209"/>
      <c r="CC197" s="209"/>
      <c r="CD197" s="209"/>
      <c r="CE197" s="209"/>
      <c r="CF197" s="209"/>
      <c r="CG197" s="209"/>
      <c r="CO197" s="211" t="s">
        <v>190</v>
      </c>
      <c r="CP197" s="211" t="s">
        <v>143</v>
      </c>
      <c r="CQ197" s="211" t="s">
        <v>226</v>
      </c>
      <c r="CR197" s="211" t="s">
        <v>227</v>
      </c>
      <c r="CS197" s="211" t="s">
        <v>3019</v>
      </c>
      <c r="CT197" s="211" t="s">
        <v>226</v>
      </c>
      <c r="CU197" s="211" t="str">
        <f t="shared" si="133"/>
        <v>N/A</v>
      </c>
      <c r="CV197" s="211" t="str">
        <f t="shared" si="134"/>
        <v>N/A</v>
      </c>
      <c r="CW197" s="211" t="str">
        <f t="shared" si="135"/>
        <v>N/A</v>
      </c>
      <c r="CX197" s="211" t="str">
        <f t="shared" si="136"/>
        <v>N/A</v>
      </c>
      <c r="CY197" s="211" t="str">
        <f t="shared" si="137"/>
        <v>N/A</v>
      </c>
      <c r="CZ197" s="211" t="str">
        <f t="shared" si="138"/>
        <v xml:space="preserve">​Se realizaron las 3 actividades programadas durante el 2do trimestre de la vigencia, las cuales corresponden a la elaboración de informes de seguimiento a la ejecución presupuestal (mensual): 
Cierre Abril:
*Se realizó mesa de trabajo el 8 de mayo de 2025 con todas las dependencias, en el marco del seguimiento a la ejecución presupuestal y la socialización por parte de la Dirección Financiera y la Secretaría General. El objetivo de esta sesión fue abordar los siguientes temas:
1.Informar la Ejecución Presupuestal de la entidad y de las dependencias al 30 de Abril 2025
2.Informar la Ejecución de Tiquetes aéreos al 30 de Abril 2025
3.Reservas Presupuestales al 31 de Diciembre de 2024 (Ejecutadas en 2025)
4.Lineamientos frente a trámites presupuestales
Cierre Mayo:
*Se envió el 5 de junio de 2025 a través de correo electrónico institucional el Informe de la Ejecución Presupuestal a cada una de las Dependencias junto con los saldos de RP al corte de mayo de 2025.
*Se realizó Mesa de trabajo el 11 de junio de 2025 con los enlaces de las dependencias que tienen asignado recursos de funcionamiento e inversión en la vigencia 2025 abordar los siguientes temas:
1.Informar la Ejecución Presupuestal de la entidad y de las dependencias al 31 de Mayo 2025
2.Informar la Ejecución de Tiquetes aéreos al 31 de Mayo 2025
3.Reservas Presupuestales al 31 de Diciembre de 2024 (Ejecutadas en 2025)
4.Lineamientos frente a trámites presupuestales
Reunión que quedó soportada con acta GE-11584 yse envió correo al Director Financiero y a la Asesora de la Secretaría General del compromiso adquirido en dicha reunión.
Cierre Junio:
*Se envió el 4 y el 7 de julio de 2025 a través de correo electrónico institucional el Informe de la Ejecución Presupuestal a cada una de las Dependencias junto con los saldos de RP al corte de junio de 2025.
*Se realizó Mesa de trabajo el 8 de julio de 2025 con los enlaces de las dependencias que tienen asignado recursos de funcionamiento e inversión en la vigencia 2025 abordar los siguientes temas:
1. Informar la Ejecución Presupuestal de la entidad y de las dependencias al 30 de junio 2025
2. Informar la Ejecución de Tiquetes aéreos al 30 de junio 2025
3. Reservas Presupuestales al 31 de diciembre de 2024 (Ejecutadas en 2025)
4. Lineamientos frente a trámites presupuestales
De la mesa de trabajo se generó el acta GE-11667 del 8 de julio de 2025 por ITS Gestión, aplicativo de la entidad.
Es importante informar a las áreas sobre la ejecución presupuestal para que la corroboren contra el control que maneja cada uno de los enlaces y aclarar todas las dudas que puedan presentar sobre los trámites presupuestales.
</v>
      </c>
      <c r="DA197" s="211" t="str">
        <f t="shared" si="139"/>
        <v>N/A</v>
      </c>
      <c r="DB197" s="211" t="str">
        <f t="shared" si="140"/>
        <v>N/A</v>
      </c>
      <c r="DC197" s="211" t="str">
        <f t="shared" si="141"/>
        <v>N/A</v>
      </c>
      <c r="DD197" s="211" t="str">
        <f t="shared" si="142"/>
        <v>N/A</v>
      </c>
      <c r="DE197" s="211" t="str">
        <f t="shared" si="143"/>
        <v>N/A</v>
      </c>
      <c r="DF197" s="211" t="str">
        <f t="shared" si="144"/>
        <v>N/A</v>
      </c>
    </row>
    <row r="198" spans="1:110" s="211" customFormat="1" ht="64.5" customHeight="1">
      <c r="A198" s="348" t="s">
        <v>190</v>
      </c>
      <c r="B198" s="211" t="s">
        <v>143</v>
      </c>
      <c r="C198" s="211" t="s">
        <v>231</v>
      </c>
      <c r="D198" s="211" t="s">
        <v>232</v>
      </c>
      <c r="E198" s="211" t="s">
        <v>233</v>
      </c>
      <c r="F198" s="348" t="s">
        <v>234</v>
      </c>
      <c r="G198" s="211" t="s">
        <v>178</v>
      </c>
      <c r="H198" s="211">
        <v>0.4</v>
      </c>
      <c r="I198" s="436">
        <v>149357146852</v>
      </c>
      <c r="J198" s="436">
        <v>326211744691</v>
      </c>
      <c r="K198" s="288">
        <v>0.4578533706488</v>
      </c>
      <c r="L198" s="211" t="s">
        <v>3020</v>
      </c>
      <c r="M198" s="211" t="b">
        <v>0</v>
      </c>
      <c r="O198" s="209" t="s">
        <v>2832</v>
      </c>
      <c r="P198" s="211" t="s">
        <v>159</v>
      </c>
      <c r="Q198" s="211" t="s">
        <v>160</v>
      </c>
      <c r="T198" s="236"/>
      <c r="U198" s="236"/>
      <c r="AE198" s="236"/>
      <c r="AF198" s="236"/>
      <c r="AG198" s="236"/>
      <c r="AH198" s="236"/>
      <c r="AI198" s="236"/>
      <c r="AJ198" s="236"/>
      <c r="AK198" s="242"/>
      <c r="AL198" s="242"/>
      <c r="AM198" s="242"/>
      <c r="AN198" s="242"/>
      <c r="AO198" s="242"/>
      <c r="AP198" s="242"/>
      <c r="AQ198" s="242"/>
      <c r="AR198" s="242"/>
      <c r="AS198" s="242"/>
      <c r="BI198" s="240"/>
      <c r="BU198" s="236"/>
      <c r="CA198" s="274"/>
      <c r="CB198" s="209"/>
      <c r="CC198" s="209"/>
      <c r="CD198" s="209"/>
      <c r="CE198" s="209"/>
      <c r="CF198" s="209"/>
      <c r="CG198" s="209"/>
      <c r="CO198" s="211" t="s">
        <v>190</v>
      </c>
      <c r="CP198" s="211" t="s">
        <v>143</v>
      </c>
      <c r="CQ198" s="211" t="s">
        <v>231</v>
      </c>
      <c r="CR198" s="211" t="s">
        <v>232</v>
      </c>
      <c r="CS198" s="211" t="s">
        <v>3020</v>
      </c>
      <c r="CT198" s="211" t="s">
        <v>231</v>
      </c>
      <c r="CU198" s="211" t="str">
        <f t="shared" si="133"/>
        <v>N/A</v>
      </c>
      <c r="CV198" s="211" t="str">
        <f t="shared" si="134"/>
        <v>N/A</v>
      </c>
      <c r="CW198" s="211" t="str">
        <f t="shared" si="135"/>
        <v>N/A</v>
      </c>
      <c r="CX198" s="211" t="str">
        <f t="shared" si="136"/>
        <v>N/A</v>
      </c>
      <c r="CY198" s="211" t="str">
        <f t="shared" si="137"/>
        <v>N/A</v>
      </c>
      <c r="CZ198" s="211" t="str">
        <f t="shared" si="138"/>
        <v xml:space="preserve">​La apropiación asignada a la Superintendencia Nacional de Salud (SNS) para la vigencia 2025 ascendió a $326.211.744.691. De este total, se ejecutaron compromisos por la suma de $149.357.146.852,02, lo que representa el 45,8% de la apropiación. Este resultado es mayor al 40% al programado en los indicadores de gestión, significa que se cumple a satisfacción el indicador.
En cuanto a la ejecución presupuestal de los recursos de funcionamiento e inversión, se presenta lo siguiente:
• Recursos de funcionamiento: $104.612.787.030,32, lo que representa el 43,8% de la apropiación vigente de $239.012.900.000.
• Recursos de inversión: $44.744.359.821,7, equivalente al 51,3% de la apropiación vigente de $87.198.844.691
Es importante resaltar que la ejecución por obligaciones alcanzó los $98.787.131.396,37 lo que representa el 30,3%, y la ejecución por pagos fue de $98.773.344.767,1 equivalente al 30,3%.
</v>
      </c>
      <c r="DA198" s="211" t="str">
        <f t="shared" si="139"/>
        <v>N/A</v>
      </c>
      <c r="DB198" s="211" t="str">
        <f t="shared" si="140"/>
        <v>N/A</v>
      </c>
      <c r="DC198" s="211" t="str">
        <f t="shared" si="141"/>
        <v>N/A</v>
      </c>
      <c r="DD198" s="211" t="str">
        <f t="shared" si="142"/>
        <v>N/A</v>
      </c>
      <c r="DE198" s="211" t="str">
        <f t="shared" si="143"/>
        <v>N/A</v>
      </c>
      <c r="DF198" s="211" t="str">
        <f t="shared" si="144"/>
        <v>N/A</v>
      </c>
    </row>
    <row r="199" spans="1:110" s="211" customFormat="1" ht="64.5" customHeight="1">
      <c r="A199" s="348" t="s">
        <v>190</v>
      </c>
      <c r="B199" s="211" t="s">
        <v>143</v>
      </c>
      <c r="C199" s="211" t="s">
        <v>216</v>
      </c>
      <c r="D199" s="211" t="s">
        <v>217</v>
      </c>
      <c r="E199" s="211" t="s">
        <v>218</v>
      </c>
      <c r="F199" s="348" t="s">
        <v>219</v>
      </c>
      <c r="G199" s="211" t="s">
        <v>178</v>
      </c>
      <c r="H199" s="211">
        <v>1</v>
      </c>
      <c r="I199" s="323">
        <v>423</v>
      </c>
      <c r="J199" s="323">
        <v>423</v>
      </c>
      <c r="K199" s="288">
        <v>1</v>
      </c>
      <c r="L199" s="211" t="s">
        <v>742</v>
      </c>
      <c r="M199" s="211" t="b">
        <v>0</v>
      </c>
      <c r="O199" s="209" t="s">
        <v>2832</v>
      </c>
      <c r="P199" s="211" t="s">
        <v>159</v>
      </c>
      <c r="Q199" s="211" t="s">
        <v>160</v>
      </c>
      <c r="T199" s="236"/>
      <c r="U199" s="236"/>
      <c r="AE199" s="236"/>
      <c r="AF199" s="236"/>
      <c r="AG199" s="236"/>
      <c r="AH199" s="236"/>
      <c r="AI199" s="236"/>
      <c r="AJ199" s="236"/>
      <c r="AK199" s="242"/>
      <c r="AL199" s="242"/>
      <c r="AM199" s="242"/>
      <c r="AN199" s="242"/>
      <c r="AO199" s="242"/>
      <c r="AP199" s="242"/>
      <c r="AQ199" s="242"/>
      <c r="AR199" s="242"/>
      <c r="AS199" s="242"/>
      <c r="BI199" s="240"/>
      <c r="BU199" s="236"/>
      <c r="CA199" s="274"/>
      <c r="CB199" s="209"/>
      <c r="CC199" s="209"/>
      <c r="CD199" s="209"/>
      <c r="CE199" s="209"/>
      <c r="CF199" s="209"/>
      <c r="CG199" s="209"/>
      <c r="CO199" s="211" t="s">
        <v>190</v>
      </c>
      <c r="CP199" s="211" t="s">
        <v>143</v>
      </c>
      <c r="CQ199" s="211" t="s">
        <v>216</v>
      </c>
      <c r="CR199" s="211" t="s">
        <v>217</v>
      </c>
      <c r="CS199" s="211" t="s">
        <v>742</v>
      </c>
      <c r="CT199" s="211" t="s">
        <v>216</v>
      </c>
      <c r="CU199" s="211" t="str">
        <f t="shared" si="133"/>
        <v>N/A</v>
      </c>
      <c r="CV199" s="211" t="str">
        <f t="shared" si="134"/>
        <v>N/A</v>
      </c>
      <c r="CW199" s="211" t="str">
        <f t="shared" si="135"/>
        <v>N/A</v>
      </c>
      <c r="CX199" s="211" t="str">
        <f t="shared" si="136"/>
        <v>N/A</v>
      </c>
      <c r="CY199" s="211" t="str">
        <f t="shared" si="137"/>
        <v>N/A</v>
      </c>
      <c r="CZ199" s="211" t="str">
        <f t="shared" si="138"/>
        <v xml:space="preserve">​Durante el mes de Junio, se gestionaron  423  cuentas que fueron radicadas en los tiempos estipulados de acuerdo con la Circular Interna 2022920020000026-4 de 2022,asi mismo, los documentos radicados despues del dia 25 calendario se tramitaron en el siguiente mes. Por lo cual, se cumplió con la meta del indicador del 100%, (423/423) habiendo gestionado la totalidad de las cuentas radicadas con un tiempo de gestión de 2,6 dias hábiles. Se adjunta base con relación de cuentas radicadas y gestionadas, asi como el reporte del indicador con la correspondiente gráfica.
</v>
      </c>
      <c r="DA199" s="211" t="str">
        <f t="shared" si="139"/>
        <v>N/A</v>
      </c>
      <c r="DB199" s="211" t="str">
        <f t="shared" si="140"/>
        <v>N/A</v>
      </c>
      <c r="DC199" s="211" t="str">
        <f t="shared" si="141"/>
        <v>N/A</v>
      </c>
      <c r="DD199" s="211" t="str">
        <f t="shared" si="142"/>
        <v>N/A</v>
      </c>
      <c r="DE199" s="211" t="str">
        <f t="shared" si="143"/>
        <v>N/A</v>
      </c>
      <c r="DF199" s="211" t="str">
        <f t="shared" si="144"/>
        <v>N/A</v>
      </c>
    </row>
    <row r="200" spans="1:110" s="211" customFormat="1" ht="64.5" customHeight="1">
      <c r="A200" s="348" t="s">
        <v>190</v>
      </c>
      <c r="B200" s="211" t="s">
        <v>143</v>
      </c>
      <c r="C200" s="211" t="s">
        <v>453</v>
      </c>
      <c r="D200" s="211" t="s">
        <v>751</v>
      </c>
      <c r="E200" s="211" t="s">
        <v>752</v>
      </c>
      <c r="F200" s="348" t="s">
        <v>753</v>
      </c>
      <c r="G200" s="211" t="s">
        <v>178</v>
      </c>
      <c r="H200" s="211">
        <v>0.05</v>
      </c>
      <c r="I200" s="436">
        <v>12912549248</v>
      </c>
      <c r="J200" s="436">
        <v>26161920186</v>
      </c>
      <c r="K200" s="288">
        <v>0.49356274907183101</v>
      </c>
      <c r="L200" s="211" t="s">
        <v>754</v>
      </c>
      <c r="M200" s="211" t="b">
        <v>0</v>
      </c>
      <c r="O200" s="209" t="s">
        <v>2832</v>
      </c>
      <c r="P200" s="211" t="s">
        <v>159</v>
      </c>
      <c r="Q200" s="211" t="s">
        <v>160</v>
      </c>
      <c r="T200" s="236"/>
      <c r="U200" s="236"/>
      <c r="AE200" s="236"/>
      <c r="AF200" s="236"/>
      <c r="AG200" s="236"/>
      <c r="AH200" s="236"/>
      <c r="AI200" s="236"/>
      <c r="AJ200" s="236"/>
      <c r="AK200" s="242"/>
      <c r="AL200" s="242"/>
      <c r="AM200" s="242"/>
      <c r="AN200" s="242"/>
      <c r="AO200" s="242"/>
      <c r="AP200" s="242"/>
      <c r="AQ200" s="242"/>
      <c r="AR200" s="242"/>
      <c r="AS200" s="242"/>
      <c r="BI200" s="240"/>
      <c r="BU200" s="236"/>
      <c r="CA200" s="274"/>
      <c r="CB200" s="209"/>
      <c r="CC200" s="209"/>
      <c r="CD200" s="209"/>
      <c r="CE200" s="209"/>
      <c r="CF200" s="209"/>
      <c r="CG200" s="209"/>
      <c r="CO200" s="211" t="s">
        <v>190</v>
      </c>
      <c r="CP200" s="211" t="s">
        <v>143</v>
      </c>
      <c r="CQ200" s="211" t="s">
        <v>453</v>
      </c>
      <c r="CR200" s="211" t="s">
        <v>751</v>
      </c>
      <c r="CS200" s="211" t="s">
        <v>754</v>
      </c>
      <c r="CT200" s="211" t="s">
        <v>453</v>
      </c>
      <c r="CU200" s="211" t="str">
        <f t="shared" si="133"/>
        <v>N/A</v>
      </c>
      <c r="CV200" s="211" t="str">
        <f t="shared" si="134"/>
        <v>N/A</v>
      </c>
      <c r="CW200" s="211" t="str">
        <f t="shared" si="135"/>
        <v>N/A</v>
      </c>
      <c r="CX200" s="211" t="str">
        <f t="shared" si="136"/>
        <v>N/A</v>
      </c>
      <c r="CY200" s="211" t="str">
        <f t="shared" si="137"/>
        <v>N/A</v>
      </c>
      <c r="CZ200" s="211" t="str">
        <f t="shared" si="138"/>
        <v xml:space="preserve">​El Grupo de Cobro Persuasivo reporta el avance del recaudo hasta el mes de mayo de 2025 dado que  por los cierres financieros el archivo de recaudo lo envían los primeros 10 días hábiles del mes, y al reportarse el indicador PAG el 8 de julio, aún NO se tiene el mencionado informe. (Se anexa el detalle del recaudo hasta el mes de mayo) . Es importante aclarar que, de acuerdo con la formulación actual del  indicador la meta para la vigencia 2025 es igual a = $26.161.920.186, equivalente al 20% del valor total de cartera clasificada como cobrable con corte al cierre de la vigencia 2024 ($130.809.600.838)  y su proyección de metas durante la vigencia 2025, Junio 5% y Diciembre 15%, tomando como el 100% el valor de la meta $26.161.920.186 corresponden en realidad a proyección de metas Junio 25% ($ 6.540.480.042) y Diciembre 75% ($19.621.440.126). Por lo cual, durante este primer reporte, se ha superado la meta establecida, dado el resultado de $12.912.549.248, equivalente al 49,35% a corte del mes de Mayo.  Nota: Se debe realizar modificación en la fórmula del indicador, en el cual, se refleje como numerador el valor de recaudo del periodo / valor de recaudo establecido como meta, reflejando el avance.
</v>
      </c>
      <c r="DA200" s="211" t="str">
        <f t="shared" si="139"/>
        <v>N/A</v>
      </c>
      <c r="DB200" s="211" t="str">
        <f t="shared" si="140"/>
        <v>N/A</v>
      </c>
      <c r="DC200" s="211" t="str">
        <f t="shared" si="141"/>
        <v>N/A</v>
      </c>
      <c r="DD200" s="211" t="str">
        <f t="shared" si="142"/>
        <v>N/A</v>
      </c>
      <c r="DE200" s="211" t="str">
        <f t="shared" si="143"/>
        <v>N/A</v>
      </c>
      <c r="DF200" s="211" t="str">
        <f t="shared" si="144"/>
        <v>N/A</v>
      </c>
    </row>
    <row r="201" spans="1:110" s="211" customFormat="1" ht="64.5" customHeight="1">
      <c r="A201" s="348" t="s">
        <v>190</v>
      </c>
      <c r="B201" s="211" t="s">
        <v>143</v>
      </c>
      <c r="C201" s="211" t="s">
        <v>480</v>
      </c>
      <c r="D201" s="211" t="s">
        <v>481</v>
      </c>
      <c r="E201" s="211" t="s">
        <v>482</v>
      </c>
      <c r="F201" s="348" t="s">
        <v>483</v>
      </c>
      <c r="G201" s="211" t="s">
        <v>178</v>
      </c>
      <c r="H201" s="211">
        <v>19</v>
      </c>
      <c r="I201" s="323">
        <v>19</v>
      </c>
      <c r="J201" s="323">
        <v>19</v>
      </c>
      <c r="K201" s="288">
        <v>1</v>
      </c>
      <c r="L201" s="211" t="s">
        <v>765</v>
      </c>
      <c r="M201" s="211" t="b">
        <v>1</v>
      </c>
      <c r="N201" s="211" t="s">
        <v>766</v>
      </c>
      <c r="O201" s="209" t="s">
        <v>2832</v>
      </c>
      <c r="P201" s="211" t="s">
        <v>159</v>
      </c>
      <c r="Q201" s="211" t="s">
        <v>160</v>
      </c>
      <c r="T201" s="236"/>
      <c r="U201" s="236"/>
      <c r="AE201" s="236"/>
      <c r="AF201" s="236"/>
      <c r="AG201" s="236"/>
      <c r="AH201" s="236"/>
      <c r="AI201" s="236"/>
      <c r="AJ201" s="236"/>
      <c r="AK201" s="242"/>
      <c r="AL201" s="242"/>
      <c r="AM201" s="242"/>
      <c r="AN201" s="242"/>
      <c r="AO201" s="242"/>
      <c r="AP201" s="242"/>
      <c r="AQ201" s="242"/>
      <c r="AR201" s="242"/>
      <c r="AS201" s="242"/>
      <c r="BI201" s="240"/>
      <c r="BU201" s="236"/>
      <c r="CA201" s="274"/>
      <c r="CB201" s="209"/>
      <c r="CC201" s="209"/>
      <c r="CD201" s="209"/>
      <c r="CE201" s="209"/>
      <c r="CF201" s="209"/>
      <c r="CG201" s="209"/>
      <c r="CO201" s="211" t="s">
        <v>190</v>
      </c>
      <c r="CP201" s="211" t="s">
        <v>143</v>
      </c>
      <c r="CQ201" s="211" t="s">
        <v>480</v>
      </c>
      <c r="CR201" s="211" t="s">
        <v>481</v>
      </c>
      <c r="CS201" s="211" t="s">
        <v>765</v>
      </c>
      <c r="CT201" s="211" t="s">
        <v>480</v>
      </c>
      <c r="CU201" s="211" t="str">
        <f t="shared" si="133"/>
        <v>N/A</v>
      </c>
      <c r="CV201" s="211" t="str">
        <f t="shared" si="134"/>
        <v>N/A</v>
      </c>
      <c r="CW201" s="211" t="str">
        <f t="shared" si="135"/>
        <v>N/A</v>
      </c>
      <c r="CX201" s="211" t="str">
        <f t="shared" si="136"/>
        <v>N/A</v>
      </c>
      <c r="CY201" s="211" t="str">
        <f t="shared" si="137"/>
        <v>N/A</v>
      </c>
      <c r="CZ201" s="211" t="str">
        <f t="shared" si="138"/>
        <v xml:space="preserve">​Para el segundo trimestre de la vigencia se consiguió un porcentaje de cumplimiento de 100% de las actividades programadas para el período, para un porcentaje acumulado del 100% del total de las actividades programadas para la vigencia en la actividad Formular, ejecutar y evaluar el Plan Estratégico de Talento Humano-PETH basado en la Implementación de la Política de Talento Humano -MIPG y el Modelo Integral de Gestión de Personas. (Plan anual de vacantes, Plan de Previsión de Recursos Humanos, Plan institucional de Capacitación, Plan de Bienestar social, Estímulos e Incentivos, Plan Anual de Trabajo de Seguridad y Salud en el Trabajo)
</v>
      </c>
      <c r="DA201" s="211" t="str">
        <f t="shared" si="139"/>
        <v>N/A</v>
      </c>
      <c r="DB201" s="211" t="str">
        <f t="shared" si="140"/>
        <v>N/A</v>
      </c>
      <c r="DC201" s="211" t="str">
        <f t="shared" si="141"/>
        <v>N/A</v>
      </c>
      <c r="DD201" s="211" t="str">
        <f t="shared" si="142"/>
        <v>N/A</v>
      </c>
      <c r="DE201" s="211" t="str">
        <f t="shared" si="143"/>
        <v>N/A</v>
      </c>
      <c r="DF201" s="211" t="str">
        <f t="shared" si="144"/>
        <v>N/A</v>
      </c>
    </row>
    <row r="202" spans="1:110" s="211" customFormat="1" ht="64.5" customHeight="1">
      <c r="A202" s="348" t="s">
        <v>190</v>
      </c>
      <c r="B202" s="211" t="s">
        <v>143</v>
      </c>
      <c r="C202" s="211" t="s">
        <v>486</v>
      </c>
      <c r="D202" s="211" t="s">
        <v>487</v>
      </c>
      <c r="E202" s="211" t="s">
        <v>488</v>
      </c>
      <c r="F202" s="348" t="s">
        <v>489</v>
      </c>
      <c r="G202" s="211" t="s">
        <v>178</v>
      </c>
      <c r="H202" s="211">
        <v>1</v>
      </c>
      <c r="I202" s="323">
        <v>1</v>
      </c>
      <c r="J202" s="323">
        <v>1</v>
      </c>
      <c r="K202" s="288">
        <v>1</v>
      </c>
      <c r="L202" s="211" t="s">
        <v>2824</v>
      </c>
      <c r="M202" s="211" t="b">
        <v>1</v>
      </c>
      <c r="N202" s="211" t="s">
        <v>2825</v>
      </c>
      <c r="O202" s="209" t="s">
        <v>2832</v>
      </c>
      <c r="P202" s="211" t="s">
        <v>159</v>
      </c>
      <c r="Q202" s="211" t="s">
        <v>160</v>
      </c>
      <c r="T202" s="236"/>
      <c r="U202" s="236"/>
      <c r="AE202" s="236"/>
      <c r="AF202" s="236"/>
      <c r="AG202" s="236"/>
      <c r="AH202" s="236"/>
      <c r="AI202" s="236"/>
      <c r="AJ202" s="236"/>
      <c r="AK202" s="242"/>
      <c r="AL202" s="242"/>
      <c r="AM202" s="242"/>
      <c r="AN202" s="242"/>
      <c r="AO202" s="242"/>
      <c r="AP202" s="242"/>
      <c r="AQ202" s="242"/>
      <c r="AR202" s="242"/>
      <c r="AS202" s="242"/>
      <c r="BA202" s="209"/>
      <c r="BB202" s="209"/>
      <c r="BC202" s="209"/>
      <c r="BD202" s="209"/>
      <c r="BE202" s="209"/>
      <c r="BF202" s="209"/>
      <c r="BG202" s="209"/>
      <c r="BH202" s="209"/>
      <c r="BI202" s="240"/>
      <c r="BJ202" s="209"/>
      <c r="BK202" s="209"/>
      <c r="BL202" s="209"/>
      <c r="BM202" s="209"/>
      <c r="BN202" s="209"/>
      <c r="BO202" s="209"/>
      <c r="BP202" s="209"/>
      <c r="BQ202" s="209"/>
      <c r="BR202" s="209"/>
      <c r="BS202" s="209"/>
      <c r="BT202" s="209"/>
      <c r="BU202" s="236"/>
      <c r="BV202" s="209"/>
      <c r="BW202" s="209"/>
      <c r="BX202" s="209"/>
      <c r="BY202" s="209"/>
      <c r="BZ202" s="209"/>
      <c r="CA202" s="274"/>
      <c r="CB202" s="209"/>
      <c r="CC202" s="209"/>
      <c r="CD202" s="209"/>
      <c r="CE202" s="209"/>
      <c r="CF202" s="209"/>
      <c r="CG202" s="209"/>
      <c r="CO202" s="211" t="s">
        <v>190</v>
      </c>
      <c r="CP202" s="211" t="s">
        <v>143</v>
      </c>
      <c r="CQ202" s="211" t="s">
        <v>486</v>
      </c>
      <c r="CR202" s="211" t="s">
        <v>487</v>
      </c>
      <c r="CS202" s="211" t="s">
        <v>2824</v>
      </c>
      <c r="CT202" s="211" t="s">
        <v>486</v>
      </c>
      <c r="CU202" s="211" t="str">
        <f t="shared" si="133"/>
        <v>N/A</v>
      </c>
      <c r="CV202" s="211" t="str">
        <f t="shared" si="134"/>
        <v>N/A</v>
      </c>
      <c r="CW202" s="211" t="str">
        <f t="shared" si="135"/>
        <v>N/A</v>
      </c>
      <c r="CX202" s="211" t="str">
        <f t="shared" si="136"/>
        <v>N/A</v>
      </c>
      <c r="CY202" s="211" t="str">
        <f t="shared" si="137"/>
        <v>N/A</v>
      </c>
      <c r="CZ202" s="211" t="str">
        <f t="shared" si="138"/>
        <v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institucional de capacitación (Componente de Gestión del Desarrollo)
</v>
      </c>
      <c r="DA202" s="211" t="str">
        <f t="shared" si="139"/>
        <v>N/A</v>
      </c>
      <c r="DB202" s="211" t="str">
        <f t="shared" si="140"/>
        <v>N/A</v>
      </c>
      <c r="DC202" s="211" t="str">
        <f t="shared" si="141"/>
        <v>N/A</v>
      </c>
      <c r="DD202" s="211" t="str">
        <f t="shared" si="142"/>
        <v>N/A</v>
      </c>
      <c r="DE202" s="211" t="str">
        <f t="shared" si="143"/>
        <v>N/A</v>
      </c>
      <c r="DF202" s="211" t="str">
        <f t="shared" si="144"/>
        <v>N/A</v>
      </c>
    </row>
    <row r="203" spans="1:110" s="211" customFormat="1" ht="64.5" customHeight="1">
      <c r="A203" s="348" t="s">
        <v>190</v>
      </c>
      <c r="B203" s="211" t="s">
        <v>143</v>
      </c>
      <c r="C203" s="211" t="s">
        <v>492</v>
      </c>
      <c r="D203" s="211" t="s">
        <v>493</v>
      </c>
      <c r="E203" s="211" t="s">
        <v>494</v>
      </c>
      <c r="F203" s="348" t="s">
        <v>495</v>
      </c>
      <c r="G203" s="211" t="s">
        <v>178</v>
      </c>
      <c r="H203" s="211">
        <v>28</v>
      </c>
      <c r="I203" s="323">
        <v>27</v>
      </c>
      <c r="J203" s="323">
        <v>27</v>
      </c>
      <c r="K203" s="288">
        <v>1</v>
      </c>
      <c r="L203" s="211" t="s">
        <v>767</v>
      </c>
      <c r="M203" s="211" t="b">
        <v>1</v>
      </c>
      <c r="N203" s="211" t="s">
        <v>768</v>
      </c>
      <c r="O203" s="209" t="s">
        <v>2832</v>
      </c>
      <c r="P203" s="211" t="s">
        <v>159</v>
      </c>
      <c r="Q203" s="211" t="s">
        <v>160</v>
      </c>
      <c r="T203" s="236"/>
      <c r="U203" s="236"/>
      <c r="AE203" s="236"/>
      <c r="AF203" s="236"/>
      <c r="AG203" s="236"/>
      <c r="AH203" s="236"/>
      <c r="AI203" s="236"/>
      <c r="AJ203" s="236"/>
      <c r="AK203" s="242"/>
      <c r="AL203" s="242"/>
      <c r="AM203" s="242"/>
      <c r="AN203" s="242"/>
      <c r="AO203" s="242"/>
      <c r="AP203" s="242"/>
      <c r="AQ203" s="242"/>
      <c r="AR203" s="242"/>
      <c r="AS203" s="242"/>
      <c r="BA203" s="209"/>
      <c r="BB203" s="209"/>
      <c r="BC203" s="209"/>
      <c r="BD203" s="209"/>
      <c r="BE203" s="209"/>
      <c r="BF203" s="209"/>
      <c r="BG203" s="209"/>
      <c r="BH203" s="209"/>
      <c r="BI203" s="240"/>
      <c r="BJ203" s="209"/>
      <c r="BK203" s="209"/>
      <c r="BL203" s="209"/>
      <c r="BM203" s="209"/>
      <c r="BN203" s="209"/>
      <c r="BO203" s="209"/>
      <c r="BP203" s="209"/>
      <c r="BQ203" s="209"/>
      <c r="BR203" s="209"/>
      <c r="BS203" s="209"/>
      <c r="BT203" s="209"/>
      <c r="BU203" s="236"/>
      <c r="BV203" s="209"/>
      <c r="BW203" s="209"/>
      <c r="BX203" s="209"/>
      <c r="BY203" s="209"/>
      <c r="BZ203" s="209"/>
      <c r="CA203" s="274"/>
      <c r="CB203" s="209"/>
      <c r="CC203" s="209"/>
      <c r="CD203" s="209"/>
      <c r="CE203" s="209"/>
      <c r="CF203" s="209"/>
      <c r="CG203" s="209"/>
      <c r="CO203" s="211" t="s">
        <v>190</v>
      </c>
      <c r="CP203" s="211" t="s">
        <v>143</v>
      </c>
      <c r="CQ203" s="211" t="s">
        <v>492</v>
      </c>
      <c r="CR203" s="211" t="s">
        <v>493</v>
      </c>
      <c r="CS203" s="211" t="s">
        <v>767</v>
      </c>
      <c r="CT203" s="211" t="s">
        <v>492</v>
      </c>
      <c r="CU203" s="211" t="str">
        <f t="shared" si="133"/>
        <v>N/A</v>
      </c>
      <c r="CV203" s="211" t="str">
        <f t="shared" si="134"/>
        <v>N/A</v>
      </c>
      <c r="CW203" s="211" t="str">
        <f t="shared" si="135"/>
        <v>N/A</v>
      </c>
      <c r="CX203" s="211" t="str">
        <f t="shared" si="136"/>
        <v>N/A</v>
      </c>
      <c r="CY203" s="211" t="str">
        <f t="shared" si="137"/>
        <v>N/A</v>
      </c>
      <c r="CZ203" s="211" t="str">
        <f t="shared" si="138"/>
        <v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de bienestar social y estímulos (Componente Gestión de la Relaciones Humanas)
</v>
      </c>
      <c r="DA203" s="211" t="str">
        <f t="shared" si="139"/>
        <v>N/A</v>
      </c>
      <c r="DB203" s="211" t="str">
        <f t="shared" si="140"/>
        <v>N/A</v>
      </c>
      <c r="DC203" s="211" t="str">
        <f t="shared" si="141"/>
        <v>N/A</v>
      </c>
      <c r="DD203" s="211" t="str">
        <f t="shared" si="142"/>
        <v>N/A</v>
      </c>
      <c r="DE203" s="211" t="str">
        <f t="shared" si="143"/>
        <v>N/A</v>
      </c>
      <c r="DF203" s="211" t="str">
        <f t="shared" si="144"/>
        <v>N/A</v>
      </c>
    </row>
    <row r="204" spans="1:110" ht="64.5" customHeight="1">
      <c r="A204" s="349" t="s">
        <v>190</v>
      </c>
      <c r="B204" s="209" t="s">
        <v>143</v>
      </c>
      <c r="C204" s="209" t="s">
        <v>498</v>
      </c>
      <c r="D204" s="209" t="s">
        <v>499</v>
      </c>
      <c r="E204" s="209" t="s">
        <v>500</v>
      </c>
      <c r="F204" s="349" t="s">
        <v>501</v>
      </c>
      <c r="G204" s="209" t="s">
        <v>178</v>
      </c>
      <c r="H204" s="211">
        <v>18</v>
      </c>
      <c r="I204" s="323">
        <v>18</v>
      </c>
      <c r="J204" s="323">
        <v>18</v>
      </c>
      <c r="K204" s="288">
        <v>1</v>
      </c>
      <c r="L204" s="209" t="s">
        <v>769</v>
      </c>
      <c r="M204" s="209" t="b">
        <v>1</v>
      </c>
      <c r="N204" s="209" t="s">
        <v>770</v>
      </c>
      <c r="O204" s="209" t="s">
        <v>2832</v>
      </c>
      <c r="P204" s="209" t="s">
        <v>159</v>
      </c>
      <c r="Q204" s="269" t="s">
        <v>160</v>
      </c>
      <c r="U204" s="269"/>
      <c r="AE204" s="269"/>
      <c r="AF204" s="269"/>
      <c r="AG204" s="269"/>
      <c r="AH204" s="269"/>
      <c r="AI204" s="269"/>
      <c r="AJ204" s="269"/>
      <c r="AK204" s="270"/>
      <c r="AL204" s="270"/>
      <c r="AM204" s="270"/>
      <c r="AN204" s="270"/>
      <c r="AO204" s="270"/>
      <c r="AP204" s="270"/>
      <c r="AQ204" s="270"/>
      <c r="AR204" s="270"/>
      <c r="AS204" s="270"/>
      <c r="BI204" s="240"/>
      <c r="BU204" s="236"/>
      <c r="CO204" s="209" t="s">
        <v>190</v>
      </c>
      <c r="CP204" s="209" t="s">
        <v>143</v>
      </c>
      <c r="CQ204" s="209" t="s">
        <v>498</v>
      </c>
      <c r="CR204" s="209" t="s">
        <v>499</v>
      </c>
      <c r="CS204" s="209" t="s">
        <v>769</v>
      </c>
      <c r="CT204" s="209" t="s">
        <v>498</v>
      </c>
      <c r="CU204" s="211" t="str">
        <f t="shared" si="133"/>
        <v>N/A</v>
      </c>
      <c r="CV204" s="211" t="str">
        <f t="shared" si="134"/>
        <v>N/A</v>
      </c>
      <c r="CW204" s="211" t="str">
        <f t="shared" si="135"/>
        <v>N/A</v>
      </c>
      <c r="CX204" s="211" t="str">
        <f t="shared" si="136"/>
        <v>N/A</v>
      </c>
      <c r="CY204" s="211" t="str">
        <f t="shared" si="137"/>
        <v>N/A</v>
      </c>
      <c r="CZ204" s="211" t="str">
        <f t="shared" si="138"/>
        <v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del plan Anual de Seguridad y salud en el Trabajo (Componente de Gestión de las Relaciones Humanas)
</v>
      </c>
      <c r="DA204" s="211" t="str">
        <f t="shared" si="139"/>
        <v>N/A</v>
      </c>
      <c r="DB204" s="211" t="str">
        <f t="shared" si="140"/>
        <v>N/A</v>
      </c>
      <c r="DC204" s="211" t="str">
        <f t="shared" si="141"/>
        <v>N/A</v>
      </c>
      <c r="DD204" s="211" t="str">
        <f t="shared" si="142"/>
        <v>N/A</v>
      </c>
      <c r="DE204" s="211" t="str">
        <f t="shared" si="143"/>
        <v>N/A</v>
      </c>
      <c r="DF204" s="211" t="str">
        <f t="shared" si="144"/>
        <v>N/A</v>
      </c>
    </row>
    <row r="205" spans="1:110" ht="64.5" customHeight="1">
      <c r="A205" s="349" t="s">
        <v>190</v>
      </c>
      <c r="B205" s="209" t="s">
        <v>143</v>
      </c>
      <c r="C205" s="209" t="s">
        <v>503</v>
      </c>
      <c r="D205" s="209" t="s">
        <v>771</v>
      </c>
      <c r="E205" s="209" t="s">
        <v>505</v>
      </c>
      <c r="F205" s="349" t="s">
        <v>506</v>
      </c>
      <c r="G205" s="209" t="s">
        <v>178</v>
      </c>
      <c r="H205" s="211">
        <v>5</v>
      </c>
      <c r="I205" s="323">
        <v>5</v>
      </c>
      <c r="J205" s="323">
        <v>5</v>
      </c>
      <c r="K205" s="288">
        <v>1</v>
      </c>
      <c r="L205" s="209" t="s">
        <v>772</v>
      </c>
      <c r="M205" s="209" t="b">
        <v>1</v>
      </c>
      <c r="N205" s="209" t="s">
        <v>773</v>
      </c>
      <c r="O205" s="209" t="s">
        <v>2832</v>
      </c>
      <c r="P205" s="209" t="s">
        <v>159</v>
      </c>
      <c r="Q205" s="269" t="s">
        <v>160</v>
      </c>
      <c r="U205" s="269"/>
      <c r="AE205" s="269"/>
      <c r="AF205" s="269"/>
      <c r="AG205" s="269"/>
      <c r="AH205" s="269"/>
      <c r="AI205" s="269"/>
      <c r="AJ205" s="269"/>
      <c r="AK205" s="270"/>
      <c r="AL205" s="270"/>
      <c r="AM205" s="270"/>
      <c r="AN205" s="270"/>
      <c r="AO205" s="270"/>
      <c r="AP205" s="270"/>
      <c r="AQ205" s="270"/>
      <c r="AR205" s="270"/>
      <c r="AS205" s="270"/>
      <c r="CO205" s="209" t="s">
        <v>190</v>
      </c>
      <c r="CP205" s="209" t="s">
        <v>143</v>
      </c>
      <c r="CQ205" s="209" t="s">
        <v>503</v>
      </c>
      <c r="CR205" s="209" t="s">
        <v>771</v>
      </c>
      <c r="CS205" s="209" t="s">
        <v>772</v>
      </c>
      <c r="CT205" s="209" t="s">
        <v>503</v>
      </c>
      <c r="CU205" s="211" t="str">
        <f t="shared" si="133"/>
        <v>N/A</v>
      </c>
      <c r="CV205" s="211" t="str">
        <f t="shared" si="134"/>
        <v>N/A</v>
      </c>
      <c r="CW205" s="211" t="str">
        <f t="shared" si="135"/>
        <v>N/A</v>
      </c>
      <c r="CX205" s="211" t="str">
        <f t="shared" si="136"/>
        <v>N/A</v>
      </c>
      <c r="CY205" s="211" t="str">
        <f t="shared" si="137"/>
        <v>N/A</v>
      </c>
      <c r="CZ205" s="211" t="str">
        <f t="shared" si="138"/>
        <v xml:space="preserve">para el segundo trimestre de la vigencia se consiguió un porcentaje de cumplimiento de 100% de las actividades programadas para el período, para un porcentaje acumulado del 100% del total de las actividades programadas para la vigencia en la actividad Ejecutar el cronograma para la implementación de la Política de integridad del Modelo Integrado de Gestión. ( Componente de Gestión de las Relaciones Humanas)
</v>
      </c>
      <c r="DA205" s="211" t="str">
        <f t="shared" si="139"/>
        <v>N/A</v>
      </c>
      <c r="DB205" s="211" t="str">
        <f t="shared" si="140"/>
        <v>N/A</v>
      </c>
      <c r="DC205" s="211" t="str">
        <f t="shared" si="141"/>
        <v>N/A</v>
      </c>
      <c r="DD205" s="211" t="str">
        <f t="shared" si="142"/>
        <v>N/A</v>
      </c>
      <c r="DE205" s="211" t="str">
        <f t="shared" si="143"/>
        <v>N/A</v>
      </c>
      <c r="DF205" s="211" t="str">
        <f t="shared" si="144"/>
        <v>N/A</v>
      </c>
    </row>
    <row r="206" spans="1:110" ht="64.5" customHeight="1">
      <c r="A206" s="349" t="s">
        <v>271</v>
      </c>
      <c r="B206" s="209" t="s">
        <v>144</v>
      </c>
      <c r="C206" s="209" t="s">
        <v>225</v>
      </c>
      <c r="D206" s="209" t="s">
        <v>293</v>
      </c>
      <c r="E206" s="209" t="s">
        <v>294</v>
      </c>
      <c r="F206" s="349" t="s">
        <v>295</v>
      </c>
      <c r="G206" s="209" t="s">
        <v>157</v>
      </c>
      <c r="H206" s="243">
        <v>5</v>
      </c>
      <c r="I206" s="323">
        <v>7</v>
      </c>
      <c r="J206" s="323">
        <v>5</v>
      </c>
      <c r="K206" s="290">
        <v>1.4</v>
      </c>
      <c r="L206" s="209" t="s">
        <v>2939</v>
      </c>
      <c r="M206" s="209" t="b">
        <v>0</v>
      </c>
      <c r="O206" s="209" t="s">
        <v>2832</v>
      </c>
      <c r="P206" s="209" t="s">
        <v>159</v>
      </c>
      <c r="Q206" s="209" t="s">
        <v>160</v>
      </c>
      <c r="T206" s="269"/>
      <c r="AE206" s="269"/>
      <c r="AF206" s="269"/>
      <c r="AG206" s="269"/>
      <c r="AH206" s="269"/>
      <c r="AI206" s="269"/>
      <c r="AJ206" s="269"/>
      <c r="AK206" s="270"/>
      <c r="AL206" s="270"/>
      <c r="AM206" s="270"/>
      <c r="AN206" s="270"/>
      <c r="AO206" s="270"/>
      <c r="AP206" s="270"/>
      <c r="AQ206" s="270"/>
      <c r="AR206" s="270"/>
      <c r="AS206" s="270"/>
      <c r="CO206" s="209" t="s">
        <v>271</v>
      </c>
      <c r="CP206" s="209" t="s">
        <v>144</v>
      </c>
      <c r="CQ206" s="209" t="s">
        <v>225</v>
      </c>
      <c r="CR206" s="209" t="s">
        <v>293</v>
      </c>
      <c r="CS206" s="209" t="s">
        <v>2939</v>
      </c>
      <c r="CT206" s="209" t="s">
        <v>225</v>
      </c>
      <c r="CU206" s="211" t="str">
        <f t="shared" si="133"/>
        <v>N/A</v>
      </c>
      <c r="CV206" s="211" t="str">
        <f t="shared" si="134"/>
        <v>N/A</v>
      </c>
      <c r="CW206" s="211" t="str">
        <f t="shared" si="135"/>
        <v>N/A</v>
      </c>
      <c r="CX206" s="211" t="str">
        <f t="shared" si="136"/>
        <v>N/A</v>
      </c>
      <c r="CY206" s="211" t="str">
        <f t="shared" si="137"/>
        <v>N/A</v>
      </c>
      <c r="CZ206" s="211" t="str">
        <f t="shared" si="138"/>
        <v>N/A</v>
      </c>
      <c r="DA206" s="211" t="str">
        <f t="shared" si="139"/>
        <v xml:space="preserve">​Para el primer semestre del 2025 la Delegada había presentado un rezago frente a al cumplimiento de las metas establecidas de manera mensual; por tal motivo, se estan realizando seguimientos para cumplir con la meta del periodo y subsanar aquellos donde no hubo reporte. 
Para el mes de julio se realizaron 7 seguimientos a los Planes de Mejoramiento, los cuales se listan a continuación:
Dpto de La Guajira.
Distito de Riohacha.
Municipio de Maicao.
Municipio de Uribia.
Municipio de Manaure.
COLJUEGOS
Distrito de Buenaventura
</v>
      </c>
      <c r="DB206" s="211" t="str">
        <f t="shared" si="140"/>
        <v>N/A</v>
      </c>
      <c r="DC206" s="211" t="str">
        <f t="shared" si="141"/>
        <v>N/A</v>
      </c>
      <c r="DD206" s="211" t="str">
        <f t="shared" si="142"/>
        <v>N/A</v>
      </c>
      <c r="DE206" s="211" t="str">
        <f t="shared" si="143"/>
        <v>N/A</v>
      </c>
      <c r="DF206" s="211" t="str">
        <f t="shared" si="144"/>
        <v>N/A</v>
      </c>
    </row>
    <row r="207" spans="1:110" ht="64.5" customHeight="1">
      <c r="A207" s="349" t="s">
        <v>271</v>
      </c>
      <c r="B207" s="209" t="s">
        <v>144</v>
      </c>
      <c r="C207" s="209" t="s">
        <v>307</v>
      </c>
      <c r="D207" s="209" t="s">
        <v>308</v>
      </c>
      <c r="E207" s="209" t="s">
        <v>309</v>
      </c>
      <c r="F207" s="349" t="s">
        <v>310</v>
      </c>
      <c r="G207" s="209" t="s">
        <v>157</v>
      </c>
      <c r="H207" s="243">
        <v>7</v>
      </c>
      <c r="I207" s="323">
        <v>9</v>
      </c>
      <c r="J207" s="323">
        <v>7</v>
      </c>
      <c r="K207" s="290">
        <v>1.28571428571429</v>
      </c>
      <c r="L207" s="209" t="s">
        <v>3140</v>
      </c>
      <c r="M207" s="209" t="b">
        <v>0</v>
      </c>
      <c r="O207" s="209" t="s">
        <v>2832</v>
      </c>
      <c r="P207" s="209" t="s">
        <v>159</v>
      </c>
      <c r="Q207" s="209" t="s">
        <v>160</v>
      </c>
      <c r="T207" s="269"/>
      <c r="AE207" s="269"/>
      <c r="AF207" s="269"/>
      <c r="AG207" s="269"/>
      <c r="AH207" s="269"/>
      <c r="AI207" s="269"/>
      <c r="AJ207" s="269"/>
      <c r="AK207" s="270"/>
      <c r="AL207" s="270"/>
      <c r="AM207" s="270"/>
      <c r="AN207" s="270"/>
      <c r="AO207" s="270"/>
      <c r="AP207" s="270"/>
      <c r="AQ207" s="270"/>
      <c r="AR207" s="270"/>
      <c r="AS207" s="270"/>
      <c r="CO207" s="209" t="s">
        <v>271</v>
      </c>
      <c r="CP207" s="209" t="s">
        <v>144</v>
      </c>
      <c r="CQ207" s="209" t="s">
        <v>307</v>
      </c>
      <c r="CR207" s="209" t="s">
        <v>308</v>
      </c>
      <c r="CS207" s="209" t="s">
        <v>3140</v>
      </c>
      <c r="CT207" s="209" t="s">
        <v>307</v>
      </c>
      <c r="CU207" s="211" t="str">
        <f t="shared" si="133"/>
        <v>N/A</v>
      </c>
      <c r="CV207" s="211" t="str">
        <f t="shared" si="134"/>
        <v>N/A</v>
      </c>
      <c r="CW207" s="211" t="str">
        <f t="shared" si="135"/>
        <v>N/A</v>
      </c>
      <c r="CX207" s="211" t="str">
        <f t="shared" si="136"/>
        <v>N/A</v>
      </c>
      <c r="CY207" s="211" t="str">
        <f t="shared" si="137"/>
        <v>N/A</v>
      </c>
      <c r="CZ207" s="211" t="str">
        <f t="shared" si="138"/>
        <v>N/A</v>
      </c>
      <c r="DA207" s="211" t="str">
        <f t="shared" si="139"/>
        <v xml:space="preserve">Para el primer semestre del 2025 la Delegada presentó un rezago frente a al cumplimiento de las metas establecidas; por tal motivo, se estan realizando Mesas de Gobernanza adicionales a la meta del periodo con el proposito de ir subsanando aquellos meses donde no hubo reporte. 
Durante julio se realizaron 9 Mesas de Gobernanza en las siguientes fechas y territorios:
14 de julio de 2025. DR Nororiental - Norte de Santander Pamplona.
31 de julio de 2025 DR Orinoquía - Vaupés, Mitú
17 de julio de 2025 DR Orinoquía - Arauca, Arauca
16 de julio de 2025 DR Sur - Caquetá, Florencia
9 de julio de 2025 DR Occidental - Valle del Cauca, Buenaventura
30 y 31 de julio DR Sur - Caquetá, Orito, San Miguel y
Valle del Guamuez
29 de julio de 2025 DR Occidental - Nariño, Tumaco
29 de julio de 2025 DR Caribe - Cesar, Tamalameque
31 de julio de 2025 DR Andina - Risaralda, Pueblo Rico
</v>
      </c>
      <c r="DB207" s="211" t="str">
        <f t="shared" si="140"/>
        <v>N/A</v>
      </c>
      <c r="DC207" s="211" t="str">
        <f t="shared" si="141"/>
        <v>N/A</v>
      </c>
      <c r="DD207" s="211" t="str">
        <f t="shared" si="142"/>
        <v>N/A</v>
      </c>
      <c r="DE207" s="211" t="str">
        <f t="shared" si="143"/>
        <v>N/A</v>
      </c>
      <c r="DF207" s="211" t="str">
        <f t="shared" si="144"/>
        <v>N/A</v>
      </c>
    </row>
    <row r="208" spans="1:110" ht="64.5" customHeight="1">
      <c r="A208" s="349" t="s">
        <v>454</v>
      </c>
      <c r="B208" s="209" t="s">
        <v>144</v>
      </c>
      <c r="C208" s="209" t="s">
        <v>223</v>
      </c>
      <c r="D208" s="209" t="s">
        <v>455</v>
      </c>
      <c r="E208" s="209" t="s">
        <v>456</v>
      </c>
      <c r="F208" s="349" t="s">
        <v>457</v>
      </c>
      <c r="G208" s="209" t="s">
        <v>157</v>
      </c>
      <c r="H208" s="243">
        <v>1</v>
      </c>
      <c r="I208" s="323">
        <v>1</v>
      </c>
      <c r="J208" s="323">
        <v>1</v>
      </c>
      <c r="K208" s="290">
        <v>1</v>
      </c>
      <c r="L208" s="209" t="s">
        <v>2869</v>
      </c>
      <c r="M208" s="209" t="b">
        <v>0</v>
      </c>
      <c r="O208" s="209" t="s">
        <v>2832</v>
      </c>
      <c r="P208" s="209" t="s">
        <v>159</v>
      </c>
      <c r="Q208" s="209" t="s">
        <v>160</v>
      </c>
      <c r="T208" s="269"/>
      <c r="AE208" s="269"/>
      <c r="AF208" s="269"/>
      <c r="AG208" s="269"/>
      <c r="AH208" s="269"/>
      <c r="AI208" s="269"/>
      <c r="AJ208" s="269"/>
      <c r="AK208" s="270"/>
      <c r="AL208" s="270"/>
      <c r="AM208" s="270"/>
      <c r="AN208" s="270"/>
      <c r="AO208" s="270"/>
      <c r="AP208" s="270"/>
      <c r="AQ208" s="270"/>
      <c r="AR208" s="270"/>
      <c r="AS208" s="270"/>
      <c r="CO208" s="209" t="s">
        <v>454</v>
      </c>
      <c r="CP208" s="209" t="s">
        <v>144</v>
      </c>
      <c r="CQ208" s="209" t="s">
        <v>223</v>
      </c>
      <c r="CR208" s="209" t="s">
        <v>455</v>
      </c>
      <c r="CS208" s="209" t="s">
        <v>2869</v>
      </c>
      <c r="CT208" s="209" t="s">
        <v>223</v>
      </c>
      <c r="CU208" s="211" t="str">
        <f t="shared" si="133"/>
        <v>N/A</v>
      </c>
      <c r="CV208" s="211" t="str">
        <f t="shared" si="134"/>
        <v>N/A</v>
      </c>
      <c r="CW208" s="211" t="str">
        <f t="shared" si="135"/>
        <v>N/A</v>
      </c>
      <c r="CX208" s="211" t="str">
        <f t="shared" si="136"/>
        <v>N/A</v>
      </c>
      <c r="CY208" s="211" t="str">
        <f t="shared" si="137"/>
        <v>N/A</v>
      </c>
      <c r="CZ208" s="211" t="str">
        <f t="shared" si="138"/>
        <v>N/A</v>
      </c>
      <c r="DA208" s="211" t="str">
        <f t="shared" si="139"/>
        <v xml:space="preserve">​Se cumple con la programación de la actividad, dado que se realiza auditoría al gestor farmacéutico CAJA COLOMBIANA DE SUBSIDIO FAMILIAR COLSUBSIDIO ordenada mediante Auto No  2025600010000909-7 el día 14 de julio de 2025
</v>
      </c>
      <c r="DB208" s="211" t="str">
        <f t="shared" si="140"/>
        <v>N/A</v>
      </c>
      <c r="DC208" s="211" t="str">
        <f t="shared" si="141"/>
        <v>N/A</v>
      </c>
      <c r="DD208" s="211" t="str">
        <f t="shared" si="142"/>
        <v>N/A</v>
      </c>
      <c r="DE208" s="211" t="str">
        <f t="shared" si="143"/>
        <v>N/A</v>
      </c>
      <c r="DF208" s="211" t="str">
        <f t="shared" si="144"/>
        <v>N/A</v>
      </c>
    </row>
    <row r="209" spans="1:110" ht="64.5" customHeight="1">
      <c r="A209" s="349" t="s">
        <v>454</v>
      </c>
      <c r="B209" s="209" t="s">
        <v>144</v>
      </c>
      <c r="C209" s="209" t="s">
        <v>460</v>
      </c>
      <c r="D209" s="209" t="s">
        <v>461</v>
      </c>
      <c r="E209" s="209" t="s">
        <v>462</v>
      </c>
      <c r="F209" s="349" t="s">
        <v>463</v>
      </c>
      <c r="G209" s="209" t="s">
        <v>157</v>
      </c>
      <c r="H209" s="243">
        <v>1</v>
      </c>
      <c r="I209" s="323">
        <v>1</v>
      </c>
      <c r="J209" s="323">
        <v>1</v>
      </c>
      <c r="K209" s="290">
        <v>1</v>
      </c>
      <c r="L209" s="209" t="s">
        <v>2870</v>
      </c>
      <c r="M209" s="209" t="b">
        <v>0</v>
      </c>
      <c r="O209" s="209" t="s">
        <v>2832</v>
      </c>
      <c r="P209" s="209" t="s">
        <v>159</v>
      </c>
      <c r="Q209" s="209" t="s">
        <v>160</v>
      </c>
      <c r="T209" s="269"/>
      <c r="AE209" s="269"/>
      <c r="AF209" s="269"/>
      <c r="AG209" s="269"/>
      <c r="AH209" s="269"/>
      <c r="AI209" s="269"/>
      <c r="AJ209" s="269"/>
      <c r="AK209" s="270"/>
      <c r="AL209" s="270"/>
      <c r="AM209" s="270"/>
      <c r="AN209" s="270"/>
      <c r="AO209" s="270"/>
      <c r="AP209" s="270"/>
      <c r="AQ209" s="270"/>
      <c r="AR209" s="270"/>
      <c r="AS209" s="270"/>
      <c r="CO209" s="209" t="s">
        <v>454</v>
      </c>
      <c r="CP209" s="209" t="s">
        <v>144</v>
      </c>
      <c r="CQ209" s="209" t="s">
        <v>460</v>
      </c>
      <c r="CR209" s="209" t="s">
        <v>461</v>
      </c>
      <c r="CS209" s="209" t="s">
        <v>2870</v>
      </c>
      <c r="CT209" s="209" t="s">
        <v>460</v>
      </c>
      <c r="CU209" s="211" t="str">
        <f t="shared" si="133"/>
        <v>N/A</v>
      </c>
      <c r="CV209" s="211" t="str">
        <f t="shared" si="134"/>
        <v>N/A</v>
      </c>
      <c r="CW209" s="211" t="str">
        <f t="shared" si="135"/>
        <v>N/A</v>
      </c>
      <c r="CX209" s="211" t="str">
        <f t="shared" si="136"/>
        <v>N/A</v>
      </c>
      <c r="CY209" s="211" t="str">
        <f t="shared" si="137"/>
        <v>N/A</v>
      </c>
      <c r="CZ209" s="211" t="str">
        <f t="shared" si="138"/>
        <v>N/A</v>
      </c>
      <c r="DA209" s="211" t="str">
        <f t="shared" si="139"/>
        <v xml:space="preserve">​Se cumple con la programación de la actividad dado que se realizan actividades de socialización, asistencia técnica, mesas de trabajo o acompañamiento a los actores del SGSSS, en la regional Nororiental, departamento de Santander (Disfarma, Pharmasan, Colsubsidio, Discolmets, Foscal y Cafam) con las EPS, los días 03 y 04 de julio de 2025.
</v>
      </c>
      <c r="DB209" s="211" t="str">
        <f t="shared" si="140"/>
        <v>N/A</v>
      </c>
      <c r="DC209" s="211" t="str">
        <f t="shared" si="141"/>
        <v>N/A</v>
      </c>
      <c r="DD209" s="211" t="str">
        <f t="shared" si="142"/>
        <v>N/A</v>
      </c>
      <c r="DE209" s="211" t="str">
        <f t="shared" si="143"/>
        <v>N/A</v>
      </c>
      <c r="DF209" s="211" t="str">
        <f t="shared" si="144"/>
        <v>N/A</v>
      </c>
    </row>
    <row r="210" spans="1:110" ht="64.5" customHeight="1">
      <c r="A210" s="349" t="s">
        <v>454</v>
      </c>
      <c r="B210" s="209" t="s">
        <v>144</v>
      </c>
      <c r="C210" s="209" t="s">
        <v>602</v>
      </c>
      <c r="D210" s="209" t="s">
        <v>603</v>
      </c>
      <c r="E210" s="209" t="s">
        <v>604</v>
      </c>
      <c r="F210" s="349" t="s">
        <v>605</v>
      </c>
      <c r="G210" s="209" t="s">
        <v>157</v>
      </c>
      <c r="H210" s="243">
        <v>1</v>
      </c>
      <c r="I210" s="323">
        <v>1</v>
      </c>
      <c r="J210" s="323">
        <v>1</v>
      </c>
      <c r="K210" s="290">
        <v>1</v>
      </c>
      <c r="L210" s="209" t="s">
        <v>2871</v>
      </c>
      <c r="M210" s="209" t="b">
        <v>0</v>
      </c>
      <c r="O210" s="209" t="s">
        <v>2832</v>
      </c>
      <c r="P210" s="209" t="s">
        <v>159</v>
      </c>
      <c r="Q210" s="209" t="s">
        <v>160</v>
      </c>
      <c r="T210" s="269"/>
      <c r="AE210" s="269"/>
      <c r="AF210" s="269"/>
      <c r="AG210" s="269"/>
      <c r="AH210" s="269"/>
      <c r="AI210" s="269"/>
      <c r="AJ210" s="269"/>
      <c r="AK210" s="270"/>
      <c r="AL210" s="270"/>
      <c r="AM210" s="270"/>
      <c r="AN210" s="270"/>
      <c r="AO210" s="270"/>
      <c r="AP210" s="270"/>
      <c r="AQ210" s="270"/>
      <c r="AR210" s="270"/>
      <c r="AS210" s="270"/>
      <c r="CO210" s="209" t="s">
        <v>454</v>
      </c>
      <c r="CP210" s="209" t="s">
        <v>144</v>
      </c>
      <c r="CQ210" s="209" t="s">
        <v>602</v>
      </c>
      <c r="CR210" s="209" t="s">
        <v>603</v>
      </c>
      <c r="CS210" s="209" t="s">
        <v>2871</v>
      </c>
      <c r="CT210" s="209" t="s">
        <v>602</v>
      </c>
      <c r="CU210" s="211" t="str">
        <f t="shared" si="133"/>
        <v>N/A</v>
      </c>
      <c r="CV210" s="211" t="str">
        <f t="shared" si="134"/>
        <v>N/A</v>
      </c>
      <c r="CW210" s="211" t="str">
        <f t="shared" si="135"/>
        <v>N/A</v>
      </c>
      <c r="CX210" s="211" t="str">
        <f t="shared" si="136"/>
        <v>N/A</v>
      </c>
      <c r="CY210" s="211" t="str">
        <f t="shared" si="137"/>
        <v>N/A</v>
      </c>
      <c r="CZ210" s="211" t="str">
        <f t="shared" si="138"/>
        <v>N/A</v>
      </c>
      <c r="DA210" s="211" t="str">
        <f t="shared" si="139"/>
        <v xml:space="preserve">​​Se cumple con la programación de la actividad dado que se realizan actividades de IVC al gestor farmacéutico CAJA COLOMBIANA DE SUBSIDIO FAMILIAR - COLSUBSIDIO objeto de supervisión en el marco del proceso de operación inicial de la Supervisión Basada en Riesgos.
</v>
      </c>
      <c r="DB210" s="211" t="str">
        <f t="shared" si="140"/>
        <v>N/A</v>
      </c>
      <c r="DC210" s="211" t="str">
        <f t="shared" si="141"/>
        <v>N/A</v>
      </c>
      <c r="DD210" s="211" t="str">
        <f t="shared" si="142"/>
        <v>N/A</v>
      </c>
      <c r="DE210" s="211" t="str">
        <f t="shared" si="143"/>
        <v>N/A</v>
      </c>
      <c r="DF210" s="211" t="str">
        <f t="shared" si="144"/>
        <v>N/A</v>
      </c>
    </row>
    <row r="211" spans="1:110" ht="64.5" customHeight="1">
      <c r="A211" s="349" t="s">
        <v>238</v>
      </c>
      <c r="B211" s="209" t="s">
        <v>144</v>
      </c>
      <c r="C211" s="209" t="s">
        <v>1313</v>
      </c>
      <c r="D211" s="209" t="s">
        <v>1315</v>
      </c>
      <c r="E211" s="209" t="s">
        <v>1316</v>
      </c>
      <c r="F211" s="349" t="s">
        <v>2880</v>
      </c>
      <c r="G211" s="209" t="s">
        <v>157</v>
      </c>
      <c r="H211" s="243">
        <v>0.5</v>
      </c>
      <c r="I211" s="323">
        <v>0.5</v>
      </c>
      <c r="J211" s="323">
        <v>1</v>
      </c>
      <c r="K211" s="290">
        <v>0.5</v>
      </c>
      <c r="L211" s="209" t="s">
        <v>2881</v>
      </c>
      <c r="M211" s="209" t="b">
        <v>1</v>
      </c>
      <c r="N211" s="209" t="s">
        <v>2882</v>
      </c>
      <c r="O211" s="209" t="s">
        <v>2832</v>
      </c>
      <c r="P211" s="209" t="s">
        <v>159</v>
      </c>
      <c r="Q211" s="209" t="s">
        <v>160</v>
      </c>
      <c r="T211" s="269"/>
      <c r="AE211" s="269"/>
      <c r="AF211" s="269"/>
      <c r="AG211" s="269"/>
      <c r="AH211" s="269"/>
      <c r="AI211" s="269"/>
      <c r="AJ211" s="269"/>
      <c r="AK211" s="270"/>
      <c r="AL211" s="270"/>
      <c r="AM211" s="270"/>
      <c r="AN211" s="270"/>
      <c r="AO211" s="270"/>
      <c r="AP211" s="270"/>
      <c r="AQ211" s="270"/>
      <c r="AR211" s="270"/>
      <c r="AS211" s="270"/>
      <c r="CO211" s="209" t="s">
        <v>238</v>
      </c>
      <c r="CP211" s="209" t="s">
        <v>144</v>
      </c>
      <c r="CQ211" s="209" t="s">
        <v>1313</v>
      </c>
      <c r="CR211" s="209" t="s">
        <v>1315</v>
      </c>
      <c r="CS211" s="209" t="s">
        <v>2881</v>
      </c>
      <c r="CT211" s="209" t="s">
        <v>1313</v>
      </c>
      <c r="CU211" s="211" t="str">
        <f t="shared" si="133"/>
        <v>N/A</v>
      </c>
      <c r="CV211" s="211" t="str">
        <f t="shared" si="134"/>
        <v>N/A</v>
      </c>
      <c r="CW211" s="211" t="str">
        <f t="shared" si="135"/>
        <v>N/A</v>
      </c>
      <c r="CX211" s="211" t="str">
        <f t="shared" si="136"/>
        <v>N/A</v>
      </c>
      <c r="CY211" s="211" t="str">
        <f t="shared" si="137"/>
        <v>N/A</v>
      </c>
      <c r="CZ211" s="211" t="str">
        <f t="shared" si="138"/>
        <v>N/A</v>
      </c>
      <c r="DA211" s="211" t="str">
        <f t="shared" si="139"/>
        <v xml:space="preserve">​ El proyecto Rilco para el 2025 tiene la particularidad que se contrató un tercero externo la Universidad Nacional de Colombia y que se encargará de adelantaran todas las fases del proceso. Anteriormente la Universidad Nacional solo se encargaba de la prueba de conocimiento. El acta de inicio se firmó el 1 de mayo. Una I fase es la Verificación de Requisitos Mínimos- VRM durante el periodo de mayo a junio y se inició con el proceso y divulgación de la inscripción de los participantes a la convocatoria en la pagina web de la supersalud.
</v>
      </c>
      <c r="DB211" s="211" t="str">
        <f t="shared" si="140"/>
        <v>N/A</v>
      </c>
      <c r="DC211" s="211" t="str">
        <f t="shared" si="141"/>
        <v>N/A</v>
      </c>
      <c r="DD211" s="211" t="str">
        <f t="shared" si="142"/>
        <v>N/A</v>
      </c>
      <c r="DE211" s="211" t="str">
        <f t="shared" si="143"/>
        <v>N/A</v>
      </c>
      <c r="DF211" s="211" t="str">
        <f t="shared" si="144"/>
        <v>N/A</v>
      </c>
    </row>
    <row r="212" spans="1:110" ht="64.5" customHeight="1">
      <c r="A212" s="349" t="s">
        <v>238</v>
      </c>
      <c r="B212" s="209" t="s">
        <v>144</v>
      </c>
      <c r="C212" s="209" t="s">
        <v>1313</v>
      </c>
      <c r="D212" s="209" t="s">
        <v>1315</v>
      </c>
      <c r="E212" s="209" t="s">
        <v>1316</v>
      </c>
      <c r="F212" s="349" t="s">
        <v>2880</v>
      </c>
      <c r="G212" s="209" t="s">
        <v>157</v>
      </c>
      <c r="I212" s="323"/>
      <c r="L212" s="209" t="s">
        <v>2889</v>
      </c>
      <c r="M212" s="209" t="b">
        <v>0</v>
      </c>
      <c r="O212" s="209" t="s">
        <v>2832</v>
      </c>
      <c r="P212" s="209" t="s">
        <v>159</v>
      </c>
      <c r="Q212" s="209" t="s">
        <v>160</v>
      </c>
      <c r="T212" s="269"/>
      <c r="AE212" s="269"/>
      <c r="AF212" s="269"/>
      <c r="AG212" s="269"/>
      <c r="AH212" s="269"/>
      <c r="AI212" s="269"/>
      <c r="AJ212" s="269"/>
      <c r="AK212" s="270"/>
      <c r="AL212" s="270"/>
      <c r="AM212" s="270"/>
      <c r="AN212" s="270"/>
      <c r="AO212" s="270"/>
      <c r="AP212" s="270"/>
      <c r="AQ212" s="270"/>
      <c r="AR212" s="270"/>
      <c r="AS212" s="270"/>
      <c r="CO212" s="209" t="s">
        <v>238</v>
      </c>
      <c r="CP212" s="209" t="s">
        <v>144</v>
      </c>
      <c r="CQ212" s="209" t="s">
        <v>1313</v>
      </c>
      <c r="CR212" s="209" t="s">
        <v>1315</v>
      </c>
      <c r="CS212" s="209" t="s">
        <v>2889</v>
      </c>
      <c r="CT212" s="209" t="s">
        <v>1313</v>
      </c>
      <c r="CU212" s="211" t="str">
        <f t="shared" si="133"/>
        <v>N/A</v>
      </c>
      <c r="CV212" s="211" t="str">
        <f t="shared" si="134"/>
        <v>N/A</v>
      </c>
      <c r="CW212" s="211" t="str">
        <f t="shared" si="135"/>
        <v>N/A</v>
      </c>
      <c r="CX212" s="211" t="str">
        <f t="shared" si="136"/>
        <v>N/A</v>
      </c>
      <c r="CY212" s="211" t="str">
        <f t="shared" si="137"/>
        <v>N/A</v>
      </c>
      <c r="CZ212" s="211" t="str">
        <f t="shared" si="138"/>
        <v>N/A</v>
      </c>
      <c r="DA212" s="211" t="str">
        <f t="shared" si="139"/>
        <v xml:space="preserve">​La jornada de aplicación de pruebas de personalidad se llevó a cabo el día domingo 10 de agosto de 2025 en el campus de la Universidad Nacional de Colombia, sede Bogotá - Edificio 212 Aulas de Ciencias Humanas. Para su cumplimiento y realización, se garantizó desde la dirección del proyecto, en conjunto con la Unidad Administrativa de la Facultad de Ciencias Humanas, en primer lugar contar con espacios adecuados y de fácil acceso para cada uno de los aspirantes citados a esta jornada, así mismo, que estos brindaran rutas de fácil evacuación, aulas con suficiente ventilación cruzada y óptima iluminación.
</v>
      </c>
      <c r="DB212" s="211" t="str">
        <f t="shared" si="140"/>
        <v>N/A</v>
      </c>
      <c r="DC212" s="211" t="str">
        <f t="shared" si="141"/>
        <v>N/A</v>
      </c>
      <c r="DD212" s="211" t="str">
        <f t="shared" si="142"/>
        <v>N/A</v>
      </c>
      <c r="DE212" s="211" t="str">
        <f t="shared" si="143"/>
        <v>N/A</v>
      </c>
      <c r="DF212" s="211" t="str">
        <f t="shared" si="144"/>
        <v>N/A</v>
      </c>
    </row>
    <row r="213" spans="1:110" ht="64.5" customHeight="1">
      <c r="A213" s="349" t="s">
        <v>317</v>
      </c>
      <c r="B213" s="209" t="s">
        <v>144</v>
      </c>
      <c r="C213" s="209" t="s">
        <v>324</v>
      </c>
      <c r="D213" s="209" t="s">
        <v>325</v>
      </c>
      <c r="E213" s="209" t="s">
        <v>326</v>
      </c>
      <c r="F213" s="349" t="s">
        <v>327</v>
      </c>
      <c r="G213" s="209" t="s">
        <v>157</v>
      </c>
      <c r="H213" s="243">
        <v>1</v>
      </c>
      <c r="I213" s="323">
        <v>1</v>
      </c>
      <c r="J213" s="323">
        <v>1</v>
      </c>
      <c r="K213" s="290">
        <v>1</v>
      </c>
      <c r="L213" s="209" t="s">
        <v>2936</v>
      </c>
      <c r="M213" s="209" t="b">
        <v>0</v>
      </c>
      <c r="O213" s="209" t="s">
        <v>2832</v>
      </c>
      <c r="P213" s="209" t="s">
        <v>159</v>
      </c>
      <c r="Q213" s="209" t="s">
        <v>160</v>
      </c>
      <c r="T213" s="269"/>
      <c r="AE213" s="269"/>
      <c r="AF213" s="269"/>
      <c r="AG213" s="269"/>
      <c r="AH213" s="269"/>
      <c r="AI213" s="269"/>
      <c r="AJ213" s="269"/>
      <c r="AK213" s="270"/>
      <c r="AL213" s="270"/>
      <c r="AM213" s="270"/>
      <c r="AN213" s="270"/>
      <c r="AO213" s="270"/>
      <c r="AP213" s="270"/>
      <c r="AQ213" s="270"/>
      <c r="AR213" s="270"/>
      <c r="AS213" s="270"/>
      <c r="CO213" s="209" t="s">
        <v>317</v>
      </c>
      <c r="CP213" s="209" t="s">
        <v>144</v>
      </c>
      <c r="CQ213" s="209" t="s">
        <v>324</v>
      </c>
      <c r="CR213" s="209" t="s">
        <v>325</v>
      </c>
      <c r="CS213" s="209" t="s">
        <v>2936</v>
      </c>
      <c r="CT213" s="209" t="s">
        <v>324</v>
      </c>
      <c r="CU213" s="211" t="str">
        <f t="shared" si="133"/>
        <v>N/A</v>
      </c>
      <c r="CV213" s="211" t="str">
        <f t="shared" si="134"/>
        <v>N/A</v>
      </c>
      <c r="CW213" s="211" t="str">
        <f t="shared" si="135"/>
        <v>N/A</v>
      </c>
      <c r="CX213" s="211" t="str">
        <f t="shared" si="136"/>
        <v>N/A</v>
      </c>
      <c r="CY213" s="211" t="str">
        <f t="shared" si="137"/>
        <v>N/A</v>
      </c>
      <c r="CZ213" s="211" t="str">
        <f t="shared" si="138"/>
        <v>N/A</v>
      </c>
      <c r="DA213" s="211" t="str">
        <f t="shared" si="139"/>
        <v xml:space="preserve">​Se han realizado una publicación de boletin jurídicos en el normograma de la entidad que corresponde a primer  trimestre del presente año.  Con la publicación de los boletines se busca que los usuarios del SGSSS externos e internos cuenten con una herramienta de fácil consulta sobre los diferentes temas de competencia de la Superintendencia Nacional de Salud.
</v>
      </c>
      <c r="DB213" s="211" t="str">
        <f t="shared" si="140"/>
        <v>N/A</v>
      </c>
      <c r="DC213" s="211" t="str">
        <f t="shared" si="141"/>
        <v>N/A</v>
      </c>
      <c r="DD213" s="211" t="str">
        <f t="shared" si="142"/>
        <v>N/A</v>
      </c>
      <c r="DE213" s="211" t="str">
        <f t="shared" si="143"/>
        <v>N/A</v>
      </c>
      <c r="DF213" s="211" t="str">
        <f t="shared" si="144"/>
        <v>N/A</v>
      </c>
    </row>
    <row r="214" spans="1:110" ht="64.5" customHeight="1">
      <c r="A214" s="349" t="s">
        <v>265</v>
      </c>
      <c r="B214" s="209" t="s">
        <v>144</v>
      </c>
      <c r="C214" s="209" t="s">
        <v>266</v>
      </c>
      <c r="D214" s="209" t="s">
        <v>267</v>
      </c>
      <c r="E214" s="209" t="s">
        <v>268</v>
      </c>
      <c r="F214" s="349" t="s">
        <v>269</v>
      </c>
      <c r="G214" s="209" t="s">
        <v>157</v>
      </c>
      <c r="H214" s="243">
        <v>1</v>
      </c>
      <c r="I214" s="323">
        <v>1</v>
      </c>
      <c r="J214" s="323">
        <v>1</v>
      </c>
      <c r="K214" s="290">
        <v>1</v>
      </c>
      <c r="L214" s="209" t="s">
        <v>2894</v>
      </c>
      <c r="M214" s="209" t="b">
        <v>1</v>
      </c>
      <c r="N214" s="209" t="s">
        <v>2895</v>
      </c>
      <c r="O214" s="209" t="s">
        <v>2832</v>
      </c>
      <c r="P214" s="209" t="s">
        <v>159</v>
      </c>
      <c r="Q214" s="209" t="s">
        <v>160</v>
      </c>
      <c r="T214" s="269"/>
      <c r="AE214" s="269"/>
      <c r="AF214" s="269"/>
      <c r="AG214" s="269"/>
      <c r="AH214" s="269"/>
      <c r="AI214" s="269"/>
      <c r="AJ214" s="269"/>
      <c r="AK214" s="270"/>
      <c r="AL214" s="270"/>
      <c r="AM214" s="270"/>
      <c r="AN214" s="270"/>
      <c r="AO214" s="270"/>
      <c r="AP214" s="270"/>
      <c r="AQ214" s="270"/>
      <c r="AR214" s="270"/>
      <c r="AS214" s="270"/>
      <c r="CO214" s="209" t="s">
        <v>265</v>
      </c>
      <c r="CP214" s="209" t="s">
        <v>144</v>
      </c>
      <c r="CQ214" s="209" t="s">
        <v>266</v>
      </c>
      <c r="CR214" s="209" t="s">
        <v>267</v>
      </c>
      <c r="CS214" s="209" t="s">
        <v>2894</v>
      </c>
      <c r="CT214" s="209" t="s">
        <v>266</v>
      </c>
      <c r="CU214" s="211" t="str">
        <f t="shared" si="133"/>
        <v>N/A</v>
      </c>
      <c r="CV214" s="211" t="str">
        <f t="shared" si="134"/>
        <v>N/A</v>
      </c>
      <c r="CW214" s="211" t="str">
        <f t="shared" si="135"/>
        <v>N/A</v>
      </c>
      <c r="CX214" s="211" t="str">
        <f t="shared" si="136"/>
        <v>N/A</v>
      </c>
      <c r="CY214" s="211" t="str">
        <f t="shared" si="137"/>
        <v>N/A</v>
      </c>
      <c r="CZ214" s="211" t="str">
        <f t="shared" si="138"/>
        <v>N/A</v>
      </c>
      <c r="DA214" s="211" t="str">
        <f t="shared" si="139"/>
        <v xml:space="preserve">​Bajo este informe digital, se puede observar el ranking de las paginas institucionales más visitadas, detalle de la participación mesual por parte de los internautas, aumento de consulta por temas publicados, entre otros.
</v>
      </c>
      <c r="DB214" s="211" t="str">
        <f t="shared" si="140"/>
        <v>N/A</v>
      </c>
      <c r="DC214" s="211" t="str">
        <f t="shared" si="141"/>
        <v>N/A</v>
      </c>
      <c r="DD214" s="211" t="str">
        <f t="shared" si="142"/>
        <v>N/A</v>
      </c>
      <c r="DE214" s="211" t="str">
        <f t="shared" si="143"/>
        <v>N/A</v>
      </c>
      <c r="DF214" s="211" t="str">
        <f t="shared" si="144"/>
        <v>N/A</v>
      </c>
    </row>
    <row r="215" spans="1:110" ht="64.5" customHeight="1">
      <c r="A215" s="349" t="s">
        <v>265</v>
      </c>
      <c r="B215" s="209" t="s">
        <v>144</v>
      </c>
      <c r="C215" s="209" t="s">
        <v>266</v>
      </c>
      <c r="D215" s="209" t="s">
        <v>267</v>
      </c>
      <c r="E215" s="209" t="s">
        <v>268</v>
      </c>
      <c r="F215" s="349" t="s">
        <v>269</v>
      </c>
      <c r="G215" s="209" t="s">
        <v>157</v>
      </c>
      <c r="I215" s="323"/>
      <c r="L215" s="209" t="s">
        <v>2896</v>
      </c>
      <c r="M215" s="209" t="b">
        <v>1</v>
      </c>
      <c r="N215" s="209" t="s">
        <v>2897</v>
      </c>
      <c r="O215" s="209" t="s">
        <v>2832</v>
      </c>
      <c r="P215" s="209" t="s">
        <v>159</v>
      </c>
      <c r="Q215" s="209" t="s">
        <v>160</v>
      </c>
      <c r="T215" s="269"/>
      <c r="AE215" s="269"/>
      <c r="AF215" s="269"/>
      <c r="AG215" s="269"/>
      <c r="AH215" s="269"/>
      <c r="AI215" s="269"/>
      <c r="AJ215" s="269"/>
      <c r="AK215" s="270"/>
      <c r="AL215" s="270"/>
      <c r="AM215" s="270"/>
      <c r="AN215" s="270"/>
      <c r="AO215" s="270"/>
      <c r="AP215" s="270"/>
      <c r="AQ215" s="270"/>
      <c r="AR215" s="270"/>
      <c r="AS215" s="270"/>
      <c r="CO215" s="209" t="s">
        <v>265</v>
      </c>
      <c r="CP215" s="209" t="s">
        <v>144</v>
      </c>
      <c r="CQ215" s="209" t="s">
        <v>266</v>
      </c>
      <c r="CR215" s="209" t="s">
        <v>267</v>
      </c>
      <c r="CS215" s="209" t="s">
        <v>2896</v>
      </c>
      <c r="CT215" s="209" t="s">
        <v>266</v>
      </c>
      <c r="CU215" s="211" t="str">
        <f t="shared" si="133"/>
        <v>N/A</v>
      </c>
      <c r="CV215" s="211" t="str">
        <f t="shared" si="134"/>
        <v>N/A</v>
      </c>
      <c r="CW215" s="211" t="str">
        <f t="shared" si="135"/>
        <v>N/A</v>
      </c>
      <c r="CX215" s="211" t="str">
        <f t="shared" si="136"/>
        <v>N/A</v>
      </c>
      <c r="CY215" s="211" t="str">
        <f t="shared" si="137"/>
        <v>N/A</v>
      </c>
      <c r="CZ215" s="211" t="str">
        <f t="shared" si="138"/>
        <v>N/A</v>
      </c>
      <c r="DA215" s="211" t="str">
        <f t="shared" si="139"/>
        <v xml:space="preserve">​Reporte del seguimiento a través de la herramienta metodológica del comportamiento de los canales digitales de la entidad.
</v>
      </c>
      <c r="DB215" s="211" t="str">
        <f t="shared" si="140"/>
        <v>N/A</v>
      </c>
      <c r="DC215" s="211" t="str">
        <f t="shared" si="141"/>
        <v>N/A</v>
      </c>
      <c r="DD215" s="211" t="str">
        <f t="shared" si="142"/>
        <v>N/A</v>
      </c>
      <c r="DE215" s="211" t="str">
        <f t="shared" si="143"/>
        <v>N/A</v>
      </c>
      <c r="DF215" s="211" t="str">
        <f t="shared" si="144"/>
        <v>N/A</v>
      </c>
    </row>
    <row r="216" spans="1:110" ht="64.5" customHeight="1">
      <c r="A216" s="349" t="s">
        <v>190</v>
      </c>
      <c r="B216" s="209" t="s">
        <v>144</v>
      </c>
      <c r="C216" s="209" t="s">
        <v>216</v>
      </c>
      <c r="D216" s="209" t="s">
        <v>217</v>
      </c>
      <c r="E216" s="209" t="s">
        <v>218</v>
      </c>
      <c r="F216" s="349" t="s">
        <v>219</v>
      </c>
      <c r="G216" s="209" t="s">
        <v>178</v>
      </c>
      <c r="H216" s="243">
        <v>1</v>
      </c>
      <c r="I216" s="323">
        <v>211</v>
      </c>
      <c r="J216" s="323">
        <v>211</v>
      </c>
      <c r="K216" s="290">
        <v>1</v>
      </c>
      <c r="L216" s="209" t="s">
        <v>2909</v>
      </c>
      <c r="M216" s="209" t="b">
        <v>0</v>
      </c>
      <c r="O216" s="209" t="s">
        <v>2832</v>
      </c>
      <c r="P216" s="209" t="s">
        <v>159</v>
      </c>
      <c r="Q216" s="209" t="s">
        <v>160</v>
      </c>
      <c r="T216" s="269"/>
      <c r="AE216" s="269"/>
      <c r="AF216" s="269"/>
      <c r="AG216" s="269"/>
      <c r="AH216" s="269"/>
      <c r="AI216" s="269"/>
      <c r="AJ216" s="269"/>
      <c r="AK216" s="270"/>
      <c r="AL216" s="270"/>
      <c r="AM216" s="270"/>
      <c r="AN216" s="270"/>
      <c r="AO216" s="270"/>
      <c r="AP216" s="270"/>
      <c r="AQ216" s="270"/>
      <c r="AR216" s="270"/>
      <c r="AS216" s="270"/>
      <c r="CO216" s="209" t="s">
        <v>190</v>
      </c>
      <c r="CP216" s="209" t="s">
        <v>144</v>
      </c>
      <c r="CQ216" s="209" t="s">
        <v>216</v>
      </c>
      <c r="CR216" s="209" t="s">
        <v>217</v>
      </c>
      <c r="CS216" s="209" t="s">
        <v>2909</v>
      </c>
      <c r="CT216" s="209" t="s">
        <v>216</v>
      </c>
      <c r="CU216" s="211" t="str">
        <f t="shared" si="133"/>
        <v>N/A</v>
      </c>
      <c r="CV216" s="211" t="str">
        <f t="shared" si="134"/>
        <v>N/A</v>
      </c>
      <c r="CW216" s="211" t="str">
        <f t="shared" si="135"/>
        <v>N/A</v>
      </c>
      <c r="CX216" s="211" t="str">
        <f t="shared" si="136"/>
        <v>N/A</v>
      </c>
      <c r="CY216" s="211" t="str">
        <f t="shared" si="137"/>
        <v>N/A</v>
      </c>
      <c r="CZ216" s="211" t="str">
        <f t="shared" si="138"/>
        <v>N/A</v>
      </c>
      <c r="DA216" s="211" t="str">
        <f t="shared" si="139"/>
        <v>Durante el mes de Julio, se gestionaron  211 cuentas que fueron radicadas en los tiempos estipulados de acuerdo con la Circular Interna 2022920020000026-4 de 2022,asi mismo, los documentos radicados despues del dia 25 calendario se tramitaron en el siguiente mes. Por lo cual, se cumplió con la meta del indicador del 100%, (211/211) habiendo gestionado la totalidad de las cuentas radicadas con un tiempo de gestión de 2,5 dias hábiles. Se adjunta base con relación de cuentas radicadas y gestionadas, asi como el reporte del indicador con la correspondiente gráfica.</v>
      </c>
      <c r="DB216" s="211" t="str">
        <f t="shared" si="140"/>
        <v>N/A</v>
      </c>
      <c r="DC216" s="211" t="str">
        <f t="shared" si="141"/>
        <v>N/A</v>
      </c>
      <c r="DD216" s="211" t="str">
        <f t="shared" si="142"/>
        <v>N/A</v>
      </c>
      <c r="DE216" s="211" t="str">
        <f t="shared" si="143"/>
        <v>N/A</v>
      </c>
      <c r="DF216" s="211" t="str">
        <f t="shared" si="144"/>
        <v>N/A</v>
      </c>
    </row>
    <row r="217" spans="1:110" ht="64.5" customHeight="1">
      <c r="A217" s="349" t="s">
        <v>271</v>
      </c>
      <c r="B217" s="209" t="s">
        <v>145</v>
      </c>
      <c r="C217" s="209" t="s">
        <v>221</v>
      </c>
      <c r="D217" s="209" t="s">
        <v>537</v>
      </c>
      <c r="E217" s="209" t="s">
        <v>538</v>
      </c>
      <c r="F217" s="349" t="s">
        <v>539</v>
      </c>
      <c r="G217" s="209" t="s">
        <v>157</v>
      </c>
      <c r="H217" s="243">
        <v>7</v>
      </c>
      <c r="I217" s="323">
        <v>14</v>
      </c>
      <c r="J217" s="323">
        <v>7</v>
      </c>
      <c r="K217" s="290">
        <v>2</v>
      </c>
      <c r="L217" s="209" t="s">
        <v>2842</v>
      </c>
      <c r="M217" s="209" t="b">
        <v>1</v>
      </c>
      <c r="N217" s="209" t="s">
        <v>2843</v>
      </c>
      <c r="O217" s="209" t="s">
        <v>2832</v>
      </c>
      <c r="P217" s="209" t="s">
        <v>159</v>
      </c>
      <c r="Q217" s="209" t="s">
        <v>160</v>
      </c>
      <c r="T217" s="269"/>
      <c r="AE217" s="269"/>
      <c r="AF217" s="269"/>
      <c r="AG217" s="269"/>
      <c r="AH217" s="269"/>
      <c r="AI217" s="269"/>
      <c r="AJ217" s="269"/>
      <c r="AK217" s="270"/>
      <c r="AL217" s="270"/>
      <c r="AM217" s="270"/>
      <c r="AN217" s="270"/>
      <c r="AO217" s="270"/>
      <c r="AP217" s="270"/>
      <c r="AQ217" s="270"/>
      <c r="AR217" s="270"/>
      <c r="AS217" s="270"/>
      <c r="CO217" s="209" t="s">
        <v>271</v>
      </c>
      <c r="CP217" s="209" t="s">
        <v>145</v>
      </c>
      <c r="CQ217" s="209" t="s">
        <v>221</v>
      </c>
      <c r="CR217" s="209" t="s">
        <v>537</v>
      </c>
      <c r="CS217" s="209" t="s">
        <v>2842</v>
      </c>
      <c r="CT217" s="209" t="s">
        <v>221</v>
      </c>
      <c r="CU217" s="211" t="str">
        <f t="shared" si="133"/>
        <v>N/A</v>
      </c>
      <c r="CV217" s="211" t="str">
        <f t="shared" si="134"/>
        <v>N/A</v>
      </c>
      <c r="CW217" s="211" t="str">
        <f t="shared" si="135"/>
        <v>N/A</v>
      </c>
      <c r="CX217" s="211" t="str">
        <f t="shared" si="136"/>
        <v>N/A</v>
      </c>
      <c r="CY217" s="211" t="str">
        <f t="shared" si="137"/>
        <v>N/A</v>
      </c>
      <c r="CZ217" s="211" t="str">
        <f t="shared" si="138"/>
        <v>N/A</v>
      </c>
      <c r="DA217" s="211" t="str">
        <f t="shared" si="139"/>
        <v>N/A</v>
      </c>
      <c r="DB217" s="211" t="str">
        <f t="shared" si="140"/>
        <v xml:space="preserve">​Durante los meses de Mayo, Junio, Julio y Agosto se realizaron de total 14 auditorías en entidades territoriales como Magdalena, Cesar, Bolivar, Caldas, Boyacá, Antioquia y Chocó y a algunos generadores de recursos en el departamento del Cauca. Se registran las evidencias en carpetas por cada mes en el enlace del Sharepoint de la DETGRARSGSSS.
</v>
      </c>
      <c r="DC217" s="211" t="str">
        <f t="shared" si="141"/>
        <v>N/A</v>
      </c>
      <c r="DD217" s="211" t="str">
        <f t="shared" si="142"/>
        <v>N/A</v>
      </c>
      <c r="DE217" s="211" t="str">
        <f t="shared" si="143"/>
        <v>N/A</v>
      </c>
      <c r="DF217" s="211" t="str">
        <f t="shared" si="144"/>
        <v>N/A</v>
      </c>
    </row>
    <row r="218" spans="1:110" ht="64.5" customHeight="1">
      <c r="A218" s="349" t="s">
        <v>271</v>
      </c>
      <c r="B218" s="209" t="s">
        <v>145</v>
      </c>
      <c r="C218" s="209" t="s">
        <v>225</v>
      </c>
      <c r="D218" s="209" t="s">
        <v>293</v>
      </c>
      <c r="E218" s="209" t="s">
        <v>294</v>
      </c>
      <c r="F218" s="349" t="s">
        <v>295</v>
      </c>
      <c r="G218" s="209" t="s">
        <v>157</v>
      </c>
      <c r="H218" s="243">
        <v>5</v>
      </c>
      <c r="I218" s="323">
        <v>17</v>
      </c>
      <c r="J218" s="323">
        <v>5</v>
      </c>
      <c r="K218" s="290">
        <v>3.4</v>
      </c>
      <c r="L218" s="209" t="s">
        <v>2844</v>
      </c>
      <c r="M218" s="209" t="b">
        <v>1</v>
      </c>
      <c r="N218" s="209" t="s">
        <v>2845</v>
      </c>
      <c r="O218" s="209" t="s">
        <v>2832</v>
      </c>
      <c r="P218" s="209" t="s">
        <v>159</v>
      </c>
      <c r="Q218" s="209" t="s">
        <v>160</v>
      </c>
      <c r="T218" s="269"/>
      <c r="AE218" s="269"/>
      <c r="AF218" s="269"/>
      <c r="AG218" s="269"/>
      <c r="AH218" s="269"/>
      <c r="AI218" s="269"/>
      <c r="AJ218" s="269"/>
      <c r="AK218" s="270"/>
      <c r="AL218" s="270"/>
      <c r="AM218" s="270"/>
      <c r="AN218" s="270"/>
      <c r="AO218" s="270"/>
      <c r="AP218" s="270"/>
      <c r="AQ218" s="270"/>
      <c r="AR218" s="270"/>
      <c r="AS218" s="270"/>
      <c r="CO218" s="209" t="s">
        <v>271</v>
      </c>
      <c r="CP218" s="209" t="s">
        <v>145</v>
      </c>
      <c r="CQ218" s="209" t="s">
        <v>225</v>
      </c>
      <c r="CR218" s="209" t="s">
        <v>293</v>
      </c>
      <c r="CS218" s="209" t="s">
        <v>2844</v>
      </c>
      <c r="CT218" s="209" t="s">
        <v>225</v>
      </c>
      <c r="CU218" s="211" t="str">
        <f t="shared" si="133"/>
        <v>N/A</v>
      </c>
      <c r="CV218" s="211" t="str">
        <f t="shared" si="134"/>
        <v>N/A</v>
      </c>
      <c r="CW218" s="211" t="str">
        <f t="shared" si="135"/>
        <v>N/A</v>
      </c>
      <c r="CX218" s="211" t="str">
        <f t="shared" si="136"/>
        <v>N/A</v>
      </c>
      <c r="CY218" s="211" t="str">
        <f t="shared" si="137"/>
        <v>N/A</v>
      </c>
      <c r="CZ218" s="211" t="str">
        <f t="shared" si="138"/>
        <v>N/A</v>
      </c>
      <c r="DA218" s="211" t="str">
        <f t="shared" si="139"/>
        <v>N/A</v>
      </c>
      <c r="DB218" s="211" t="str">
        <f t="shared" si="140"/>
        <v xml:space="preserve">​En el primer semestre se pudieron presentar algunos errores en el reporte; por tal motivo, se están realizando reportes adicionales para contrarrestar esto.  
Frente al avance en este indicador, se realizaron 17 seguimientos a auditorias entre las que se encuentran las realizadas a los  municipios de Riohacha, Manaure, Uribia, Maicao, deparatamento de La Guajira y Seguimiento del segundo (2) avance Plan de Mejoramiento Empresa Industrial y Comercial del Estado Administradora del Monopolio Rentístico de los Juegos de Suerte y Azar - COLJUEGOS . En la carpeta de evidencias se encuentran las actas e informes de los seguimientos realizados.
</v>
      </c>
      <c r="DC218" s="211" t="str">
        <f t="shared" si="141"/>
        <v>N/A</v>
      </c>
      <c r="DD218" s="211" t="str">
        <f t="shared" si="142"/>
        <v>N/A</v>
      </c>
      <c r="DE218" s="211" t="str">
        <f t="shared" si="143"/>
        <v>N/A</v>
      </c>
      <c r="DF218" s="211" t="str">
        <f t="shared" si="144"/>
        <v>N/A</v>
      </c>
    </row>
    <row r="219" spans="1:110" ht="64.5" customHeight="1">
      <c r="A219" s="349" t="s">
        <v>271</v>
      </c>
      <c r="B219" s="209" t="s">
        <v>145</v>
      </c>
      <c r="C219" s="209" t="s">
        <v>540</v>
      </c>
      <c r="D219" s="209" t="s">
        <v>541</v>
      </c>
      <c r="E219" s="209" t="s">
        <v>542</v>
      </c>
      <c r="F219" s="349" t="s">
        <v>543</v>
      </c>
      <c r="G219" s="209" t="s">
        <v>157</v>
      </c>
      <c r="H219" s="243">
        <v>3</v>
      </c>
      <c r="I219" s="323">
        <v>1</v>
      </c>
      <c r="J219" s="433">
        <v>3</v>
      </c>
      <c r="K219" s="290">
        <v>0.25</v>
      </c>
      <c r="L219" s="209" t="s">
        <v>2940</v>
      </c>
      <c r="M219" s="209" t="b">
        <v>1</v>
      </c>
      <c r="N219" s="209" t="s">
        <v>2846</v>
      </c>
      <c r="O219" s="209" t="s">
        <v>2832</v>
      </c>
      <c r="P219" s="209" t="s">
        <v>159</v>
      </c>
      <c r="Q219" s="209" t="s">
        <v>160</v>
      </c>
      <c r="T219" s="269"/>
      <c r="AE219" s="269"/>
      <c r="AF219" s="269"/>
      <c r="AG219" s="269"/>
      <c r="AH219" s="269"/>
      <c r="AI219" s="269"/>
      <c r="AJ219" s="269"/>
      <c r="AK219" s="270"/>
      <c r="AL219" s="270"/>
      <c r="AM219" s="270"/>
      <c r="AN219" s="270"/>
      <c r="AO219" s="270"/>
      <c r="AP219" s="270"/>
      <c r="AQ219" s="270"/>
      <c r="AR219" s="270"/>
      <c r="AS219" s="270"/>
      <c r="CO219" s="209" t="s">
        <v>271</v>
      </c>
      <c r="CP219" s="209" t="s">
        <v>145</v>
      </c>
      <c r="CQ219" s="209" t="s">
        <v>540</v>
      </c>
      <c r="CR219" s="209" t="s">
        <v>541</v>
      </c>
      <c r="CS219" s="209" t="s">
        <v>2940</v>
      </c>
      <c r="CT219" s="209" t="s">
        <v>540</v>
      </c>
      <c r="CU219" s="211" t="str">
        <f t="shared" si="133"/>
        <v>N/A</v>
      </c>
      <c r="CV219" s="211" t="str">
        <f t="shared" si="134"/>
        <v>N/A</v>
      </c>
      <c r="CW219" s="211" t="str">
        <f t="shared" si="135"/>
        <v>N/A</v>
      </c>
      <c r="CX219" s="211" t="str">
        <f t="shared" si="136"/>
        <v>N/A</v>
      </c>
      <c r="CY219" s="211" t="str">
        <f t="shared" si="137"/>
        <v>N/A</v>
      </c>
      <c r="CZ219" s="211" t="str">
        <f t="shared" si="138"/>
        <v>N/A</v>
      </c>
      <c r="DA219" s="211" t="str">
        <f t="shared" si="139"/>
        <v>N/A</v>
      </c>
      <c r="DB219" s="211" t="str">
        <f t="shared" si="140"/>
        <v>​Durante el periodo de reporte, se realizó una mesa tecnica de fortalecimiento de competencias en inspeccion vigilancia y control de las Entiades territoriales de caracter Departamental, Distrital y Municipal de los departamentos de Cundinamarca, Bogotá, Amazonas y San Andrés.
Para el ultimo trimestre se realizarán las Mesas de fortalecimiento necesarias para cumplir con el 100% de lo planeado para la vigencia.</v>
      </c>
      <c r="DC219" s="211" t="str">
        <f t="shared" si="141"/>
        <v>N/A</v>
      </c>
      <c r="DD219" s="211" t="str">
        <f t="shared" si="142"/>
        <v>N/A</v>
      </c>
      <c r="DE219" s="211" t="str">
        <f t="shared" si="143"/>
        <v>N/A</v>
      </c>
      <c r="DF219" s="211" t="str">
        <f t="shared" si="144"/>
        <v>N/A</v>
      </c>
    </row>
    <row r="220" spans="1:110" ht="64.5" customHeight="1">
      <c r="A220" s="349" t="s">
        <v>271</v>
      </c>
      <c r="B220" s="209" t="s">
        <v>145</v>
      </c>
      <c r="C220" s="209" t="s">
        <v>341</v>
      </c>
      <c r="D220" s="209" t="s">
        <v>544</v>
      </c>
      <c r="E220" s="209" t="s">
        <v>545</v>
      </c>
      <c r="F220" s="349" t="s">
        <v>546</v>
      </c>
      <c r="G220" s="209" t="s">
        <v>157</v>
      </c>
      <c r="H220" s="243">
        <v>4</v>
      </c>
      <c r="I220" s="323">
        <v>3</v>
      </c>
      <c r="J220" s="323">
        <v>4</v>
      </c>
      <c r="K220" s="290">
        <v>0.75</v>
      </c>
      <c r="L220" s="209" t="s">
        <v>3141</v>
      </c>
      <c r="M220" s="209" t="b">
        <v>1</v>
      </c>
      <c r="N220" s="209" t="s">
        <v>2847</v>
      </c>
      <c r="O220" s="209" t="s">
        <v>2832</v>
      </c>
      <c r="P220" s="209" t="s">
        <v>159</v>
      </c>
      <c r="Q220" s="209" t="s">
        <v>160</v>
      </c>
      <c r="T220" s="269"/>
      <c r="AE220" s="269"/>
      <c r="AF220" s="269"/>
      <c r="AG220" s="269"/>
      <c r="AH220" s="269"/>
      <c r="AI220" s="269"/>
      <c r="AJ220" s="269"/>
      <c r="AK220" s="270"/>
      <c r="AL220" s="270"/>
      <c r="AM220" s="270"/>
      <c r="AN220" s="270"/>
      <c r="AO220" s="270"/>
      <c r="AP220" s="270"/>
      <c r="AQ220" s="270"/>
      <c r="AR220" s="270"/>
      <c r="AS220" s="270"/>
      <c r="CO220" s="209" t="s">
        <v>271</v>
      </c>
      <c r="CP220" s="209" t="s">
        <v>145</v>
      </c>
      <c r="CQ220" s="209" t="s">
        <v>341</v>
      </c>
      <c r="CR220" s="209" t="s">
        <v>544</v>
      </c>
      <c r="CS220" s="209" t="s">
        <v>3141</v>
      </c>
      <c r="CT220" s="209" t="s">
        <v>341</v>
      </c>
      <c r="CU220" s="211" t="str">
        <f t="shared" si="133"/>
        <v>N/A</v>
      </c>
      <c r="CV220" s="211" t="str">
        <f t="shared" si="134"/>
        <v>N/A</v>
      </c>
      <c r="CW220" s="211" t="str">
        <f t="shared" si="135"/>
        <v>N/A</v>
      </c>
      <c r="CX220" s="211" t="str">
        <f t="shared" si="136"/>
        <v>N/A</v>
      </c>
      <c r="CY220" s="211" t="str">
        <f t="shared" si="137"/>
        <v>N/A</v>
      </c>
      <c r="CZ220" s="211" t="str">
        <f t="shared" si="138"/>
        <v>N/A</v>
      </c>
      <c r="DA220" s="211" t="str">
        <f t="shared" si="139"/>
        <v>N/A</v>
      </c>
      <c r="DB220" s="211" t="str">
        <f t="shared" si="140"/>
        <v xml:space="preserve">​Por los cambios del personas de la Delegada producto del concurso de mérito, no se realizó una de las sensibilizaciones proyectadas esperando la llegada de los nuevos funcionarios para que estos procesos de formación en el SIG contribuyeran a los procesos de inducción.
Para el periodo de reporte, Se realizaron 3 sesiones de sensibilización sobre el Sistema Integrado de Gestión al interior de la Delegada para Entidades Territoriales. A continuación, se presenta una descripción general de los temas tratados.
1. Sesión se realizó un simil entre el ajedrez y la planeación, en la que se explicó aspectos relacionados con la anticipación, el análisis de riesgos, los beneficios y la capacidad de adaptarse a cambios inesperados para lograr el éxito. Haciendo enfasis en que la planificación empresarial, como el ajedrez, se basa en la evaluación de diferentes escenarios, la consideración de múltiples factores y la toma de decisiones bien fundamentada. 
2. Se realizó una actividad en la que se explicaba las abejas y la gestión de procesos, en la que se destaco la organización en roles definidos, la comunicación constante y efectiva, el enfoque sistemico y el trabajo en equipo, entre otros.
3. Se aplico un test que tenía como objetivo identificar los temas que se deben reforzar al interior del equipo; así mismo, se expuso de manera general algunos conceptos básicos  del Sistema Integrado de Gestión y del proceso de Seguimiento y evaluación al vigilado.
</v>
      </c>
      <c r="DC220" s="211" t="str">
        <f t="shared" si="141"/>
        <v>N/A</v>
      </c>
      <c r="DD220" s="211" t="str">
        <f t="shared" si="142"/>
        <v>N/A</v>
      </c>
      <c r="DE220" s="211" t="str">
        <f t="shared" si="143"/>
        <v>N/A</v>
      </c>
      <c r="DF220" s="211" t="str">
        <f t="shared" si="144"/>
        <v>N/A</v>
      </c>
    </row>
    <row r="221" spans="1:110" ht="64.5" customHeight="1">
      <c r="A221" s="349" t="s">
        <v>271</v>
      </c>
      <c r="B221" s="209" t="s">
        <v>145</v>
      </c>
      <c r="C221" s="209" t="s">
        <v>547</v>
      </c>
      <c r="D221" s="209" t="s">
        <v>548</v>
      </c>
      <c r="E221" s="209" t="s">
        <v>549</v>
      </c>
      <c r="F221" s="349" t="s">
        <v>550</v>
      </c>
      <c r="G221" s="209" t="s">
        <v>157</v>
      </c>
      <c r="H221" s="243">
        <v>34</v>
      </c>
      <c r="I221" s="323">
        <v>41</v>
      </c>
      <c r="J221" s="323">
        <v>34</v>
      </c>
      <c r="K221" s="290">
        <v>1.20588235294118</v>
      </c>
      <c r="L221" s="209" t="s">
        <v>2941</v>
      </c>
      <c r="M221" s="209" t="b">
        <v>1</v>
      </c>
      <c r="N221" s="209" t="s">
        <v>2848</v>
      </c>
      <c r="O221" s="209" t="s">
        <v>2832</v>
      </c>
      <c r="P221" s="209" t="s">
        <v>159</v>
      </c>
      <c r="Q221" s="209" t="s">
        <v>160</v>
      </c>
      <c r="T221" s="269"/>
      <c r="AE221" s="269"/>
      <c r="AF221" s="269"/>
      <c r="AG221" s="269"/>
      <c r="AH221" s="269"/>
      <c r="AI221" s="269"/>
      <c r="AJ221" s="269"/>
      <c r="AK221" s="270"/>
      <c r="AL221" s="270"/>
      <c r="AM221" s="270"/>
      <c r="AN221" s="270"/>
      <c r="AO221" s="270"/>
      <c r="AP221" s="270"/>
      <c r="AQ221" s="270"/>
      <c r="AR221" s="270"/>
      <c r="AS221" s="270"/>
      <c r="CO221" s="209" t="s">
        <v>271</v>
      </c>
      <c r="CP221" s="209" t="s">
        <v>145</v>
      </c>
      <c r="CQ221" s="209" t="s">
        <v>547</v>
      </c>
      <c r="CR221" s="209" t="s">
        <v>548</v>
      </c>
      <c r="CS221" s="209" t="s">
        <v>2941</v>
      </c>
      <c r="CT221" s="209" t="s">
        <v>547</v>
      </c>
      <c r="CU221" s="211" t="str">
        <f t="shared" si="133"/>
        <v>N/A</v>
      </c>
      <c r="CV221" s="211" t="str">
        <f t="shared" si="134"/>
        <v>N/A</v>
      </c>
      <c r="CW221" s="211" t="str">
        <f t="shared" si="135"/>
        <v>N/A</v>
      </c>
      <c r="CX221" s="211" t="str">
        <f t="shared" si="136"/>
        <v>N/A</v>
      </c>
      <c r="CY221" s="211" t="str">
        <f t="shared" si="137"/>
        <v>N/A</v>
      </c>
      <c r="CZ221" s="211" t="str">
        <f t="shared" si="138"/>
        <v>N/A</v>
      </c>
      <c r="DA221" s="211" t="str">
        <f t="shared" si="139"/>
        <v>N/A</v>
      </c>
      <c r="DB221" s="211" t="str">
        <f t="shared" si="140"/>
        <v xml:space="preserve">​Debido a que en el primer semestre se pudieron cometer errores en el reporte de los avances y en el cargue de las evidencias, desde la Delegada se tomo la decisión de desarrollar actividades adicionales a las establecidas para cumplir a cabalidad con lo definido en el PAG.
Para el periodo de reporte se desarrollaron 41 mesas de Inspección y Vigilancia, entre las que se encuentra:
Mesa IV  Distrito de Bogotá
Mesa IV  Municipio de Madrid
Mesa IV  Dpto del Meta
Mesa IV  Dpto de Córdoba
Mesa IV  Municipio de Girardot
Mesa IV Dpto de La  Guajira
Mesa IV vacunación canina y felina Dpto, del Vaupés
Mesa de IV vacunación canina y felina Dpto de Vichada
Para consultar los soportes de las 41 mesas, puede dirigirse al enlace establecido
</v>
      </c>
      <c r="DC221" s="211" t="str">
        <f t="shared" si="141"/>
        <v>N/A</v>
      </c>
      <c r="DD221" s="211" t="str">
        <f t="shared" si="142"/>
        <v>N/A</v>
      </c>
      <c r="DE221" s="211" t="str">
        <f t="shared" si="143"/>
        <v>N/A</v>
      </c>
      <c r="DF221" s="211" t="str">
        <f t="shared" si="144"/>
        <v>N/A</v>
      </c>
    </row>
    <row r="222" spans="1:110" ht="64.5" customHeight="1">
      <c r="A222" s="349" t="s">
        <v>271</v>
      </c>
      <c r="B222" s="209" t="s">
        <v>145</v>
      </c>
      <c r="C222" s="209" t="s">
        <v>568</v>
      </c>
      <c r="D222" s="209" t="s">
        <v>569</v>
      </c>
      <c r="E222" s="209" t="s">
        <v>570</v>
      </c>
      <c r="F222" s="349" t="s">
        <v>571</v>
      </c>
      <c r="G222" s="209" t="s">
        <v>157</v>
      </c>
      <c r="H222" s="243">
        <v>4</v>
      </c>
      <c r="I222" s="323">
        <v>5</v>
      </c>
      <c r="J222" s="323">
        <v>4</v>
      </c>
      <c r="K222" s="290">
        <v>1</v>
      </c>
      <c r="L222" s="209" t="s">
        <v>2942</v>
      </c>
      <c r="M222" s="209" t="b">
        <v>1</v>
      </c>
      <c r="N222" s="209" t="s">
        <v>2849</v>
      </c>
      <c r="O222" s="209" t="s">
        <v>2832</v>
      </c>
      <c r="P222" s="209" t="s">
        <v>159</v>
      </c>
      <c r="Q222" s="209" t="s">
        <v>160</v>
      </c>
      <c r="T222" s="269"/>
      <c r="AE222" s="269"/>
      <c r="AF222" s="269"/>
      <c r="AG222" s="269"/>
      <c r="AH222" s="269"/>
      <c r="AI222" s="269"/>
      <c r="AJ222" s="269"/>
      <c r="AK222" s="270"/>
      <c r="AL222" s="270"/>
      <c r="AM222" s="270"/>
      <c r="AN222" s="270"/>
      <c r="AO222" s="270"/>
      <c r="AP222" s="270"/>
      <c r="AQ222" s="270"/>
      <c r="AR222" s="270"/>
      <c r="AS222" s="270"/>
      <c r="CO222" s="209" t="s">
        <v>271</v>
      </c>
      <c r="CP222" s="209" t="s">
        <v>145</v>
      </c>
      <c r="CQ222" s="209" t="s">
        <v>568</v>
      </c>
      <c r="CR222" s="209" t="s">
        <v>569</v>
      </c>
      <c r="CS222" s="209" t="s">
        <v>2942</v>
      </c>
      <c r="CT222" s="209" t="s">
        <v>568</v>
      </c>
      <c r="CU222" s="211" t="str">
        <f t="shared" si="133"/>
        <v>N/A</v>
      </c>
      <c r="CV222" s="211" t="str">
        <f t="shared" si="134"/>
        <v>N/A</v>
      </c>
      <c r="CW222" s="211" t="str">
        <f t="shared" si="135"/>
        <v>N/A</v>
      </c>
      <c r="CX222" s="211" t="str">
        <f t="shared" si="136"/>
        <v>N/A</v>
      </c>
      <c r="CY222" s="211" t="str">
        <f t="shared" si="137"/>
        <v>N/A</v>
      </c>
      <c r="CZ222" s="211" t="str">
        <f t="shared" si="138"/>
        <v>N/A</v>
      </c>
      <c r="DA222" s="211" t="str">
        <f t="shared" si="139"/>
        <v>N/A</v>
      </c>
      <c r="DB222" s="211" t="str">
        <f t="shared" si="140"/>
        <v xml:space="preserve">​Se realizó una acción integral en el municipio de Pacho en el que se contó con la participación de la Delegada de Prestadores y de Operadores Logisticos, las EPS, las alcaldias y secretarias municipales,la Gobernación de Cundinamarca y el Instituto Nacional de Salud, entre otros.  De igual forma, se realizaron AIT en Caquetá-San Vicente del Caguán, Magdalena-Santa Ana, Norte de Santander -Cúcuta y Nariño-Olaya Herrera
En el enlace se presentan los insumos y soportes de esta acción.
</v>
      </c>
      <c r="DC222" s="211" t="str">
        <f t="shared" si="141"/>
        <v>N/A</v>
      </c>
      <c r="DD222" s="211" t="str">
        <f t="shared" si="142"/>
        <v>N/A</v>
      </c>
      <c r="DE222" s="211" t="str">
        <f t="shared" si="143"/>
        <v>N/A</v>
      </c>
      <c r="DF222" s="211" t="str">
        <f t="shared" si="144"/>
        <v>N/A</v>
      </c>
    </row>
    <row r="223" spans="1:110" ht="64.5" customHeight="1">
      <c r="A223" s="349" t="s">
        <v>271</v>
      </c>
      <c r="B223" s="209" t="s">
        <v>145</v>
      </c>
      <c r="C223" s="209" t="s">
        <v>563</v>
      </c>
      <c r="D223" s="209" t="s">
        <v>564</v>
      </c>
      <c r="E223" s="209" t="s">
        <v>565</v>
      </c>
      <c r="F223" s="349" t="s">
        <v>566</v>
      </c>
      <c r="G223" s="209" t="s">
        <v>178</v>
      </c>
      <c r="H223" s="243">
        <v>1</v>
      </c>
      <c r="I223" s="323">
        <v>107</v>
      </c>
      <c r="J223" s="323">
        <v>107</v>
      </c>
      <c r="K223" s="290">
        <v>1</v>
      </c>
      <c r="L223" s="209" t="s">
        <v>3119</v>
      </c>
      <c r="M223" s="209" t="b">
        <v>1</v>
      </c>
      <c r="N223" s="209" t="s">
        <v>2850</v>
      </c>
      <c r="O223" s="209" t="s">
        <v>2832</v>
      </c>
      <c r="P223" s="209" t="s">
        <v>159</v>
      </c>
      <c r="Q223" s="209" t="s">
        <v>160</v>
      </c>
      <c r="T223" s="269"/>
      <c r="AE223" s="269"/>
      <c r="AF223" s="269"/>
      <c r="AG223" s="269"/>
      <c r="AH223" s="269"/>
      <c r="AI223" s="269"/>
      <c r="AJ223" s="269"/>
      <c r="AK223" s="270"/>
      <c r="AL223" s="270"/>
      <c r="AM223" s="270"/>
      <c r="AN223" s="270"/>
      <c r="AO223" s="270"/>
      <c r="AP223" s="270"/>
      <c r="AQ223" s="270"/>
      <c r="AR223" s="270"/>
      <c r="AS223" s="270"/>
      <c r="CO223" s="209" t="s">
        <v>271</v>
      </c>
      <c r="CP223" s="209" t="s">
        <v>145</v>
      </c>
      <c r="CQ223" s="209" t="s">
        <v>563</v>
      </c>
      <c r="CR223" s="209" t="s">
        <v>564</v>
      </c>
      <c r="CS223" s="209" t="s">
        <v>3119</v>
      </c>
      <c r="CT223" s="209" t="s">
        <v>563</v>
      </c>
      <c r="CU223" s="211" t="str">
        <f t="shared" si="133"/>
        <v>N/A</v>
      </c>
      <c r="CV223" s="211" t="str">
        <f t="shared" si="134"/>
        <v>N/A</v>
      </c>
      <c r="CW223" s="211" t="str">
        <f t="shared" si="135"/>
        <v>N/A</v>
      </c>
      <c r="CX223" s="211" t="str">
        <f t="shared" si="136"/>
        <v>N/A</v>
      </c>
      <c r="CY223" s="211" t="str">
        <f t="shared" si="137"/>
        <v>N/A</v>
      </c>
      <c r="CZ223" s="211" t="str">
        <f t="shared" si="138"/>
        <v>N/A</v>
      </c>
      <c r="DA223" s="211" t="str">
        <f t="shared" si="139"/>
        <v>N/A</v>
      </c>
      <c r="DB223" s="211" t="str">
        <f t="shared" si="140"/>
        <v xml:space="preserve">​Se desarrollaron 107 acciones en el marco del ANS, entre las que se encuentran jornadas de atención al usuario orientadas a verificar la adecuada prestación de los servicios de salud y la gestión de trámites por parte de las EPS en municipios como Fonseca, Paratebueno, Maní, Sogamoso y San Vicente del Caguán, entre otros. De igual manera, se adelantaron ejercicios de verificación rápida en Barrancabermeja, Bucaramanga, Enciso y San Andrés. 
Por otra parte, las Direcciones Regionales apoyaron en mesas de PQR en departamentos como Boyacá; así como, en  ferias de servicios y procesos de capacitación en diferentes territorios los cuales pueden verificarse en el enlace de la DETGRARSGSSS
</v>
      </c>
      <c r="DC223" s="211" t="str">
        <f t="shared" si="141"/>
        <v>N/A</v>
      </c>
      <c r="DD223" s="211" t="str">
        <f t="shared" si="142"/>
        <v>N/A</v>
      </c>
      <c r="DE223" s="211" t="str">
        <f t="shared" si="143"/>
        <v>N/A</v>
      </c>
      <c r="DF223" s="211" t="str">
        <f t="shared" si="144"/>
        <v>N/A</v>
      </c>
    </row>
    <row r="224" spans="1:110" ht="64.5" customHeight="1">
      <c r="A224" s="349" t="s">
        <v>454</v>
      </c>
      <c r="B224" s="209" t="s">
        <v>145</v>
      </c>
      <c r="C224" s="209" t="s">
        <v>460</v>
      </c>
      <c r="D224" s="209" t="s">
        <v>461</v>
      </c>
      <c r="E224" s="209" t="s">
        <v>462</v>
      </c>
      <c r="F224" s="349" t="s">
        <v>463</v>
      </c>
      <c r="G224" s="209" t="s">
        <v>157</v>
      </c>
      <c r="H224" s="243">
        <v>1</v>
      </c>
      <c r="I224" s="323">
        <v>1</v>
      </c>
      <c r="J224" s="323">
        <v>1</v>
      </c>
      <c r="K224" s="290">
        <v>1</v>
      </c>
      <c r="L224" s="209" t="s">
        <v>2872</v>
      </c>
      <c r="M224" s="209" t="b">
        <v>0</v>
      </c>
      <c r="O224" s="209" t="s">
        <v>2832</v>
      </c>
      <c r="P224" s="209" t="s">
        <v>159</v>
      </c>
      <c r="Q224" s="209" t="s">
        <v>160</v>
      </c>
      <c r="T224" s="269"/>
      <c r="AE224" s="269"/>
      <c r="AF224" s="269"/>
      <c r="AG224" s="269"/>
      <c r="AH224" s="269"/>
      <c r="AI224" s="269"/>
      <c r="AJ224" s="269"/>
      <c r="AK224" s="270"/>
      <c r="AL224" s="270"/>
      <c r="AM224" s="270"/>
      <c r="AN224" s="270"/>
      <c r="AO224" s="270"/>
      <c r="AP224" s="270"/>
      <c r="AQ224" s="270"/>
      <c r="AR224" s="270"/>
      <c r="AS224" s="270"/>
      <c r="CO224" s="209" t="s">
        <v>454</v>
      </c>
      <c r="CP224" s="209" t="s">
        <v>145</v>
      </c>
      <c r="CQ224" s="209" t="s">
        <v>460</v>
      </c>
      <c r="CR224" s="209" t="s">
        <v>461</v>
      </c>
      <c r="CS224" s="209" t="s">
        <v>2872</v>
      </c>
      <c r="CT224" s="209" t="s">
        <v>460</v>
      </c>
      <c r="CU224" s="211" t="str">
        <f t="shared" si="133"/>
        <v>N/A</v>
      </c>
      <c r="CV224" s="211" t="str">
        <f t="shared" si="134"/>
        <v>N/A</v>
      </c>
      <c r="CW224" s="211" t="str">
        <f t="shared" si="135"/>
        <v>N/A</v>
      </c>
      <c r="CX224" s="211" t="str">
        <f t="shared" si="136"/>
        <v>N/A</v>
      </c>
      <c r="CY224" s="211" t="str">
        <f t="shared" si="137"/>
        <v>N/A</v>
      </c>
      <c r="CZ224" s="211" t="str">
        <f t="shared" si="138"/>
        <v>N/A</v>
      </c>
      <c r="DA224" s="211" t="str">
        <f t="shared" si="139"/>
        <v>N/A</v>
      </c>
      <c r="DB224" s="211" t="str">
        <f t="shared" si="140"/>
        <v xml:space="preserve">​​Se cumple con la programación dado que se realizan actividades de socialización, asistencia técnica, mesas de trabajo o acompañamiento a los actores del SGSSS, en la Regional Orinoquia, Gestores Farmacéuticos con las EPS, los días 21 y 22 de agosto de 2025.
</v>
      </c>
      <c r="DC224" s="211" t="str">
        <f t="shared" si="141"/>
        <v>N/A</v>
      </c>
      <c r="DD224" s="211" t="str">
        <f t="shared" si="142"/>
        <v>N/A</v>
      </c>
      <c r="DE224" s="211" t="str">
        <f t="shared" si="143"/>
        <v>N/A</v>
      </c>
      <c r="DF224" s="211" t="str">
        <f t="shared" si="144"/>
        <v>N/A</v>
      </c>
    </row>
    <row r="225" spans="1:110" ht="64.5" customHeight="1">
      <c r="A225" s="349" t="s">
        <v>454</v>
      </c>
      <c r="B225" s="209" t="s">
        <v>145</v>
      </c>
      <c r="C225" s="209" t="s">
        <v>466</v>
      </c>
      <c r="D225" s="209" t="s">
        <v>467</v>
      </c>
      <c r="E225" s="209" t="s">
        <v>468</v>
      </c>
      <c r="F225" s="349" t="s">
        <v>469</v>
      </c>
      <c r="G225" s="209" t="s">
        <v>157</v>
      </c>
      <c r="H225" s="243">
        <v>2</v>
      </c>
      <c r="I225" s="323">
        <v>2</v>
      </c>
      <c r="J225" s="323">
        <v>2</v>
      </c>
      <c r="K225" s="290">
        <v>1</v>
      </c>
      <c r="L225" s="209" t="s">
        <v>2873</v>
      </c>
      <c r="M225" s="209" t="b">
        <v>0</v>
      </c>
      <c r="O225" s="209" t="s">
        <v>2832</v>
      </c>
      <c r="P225" s="209" t="s">
        <v>159</v>
      </c>
      <c r="Q225" s="209" t="s">
        <v>160</v>
      </c>
      <c r="T225" s="269"/>
      <c r="AE225" s="269"/>
      <c r="AF225" s="269"/>
      <c r="AG225" s="269"/>
      <c r="AH225" s="269"/>
      <c r="AI225" s="269"/>
      <c r="AJ225" s="269"/>
      <c r="AK225" s="270"/>
      <c r="AL225" s="270"/>
      <c r="AM225" s="270"/>
      <c r="AN225" s="270"/>
      <c r="AO225" s="270"/>
      <c r="AP225" s="270"/>
      <c r="AQ225" s="270"/>
      <c r="AR225" s="270"/>
      <c r="AS225" s="270"/>
      <c r="CO225" s="209" t="s">
        <v>454</v>
      </c>
      <c r="CP225" s="209" t="s">
        <v>145</v>
      </c>
      <c r="CQ225" s="209" t="s">
        <v>466</v>
      </c>
      <c r="CR225" s="209" t="s">
        <v>467</v>
      </c>
      <c r="CS225" s="209" t="s">
        <v>2873</v>
      </c>
      <c r="CT225" s="209" t="s">
        <v>466</v>
      </c>
      <c r="CU225" s="211" t="str">
        <f t="shared" si="133"/>
        <v>N/A</v>
      </c>
      <c r="CV225" s="211" t="str">
        <f t="shared" si="134"/>
        <v>N/A</v>
      </c>
      <c r="CW225" s="211" t="str">
        <f t="shared" si="135"/>
        <v>N/A</v>
      </c>
      <c r="CX225" s="211" t="str">
        <f t="shared" si="136"/>
        <v>N/A</v>
      </c>
      <c r="CY225" s="211" t="str">
        <f t="shared" si="137"/>
        <v>N/A</v>
      </c>
      <c r="CZ225" s="211" t="str">
        <f t="shared" si="138"/>
        <v>N/A</v>
      </c>
      <c r="DA225" s="211" t="str">
        <f t="shared" si="139"/>
        <v>N/A</v>
      </c>
      <c r="DB225" s="211" t="str">
        <f t="shared" si="140"/>
        <v xml:space="preserve">​​Se cumple con la programación de las actividades de acompañamiento a las Direcicones Regionales dado que se realizan actividades de IVC a los Gestores  DISCOLMETS y DISFARMA 
</v>
      </c>
      <c r="DC225" s="211" t="str">
        <f t="shared" si="141"/>
        <v>N/A</v>
      </c>
      <c r="DD225" s="211" t="str">
        <f t="shared" si="142"/>
        <v>N/A</v>
      </c>
      <c r="DE225" s="211" t="str">
        <f t="shared" si="143"/>
        <v>N/A</v>
      </c>
      <c r="DF225" s="211" t="str">
        <f t="shared" si="144"/>
        <v>N/A</v>
      </c>
    </row>
    <row r="226" spans="1:110" ht="64.5" customHeight="1">
      <c r="A226" s="349" t="s">
        <v>454</v>
      </c>
      <c r="B226" s="209" t="s">
        <v>145</v>
      </c>
      <c r="C226" s="209" t="s">
        <v>223</v>
      </c>
      <c r="D226" s="209" t="s">
        <v>455</v>
      </c>
      <c r="E226" s="209" t="s">
        <v>456</v>
      </c>
      <c r="F226" s="349" t="s">
        <v>457</v>
      </c>
      <c r="G226" s="209" t="s">
        <v>157</v>
      </c>
      <c r="H226" s="243">
        <v>1</v>
      </c>
      <c r="I226" s="323">
        <v>1</v>
      </c>
      <c r="J226" s="323">
        <v>1</v>
      </c>
      <c r="K226" s="290">
        <v>1</v>
      </c>
      <c r="L226" s="209" t="s">
        <v>2874</v>
      </c>
      <c r="M226" s="209" t="b">
        <v>0</v>
      </c>
      <c r="O226" s="209" t="s">
        <v>2832</v>
      </c>
      <c r="P226" s="209" t="s">
        <v>159</v>
      </c>
      <c r="Q226" s="209" t="s">
        <v>160</v>
      </c>
      <c r="T226" s="269"/>
      <c r="AE226" s="269"/>
      <c r="AF226" s="269"/>
      <c r="AG226" s="269"/>
      <c r="AH226" s="269"/>
      <c r="AI226" s="269"/>
      <c r="AJ226" s="269"/>
      <c r="AK226" s="270"/>
      <c r="AL226" s="270"/>
      <c r="AM226" s="270"/>
      <c r="AN226" s="270"/>
      <c r="AO226" s="270"/>
      <c r="AP226" s="270"/>
      <c r="AQ226" s="270"/>
      <c r="AR226" s="270"/>
      <c r="AS226" s="270"/>
      <c r="CO226" s="209" t="s">
        <v>454</v>
      </c>
      <c r="CP226" s="209" t="s">
        <v>145</v>
      </c>
      <c r="CQ226" s="209" t="s">
        <v>223</v>
      </c>
      <c r="CR226" s="209" t="s">
        <v>455</v>
      </c>
      <c r="CS226" s="209" t="s">
        <v>2874</v>
      </c>
      <c r="CT226" s="209" t="s">
        <v>223</v>
      </c>
      <c r="CU226" s="211" t="str">
        <f t="shared" si="133"/>
        <v>N/A</v>
      </c>
      <c r="CV226" s="211" t="str">
        <f t="shared" si="134"/>
        <v>N/A</v>
      </c>
      <c r="CW226" s="211" t="str">
        <f t="shared" si="135"/>
        <v>N/A</v>
      </c>
      <c r="CX226" s="211" t="str">
        <f t="shared" si="136"/>
        <v>N/A</v>
      </c>
      <c r="CY226" s="211" t="str">
        <f t="shared" si="137"/>
        <v>N/A</v>
      </c>
      <c r="CZ226" s="211" t="str">
        <f t="shared" si="138"/>
        <v>N/A</v>
      </c>
      <c r="DA226" s="211" t="str">
        <f t="shared" si="139"/>
        <v>N/A</v>
      </c>
      <c r="DB226" s="211" t="str">
        <f t="shared" si="140"/>
        <v xml:space="preserve">​​Se cumple con la programación de la actividad, dado que se realiza auditoría al Gestor Farmacéutico DISCOLMETS ordenada mediante Auto No  2025600020001212-7 del 26 de agosto de 2025
</v>
      </c>
      <c r="DC226" s="211" t="str">
        <f t="shared" si="141"/>
        <v>N/A</v>
      </c>
      <c r="DD226" s="211" t="str">
        <f t="shared" si="142"/>
        <v>N/A</v>
      </c>
      <c r="DE226" s="211" t="str">
        <f t="shared" si="143"/>
        <v>N/A</v>
      </c>
      <c r="DF226" s="211" t="str">
        <f t="shared" si="144"/>
        <v>N/A</v>
      </c>
    </row>
    <row r="227" spans="1:110" ht="64.5" customHeight="1">
      <c r="A227" s="349" t="s">
        <v>454</v>
      </c>
      <c r="B227" s="209" t="s">
        <v>145</v>
      </c>
      <c r="C227" s="209" t="s">
        <v>575</v>
      </c>
      <c r="D227" s="209" t="s">
        <v>576</v>
      </c>
      <c r="E227" s="209" t="s">
        <v>577</v>
      </c>
      <c r="F227" s="349" t="s">
        <v>578</v>
      </c>
      <c r="G227" s="209" t="s">
        <v>178</v>
      </c>
      <c r="H227" s="243">
        <v>0.96</v>
      </c>
      <c r="I227" s="323">
        <v>211</v>
      </c>
      <c r="J227" s="323">
        <v>276</v>
      </c>
      <c r="K227" s="290">
        <v>0.76449275362318803</v>
      </c>
      <c r="L227" s="209" t="s">
        <v>2875</v>
      </c>
      <c r="M227" s="209" t="b">
        <v>0</v>
      </c>
      <c r="O227" s="209" t="s">
        <v>2832</v>
      </c>
      <c r="P227" s="209" t="s">
        <v>159</v>
      </c>
      <c r="Q227" s="209" t="s">
        <v>160</v>
      </c>
      <c r="T227" s="269"/>
      <c r="AE227" s="269"/>
      <c r="AF227" s="269"/>
      <c r="AG227" s="269"/>
      <c r="AH227" s="269"/>
      <c r="AI227" s="269"/>
      <c r="AJ227" s="269"/>
      <c r="AK227" s="270"/>
      <c r="AL227" s="270"/>
      <c r="AM227" s="270"/>
      <c r="AN227" s="270"/>
      <c r="AO227" s="270"/>
      <c r="AP227" s="270"/>
      <c r="AQ227" s="270"/>
      <c r="AR227" s="270"/>
      <c r="AS227" s="270"/>
      <c r="CO227" s="209" t="s">
        <v>454</v>
      </c>
      <c r="CP227" s="209" t="s">
        <v>145</v>
      </c>
      <c r="CQ227" s="209" t="s">
        <v>575</v>
      </c>
      <c r="CR227" s="209" t="s">
        <v>576</v>
      </c>
      <c r="CS227" s="209" t="s">
        <v>2875</v>
      </c>
      <c r="CT227" s="209" t="s">
        <v>575</v>
      </c>
      <c r="CU227" s="211" t="str">
        <f t="shared" si="133"/>
        <v>N/A</v>
      </c>
      <c r="CV227" s="211" t="str">
        <f t="shared" si="134"/>
        <v>N/A</v>
      </c>
      <c r="CW227" s="211" t="str">
        <f t="shared" si="135"/>
        <v>N/A</v>
      </c>
      <c r="CX227" s="211" t="str">
        <f t="shared" si="136"/>
        <v>N/A</v>
      </c>
      <c r="CY227" s="211" t="str">
        <f t="shared" si="137"/>
        <v>N/A</v>
      </c>
      <c r="CZ227" s="211" t="str">
        <f t="shared" si="138"/>
        <v>N/A</v>
      </c>
      <c r="DA227" s="211" t="str">
        <f t="shared" si="139"/>
        <v>N/A</v>
      </c>
      <c r="DB227" s="211" t="str">
        <f t="shared" si="140"/>
        <v xml:space="preserve">​Debido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
</v>
      </c>
      <c r="DC227" s="211" t="str">
        <f t="shared" si="141"/>
        <v>N/A</v>
      </c>
      <c r="DD227" s="211" t="str">
        <f t="shared" si="142"/>
        <v>N/A</v>
      </c>
      <c r="DE227" s="211" t="str">
        <f t="shared" si="143"/>
        <v>N/A</v>
      </c>
      <c r="DF227" s="211" t="str">
        <f t="shared" si="144"/>
        <v>N/A</v>
      </c>
    </row>
    <row r="228" spans="1:110" ht="64.5" customHeight="1">
      <c r="A228" s="349" t="s">
        <v>454</v>
      </c>
      <c r="B228" s="209" t="s">
        <v>145</v>
      </c>
      <c r="C228" s="209" t="s">
        <v>579</v>
      </c>
      <c r="D228" s="209" t="s">
        <v>580</v>
      </c>
      <c r="E228" s="209" t="s">
        <v>581</v>
      </c>
      <c r="F228" s="349" t="s">
        <v>582</v>
      </c>
      <c r="G228" s="209" t="s">
        <v>178</v>
      </c>
      <c r="H228" s="243">
        <v>0.96</v>
      </c>
      <c r="I228" s="323">
        <v>151</v>
      </c>
      <c r="J228" s="323">
        <v>196</v>
      </c>
      <c r="K228" s="290">
        <v>0.77040816326530603</v>
      </c>
      <c r="L228" s="209" t="s">
        <v>2876</v>
      </c>
      <c r="M228" s="209" t="b">
        <v>0</v>
      </c>
      <c r="O228" s="209" t="s">
        <v>2832</v>
      </c>
      <c r="P228" s="209" t="s">
        <v>159</v>
      </c>
      <c r="Q228" s="209" t="s">
        <v>160</v>
      </c>
      <c r="T228" s="269"/>
      <c r="AE228" s="269"/>
      <c r="AF228" s="269"/>
      <c r="AG228" s="269"/>
      <c r="AH228" s="269"/>
      <c r="AI228" s="269"/>
      <c r="AJ228" s="269"/>
      <c r="AK228" s="270"/>
      <c r="AL228" s="270"/>
      <c r="AM228" s="270"/>
      <c r="AN228" s="270"/>
      <c r="AO228" s="270"/>
      <c r="AP228" s="270"/>
      <c r="AQ228" s="270"/>
      <c r="AR228" s="270"/>
      <c r="AS228" s="270"/>
      <c r="CO228" s="209" t="s">
        <v>454</v>
      </c>
      <c r="CP228" s="209" t="s">
        <v>145</v>
      </c>
      <c r="CQ228" s="209" t="s">
        <v>579</v>
      </c>
      <c r="CR228" s="209" t="s">
        <v>580</v>
      </c>
      <c r="CS228" s="209" t="s">
        <v>2876</v>
      </c>
      <c r="CT228" s="209" t="s">
        <v>579</v>
      </c>
      <c r="CU228" s="211" t="str">
        <f t="shared" si="133"/>
        <v>N/A</v>
      </c>
      <c r="CV228" s="211" t="str">
        <f t="shared" si="134"/>
        <v>N/A</v>
      </c>
      <c r="CW228" s="211" t="str">
        <f t="shared" si="135"/>
        <v>N/A</v>
      </c>
      <c r="CX228" s="211" t="str">
        <f t="shared" si="136"/>
        <v>N/A</v>
      </c>
      <c r="CY228" s="211" t="str">
        <f t="shared" si="137"/>
        <v>N/A</v>
      </c>
      <c r="CZ228" s="211" t="str">
        <f t="shared" si="138"/>
        <v>N/A</v>
      </c>
      <c r="DA228" s="211" t="str">
        <f t="shared" si="139"/>
        <v>N/A</v>
      </c>
      <c r="DB228" s="211" t="str">
        <f t="shared" si="140"/>
        <v xml:space="preserve">​​Debido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
</v>
      </c>
      <c r="DC228" s="211" t="str">
        <f t="shared" si="141"/>
        <v>N/A</v>
      </c>
      <c r="DD228" s="211" t="str">
        <f t="shared" si="142"/>
        <v>N/A</v>
      </c>
      <c r="DE228" s="211" t="str">
        <f t="shared" si="143"/>
        <v>N/A</v>
      </c>
      <c r="DF228" s="211" t="str">
        <f t="shared" si="144"/>
        <v>N/A</v>
      </c>
    </row>
    <row r="229" spans="1:110" ht="64.5" customHeight="1">
      <c r="A229" s="349" t="s">
        <v>454</v>
      </c>
      <c r="B229" s="209" t="s">
        <v>145</v>
      </c>
      <c r="C229" s="209" t="s">
        <v>584</v>
      </c>
      <c r="D229" s="209" t="s">
        <v>585</v>
      </c>
      <c r="E229" s="209" t="s">
        <v>586</v>
      </c>
      <c r="F229" s="349" t="s">
        <v>587</v>
      </c>
      <c r="G229" s="209" t="s">
        <v>178</v>
      </c>
      <c r="H229" s="243">
        <v>0.96</v>
      </c>
      <c r="I229" s="323">
        <v>60</v>
      </c>
      <c r="J229" s="323">
        <v>82</v>
      </c>
      <c r="K229" s="290">
        <v>0.73170731707317105</v>
      </c>
      <c r="L229" s="209" t="s">
        <v>2876</v>
      </c>
      <c r="M229" s="209" t="b">
        <v>0</v>
      </c>
      <c r="O229" s="209" t="s">
        <v>2832</v>
      </c>
      <c r="P229" s="209" t="s">
        <v>159</v>
      </c>
      <c r="Q229" s="209" t="s">
        <v>160</v>
      </c>
      <c r="T229" s="269"/>
      <c r="AE229" s="269"/>
      <c r="AF229" s="269"/>
      <c r="AG229" s="269"/>
      <c r="AH229" s="269"/>
      <c r="AI229" s="269"/>
      <c r="AJ229" s="269"/>
      <c r="AK229" s="270"/>
      <c r="AL229" s="270"/>
      <c r="AM229" s="270"/>
      <c r="AN229" s="270"/>
      <c r="AO229" s="270"/>
      <c r="AP229" s="270"/>
      <c r="AQ229" s="270"/>
      <c r="AR229" s="270"/>
      <c r="AS229" s="270"/>
      <c r="CO229" s="209" t="s">
        <v>454</v>
      </c>
      <c r="CP229" s="209" t="s">
        <v>145</v>
      </c>
      <c r="CQ229" s="209" t="s">
        <v>584</v>
      </c>
      <c r="CR229" s="209" t="s">
        <v>585</v>
      </c>
      <c r="CS229" s="209" t="s">
        <v>2876</v>
      </c>
      <c r="CT229" s="209" t="s">
        <v>584</v>
      </c>
      <c r="CU229" s="211" t="str">
        <f t="shared" si="133"/>
        <v>N/A</v>
      </c>
      <c r="CV229" s="211" t="str">
        <f t="shared" si="134"/>
        <v>N/A</v>
      </c>
      <c r="CW229" s="211" t="str">
        <f t="shared" si="135"/>
        <v>N/A</v>
      </c>
      <c r="CX229" s="211" t="str">
        <f t="shared" si="136"/>
        <v>N/A</v>
      </c>
      <c r="CY229" s="211" t="str">
        <f t="shared" si="137"/>
        <v>N/A</v>
      </c>
      <c r="CZ229" s="211" t="str">
        <f t="shared" si="138"/>
        <v>N/A</v>
      </c>
      <c r="DA229" s="211" t="str">
        <f t="shared" si="139"/>
        <v>N/A</v>
      </c>
      <c r="DB229" s="211" t="str">
        <f t="shared" si="140"/>
        <v xml:space="preserve">​​Debido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
</v>
      </c>
      <c r="DC229" s="211" t="str">
        <f t="shared" si="141"/>
        <v>N/A</v>
      </c>
      <c r="DD229" s="211" t="str">
        <f t="shared" si="142"/>
        <v>N/A</v>
      </c>
      <c r="DE229" s="211" t="str">
        <f t="shared" si="143"/>
        <v>N/A</v>
      </c>
      <c r="DF229" s="211" t="str">
        <f t="shared" si="144"/>
        <v>N/A</v>
      </c>
    </row>
    <row r="230" spans="1:110" ht="64.5" customHeight="1">
      <c r="A230" s="349" t="s">
        <v>238</v>
      </c>
      <c r="B230" s="209" t="s">
        <v>145</v>
      </c>
      <c r="C230" s="209" t="s">
        <v>364</v>
      </c>
      <c r="D230" s="209" t="s">
        <v>730</v>
      </c>
      <c r="E230" s="209" t="s">
        <v>731</v>
      </c>
      <c r="F230" s="349" t="s">
        <v>732</v>
      </c>
      <c r="G230" s="209" t="s">
        <v>157</v>
      </c>
      <c r="H230" s="243">
        <v>1</v>
      </c>
      <c r="I230" s="323">
        <v>2</v>
      </c>
      <c r="J230" s="323">
        <v>1</v>
      </c>
      <c r="K230" s="290">
        <v>2</v>
      </c>
      <c r="L230" s="209" t="s">
        <v>3120</v>
      </c>
      <c r="M230" s="209" t="b">
        <v>1</v>
      </c>
      <c r="N230" s="209" t="s">
        <v>2883</v>
      </c>
      <c r="O230" s="209" t="s">
        <v>2832</v>
      </c>
      <c r="P230" s="209" t="s">
        <v>159</v>
      </c>
      <c r="Q230" s="209" t="s">
        <v>160</v>
      </c>
      <c r="T230" s="269"/>
      <c r="AE230" s="269"/>
      <c r="AF230" s="269"/>
      <c r="AG230" s="269"/>
      <c r="AH230" s="269"/>
      <c r="AI230" s="269"/>
      <c r="AJ230" s="269"/>
      <c r="AK230" s="270"/>
      <c r="AL230" s="270"/>
      <c r="AM230" s="270"/>
      <c r="AN230" s="270"/>
      <c r="AO230" s="270"/>
      <c r="AP230" s="270"/>
      <c r="AQ230" s="270"/>
      <c r="AR230" s="270"/>
      <c r="AS230" s="270"/>
      <c r="CO230" s="209" t="s">
        <v>238</v>
      </c>
      <c r="CP230" s="209" t="s">
        <v>145</v>
      </c>
      <c r="CQ230" s="209" t="s">
        <v>364</v>
      </c>
      <c r="CR230" s="209" t="s">
        <v>730</v>
      </c>
      <c r="CS230" s="209" t="s">
        <v>3120</v>
      </c>
      <c r="CT230" s="209" t="s">
        <v>364</v>
      </c>
      <c r="CU230" s="211" t="str">
        <f t="shared" si="133"/>
        <v>N/A</v>
      </c>
      <c r="CV230" s="211" t="str">
        <f t="shared" si="134"/>
        <v>N/A</v>
      </c>
      <c r="CW230" s="211" t="str">
        <f t="shared" si="135"/>
        <v>N/A</v>
      </c>
      <c r="CX230" s="211" t="str">
        <f t="shared" si="136"/>
        <v>N/A</v>
      </c>
      <c r="CY230" s="211" t="str">
        <f t="shared" si="137"/>
        <v>N/A</v>
      </c>
      <c r="CZ230" s="211" t="str">
        <f t="shared" si="138"/>
        <v>N/A</v>
      </c>
      <c r="DA230" s="211" t="str">
        <f t="shared" si="139"/>
        <v>N/A</v>
      </c>
      <c r="DB230" s="211" t="str">
        <f t="shared" si="140"/>
        <v xml:space="preserve">​Se realizaron dos socializaciones durante el mes de agosto adelantando la socializacion del mes de septiembre, cumpliendo el 100% de las actividades programadas.
Estas  socializaciones se realizaron  en la ciudades de Pasto y Cali, en la cuales se aboradron los temas de Marco Integral de Supervisión y SIARC respectivamente.
</v>
      </c>
      <c r="DC230" s="211" t="str">
        <f t="shared" si="141"/>
        <v>N/A</v>
      </c>
      <c r="DD230" s="211" t="str">
        <f t="shared" si="142"/>
        <v>N/A</v>
      </c>
      <c r="DE230" s="211" t="str">
        <f t="shared" si="143"/>
        <v>N/A</v>
      </c>
      <c r="DF230" s="211" t="str">
        <f t="shared" si="144"/>
        <v>N/A</v>
      </c>
    </row>
    <row r="231" spans="1:110" ht="64.5" customHeight="1">
      <c r="A231" s="349" t="s">
        <v>238</v>
      </c>
      <c r="B231" s="209" t="s">
        <v>145</v>
      </c>
      <c r="C231" s="209" t="s">
        <v>1320</v>
      </c>
      <c r="D231" s="209" t="s">
        <v>1325</v>
      </c>
      <c r="E231" s="209" t="s">
        <v>1326</v>
      </c>
      <c r="F231" s="349" t="s">
        <v>2808</v>
      </c>
      <c r="G231" s="209" t="s">
        <v>178</v>
      </c>
      <c r="H231" s="243">
        <v>0.33</v>
      </c>
      <c r="I231" s="434">
        <v>0.33</v>
      </c>
      <c r="J231" s="434">
        <v>1</v>
      </c>
      <c r="K231" s="290">
        <v>0.33</v>
      </c>
      <c r="L231" s="209" t="s">
        <v>2935</v>
      </c>
      <c r="M231" s="209" t="b">
        <v>0</v>
      </c>
      <c r="O231" s="209" t="s">
        <v>2832</v>
      </c>
      <c r="P231" s="209" t="s">
        <v>159</v>
      </c>
      <c r="Q231" s="209" t="s">
        <v>160</v>
      </c>
      <c r="T231" s="269"/>
      <c r="AE231" s="269"/>
      <c r="AF231" s="269"/>
      <c r="AG231" s="269"/>
      <c r="AH231" s="269"/>
      <c r="AI231" s="269"/>
      <c r="AJ231" s="269"/>
      <c r="AK231" s="270"/>
      <c r="AL231" s="270"/>
      <c r="AM231" s="270"/>
      <c r="AN231" s="270"/>
      <c r="AO231" s="270"/>
      <c r="AP231" s="270"/>
      <c r="AQ231" s="270"/>
      <c r="AR231" s="270"/>
      <c r="AS231" s="270"/>
      <c r="CO231" s="209" t="s">
        <v>238</v>
      </c>
      <c r="CP231" s="209" t="s">
        <v>145</v>
      </c>
      <c r="CQ231" s="209" t="s">
        <v>1320</v>
      </c>
      <c r="CR231" s="209" t="s">
        <v>1325</v>
      </c>
      <c r="CS231" s="209" t="s">
        <v>2935</v>
      </c>
      <c r="CT231" s="209" t="s">
        <v>1320</v>
      </c>
      <c r="CU231" s="211" t="str">
        <f t="shared" si="133"/>
        <v>N/A</v>
      </c>
      <c r="CV231" s="211" t="str">
        <f t="shared" si="134"/>
        <v>N/A</v>
      </c>
      <c r="CW231" s="211" t="str">
        <f t="shared" si="135"/>
        <v>N/A</v>
      </c>
      <c r="CX231" s="211" t="str">
        <f t="shared" si="136"/>
        <v>N/A</v>
      </c>
      <c r="CY231" s="211" t="str">
        <f t="shared" si="137"/>
        <v>N/A</v>
      </c>
      <c r="CZ231" s="211" t="str">
        <f t="shared" si="138"/>
        <v>N/A</v>
      </c>
      <c r="DA231" s="211" t="str">
        <f t="shared" si="139"/>
        <v>N/A</v>
      </c>
      <c r="DB231" s="211" t="str">
        <f t="shared" si="140"/>
        <v xml:space="preserve">​En el marco de la estrategia de caracterización de grupos de interés y de valor, se presentan los avances correspondientes al periodo establecido. Dichos avances reflejan el cumplimiento de la meta parcial programada para esta fase del proceso.
</v>
      </c>
      <c r="DC231" s="211" t="str">
        <f t="shared" si="141"/>
        <v>N/A</v>
      </c>
      <c r="DD231" s="211" t="str">
        <f t="shared" si="142"/>
        <v>N/A</v>
      </c>
      <c r="DE231" s="211" t="str">
        <f t="shared" si="143"/>
        <v>N/A</v>
      </c>
      <c r="DF231" s="211" t="str">
        <f t="shared" si="144"/>
        <v>N/A</v>
      </c>
    </row>
    <row r="232" spans="1:110" ht="64.5" customHeight="1">
      <c r="A232" s="349" t="s">
        <v>317</v>
      </c>
      <c r="B232" s="209" t="s">
        <v>145</v>
      </c>
      <c r="C232" s="209" t="s">
        <v>330</v>
      </c>
      <c r="D232" s="209" t="s">
        <v>331</v>
      </c>
      <c r="E232" s="209" t="s">
        <v>332</v>
      </c>
      <c r="F232" s="349" t="s">
        <v>333</v>
      </c>
      <c r="G232" s="209" t="s">
        <v>157</v>
      </c>
      <c r="H232" s="243">
        <v>1</v>
      </c>
      <c r="I232" s="323">
        <v>1</v>
      </c>
      <c r="J232" s="323">
        <v>1</v>
      </c>
      <c r="K232" s="288">
        <f>+I232/J232</f>
        <v>1</v>
      </c>
      <c r="L232" s="209" t="s">
        <v>2890</v>
      </c>
      <c r="M232" s="209" t="b">
        <v>0</v>
      </c>
      <c r="O232" s="209" t="s">
        <v>2832</v>
      </c>
      <c r="P232" s="209" t="s">
        <v>159</v>
      </c>
      <c r="Q232" s="209" t="s">
        <v>160</v>
      </c>
      <c r="T232" s="269"/>
      <c r="AE232" s="269"/>
      <c r="AF232" s="269"/>
      <c r="AG232" s="269"/>
      <c r="AH232" s="269"/>
      <c r="AI232" s="269"/>
      <c r="AJ232" s="269"/>
      <c r="AK232" s="270"/>
      <c r="AL232" s="270"/>
      <c r="AM232" s="270"/>
      <c r="AN232" s="270"/>
      <c r="AO232" s="270"/>
      <c r="AP232" s="270"/>
      <c r="AQ232" s="270"/>
      <c r="AR232" s="270"/>
      <c r="AS232" s="270"/>
      <c r="CO232" s="209" t="s">
        <v>317</v>
      </c>
      <c r="CP232" s="209" t="s">
        <v>145</v>
      </c>
      <c r="CQ232" s="209" t="s">
        <v>330</v>
      </c>
      <c r="CR232" s="209" t="s">
        <v>331</v>
      </c>
      <c r="CS232" s="209" t="s">
        <v>2890</v>
      </c>
      <c r="CT232" s="209" t="s">
        <v>330</v>
      </c>
      <c r="CU232" s="211" t="str">
        <f t="shared" si="133"/>
        <v>N/A</v>
      </c>
      <c r="CV232" s="211" t="str">
        <f t="shared" si="134"/>
        <v>N/A</v>
      </c>
      <c r="CW232" s="211" t="str">
        <f t="shared" si="135"/>
        <v>N/A</v>
      </c>
      <c r="CX232" s="211" t="str">
        <f t="shared" si="136"/>
        <v>N/A</v>
      </c>
      <c r="CY232" s="211" t="str">
        <f t="shared" si="137"/>
        <v>N/A</v>
      </c>
      <c r="CZ232" s="211" t="str">
        <f t="shared" si="138"/>
        <v>N/A</v>
      </c>
      <c r="DA232" s="211" t="str">
        <f t="shared" si="139"/>
        <v>N/A</v>
      </c>
      <c r="DB232" s="211" t="str">
        <f t="shared" si="140"/>
        <v xml:space="preserve">​Se cumple con el desarrollo de una mesa de trabajo para la implementación y sostenibilidad de la política de gestión y desempeño de Mejora Normativa de una actividad programada dentro del cronograma para el  mes de agosto de 2025, mesa que se adelantó conjuntamente con el grupo de conceptos de la Dirección Jurídica y la Dirección de Innovación y Desarrollo con el objeto de revisar propuesta del manual de mejora normativa y aclarar competencias frente al proceso.
</v>
      </c>
      <c r="DC232" s="211" t="str">
        <f t="shared" si="141"/>
        <v>N/A</v>
      </c>
      <c r="DD232" s="211" t="str">
        <f t="shared" si="142"/>
        <v>N/A</v>
      </c>
      <c r="DE232" s="211" t="str">
        <f t="shared" si="143"/>
        <v>N/A</v>
      </c>
      <c r="DF232" s="211" t="str">
        <f t="shared" si="144"/>
        <v>N/A</v>
      </c>
    </row>
    <row r="233" spans="1:110" ht="64.5" customHeight="1">
      <c r="A233" s="349" t="s">
        <v>265</v>
      </c>
      <c r="B233" s="209" t="s">
        <v>145</v>
      </c>
      <c r="C233" s="209" t="s">
        <v>312</v>
      </c>
      <c r="D233" s="209" t="s">
        <v>313</v>
      </c>
      <c r="E233" s="209" t="s">
        <v>314</v>
      </c>
      <c r="F233" s="349" t="s">
        <v>315</v>
      </c>
      <c r="G233" s="209" t="s">
        <v>157</v>
      </c>
      <c r="H233" s="243">
        <v>1</v>
      </c>
      <c r="I233" s="323">
        <v>1</v>
      </c>
      <c r="J233" s="323">
        <v>1</v>
      </c>
      <c r="K233" s="290">
        <v>1</v>
      </c>
      <c r="L233" s="209" t="s">
        <v>2898</v>
      </c>
      <c r="M233" s="209" t="b">
        <v>0</v>
      </c>
      <c r="O233" s="209" t="s">
        <v>2832</v>
      </c>
      <c r="P233" s="209" t="s">
        <v>159</v>
      </c>
      <c r="Q233" s="209" t="s">
        <v>160</v>
      </c>
      <c r="T233" s="269"/>
      <c r="AE233" s="269"/>
      <c r="AF233" s="269"/>
      <c r="AG233" s="269"/>
      <c r="AH233" s="269"/>
      <c r="AI233" s="269"/>
      <c r="AJ233" s="269"/>
      <c r="AK233" s="270"/>
      <c r="AL233" s="270"/>
      <c r="AM233" s="270"/>
      <c r="AN233" s="270"/>
      <c r="AO233" s="270"/>
      <c r="AP233" s="270"/>
      <c r="AQ233" s="270"/>
      <c r="AR233" s="270"/>
      <c r="AS233" s="270"/>
      <c r="CO233" s="209" t="s">
        <v>265</v>
      </c>
      <c r="CP233" s="209" t="s">
        <v>145</v>
      </c>
      <c r="CQ233" s="209" t="s">
        <v>312</v>
      </c>
      <c r="CR233" s="209" t="s">
        <v>313</v>
      </c>
      <c r="CS233" s="209" t="s">
        <v>2898</v>
      </c>
      <c r="CT233" s="209" t="s">
        <v>312</v>
      </c>
      <c r="CU233" s="211" t="str">
        <f t="shared" si="133"/>
        <v>N/A</v>
      </c>
      <c r="CV233" s="211" t="str">
        <f t="shared" si="134"/>
        <v>N/A</v>
      </c>
      <c r="CW233" s="211" t="str">
        <f t="shared" si="135"/>
        <v>N/A</v>
      </c>
      <c r="CX233" s="211" t="str">
        <f t="shared" si="136"/>
        <v>N/A</v>
      </c>
      <c r="CY233" s="211" t="str">
        <f t="shared" si="137"/>
        <v>N/A</v>
      </c>
      <c r="CZ233" s="211" t="str">
        <f t="shared" si="138"/>
        <v>N/A</v>
      </c>
      <c r="DA233" s="211" t="str">
        <f t="shared" si="139"/>
        <v>N/A</v>
      </c>
      <c r="DB233" s="211" t="str">
        <f t="shared" si="140"/>
        <v>La campaña Supersalud en las regiones se consolido durante el mes de agosto como una de las estrategias institucionales para acercar la gestión de la Supersalud a los territorios. A través de 30 publicaciones en la red social Twitter (x) se logró un alcance superior a las 45 mil impresiones.</v>
      </c>
      <c r="DC233" s="211" t="str">
        <f t="shared" si="141"/>
        <v>N/A</v>
      </c>
      <c r="DD233" s="211" t="str">
        <f t="shared" si="142"/>
        <v>N/A</v>
      </c>
      <c r="DE233" s="211" t="str">
        <f t="shared" si="143"/>
        <v>N/A</v>
      </c>
      <c r="DF233" s="211" t="str">
        <f t="shared" si="144"/>
        <v>N/A</v>
      </c>
    </row>
    <row r="234" spans="1:110" ht="64.5" customHeight="1">
      <c r="A234" s="349" t="s">
        <v>607</v>
      </c>
      <c r="B234" s="209" t="s">
        <v>145</v>
      </c>
      <c r="C234" s="209" t="s">
        <v>520</v>
      </c>
      <c r="D234" s="209" t="s">
        <v>608</v>
      </c>
      <c r="E234" s="209" t="s">
        <v>609</v>
      </c>
      <c r="F234" s="349" t="s">
        <v>610</v>
      </c>
      <c r="G234" s="209" t="s">
        <v>178</v>
      </c>
      <c r="H234" s="243">
        <v>0.98</v>
      </c>
      <c r="I234" s="324">
        <v>0.98</v>
      </c>
      <c r="J234" s="324">
        <v>1</v>
      </c>
      <c r="K234" s="290">
        <v>1</v>
      </c>
      <c r="L234" s="209" t="s">
        <v>2902</v>
      </c>
      <c r="M234" s="209" t="b">
        <v>0</v>
      </c>
      <c r="O234" s="209" t="s">
        <v>2832</v>
      </c>
      <c r="P234" s="209" t="s">
        <v>159</v>
      </c>
      <c r="Q234" s="209" t="s">
        <v>160</v>
      </c>
      <c r="T234" s="269"/>
      <c r="AE234" s="269"/>
      <c r="AF234" s="269"/>
      <c r="AG234" s="269"/>
      <c r="AH234" s="269"/>
      <c r="AI234" s="269"/>
      <c r="AJ234" s="269"/>
      <c r="AK234" s="270"/>
      <c r="AL234" s="270"/>
      <c r="AM234" s="270"/>
      <c r="AN234" s="270"/>
      <c r="AO234" s="270"/>
      <c r="AP234" s="270"/>
      <c r="AQ234" s="270"/>
      <c r="AR234" s="270"/>
      <c r="AS234" s="270"/>
      <c r="CO234" s="209" t="s">
        <v>607</v>
      </c>
      <c r="CP234" s="209" t="s">
        <v>145</v>
      </c>
      <c r="CQ234" s="209" t="s">
        <v>520</v>
      </c>
      <c r="CR234" s="209" t="s">
        <v>608</v>
      </c>
      <c r="CS234" s="209" t="s">
        <v>2902</v>
      </c>
      <c r="CT234" s="209" t="s">
        <v>520</v>
      </c>
      <c r="CU234" s="211" t="str">
        <f t="shared" si="133"/>
        <v>N/A</v>
      </c>
      <c r="CV234" s="211" t="str">
        <f t="shared" si="134"/>
        <v>N/A</v>
      </c>
      <c r="CW234" s="211" t="str">
        <f t="shared" si="135"/>
        <v>N/A</v>
      </c>
      <c r="CX234" s="211" t="str">
        <f t="shared" si="136"/>
        <v>N/A</v>
      </c>
      <c r="CY234" s="211" t="str">
        <f t="shared" si="137"/>
        <v>N/A</v>
      </c>
      <c r="CZ234" s="211" t="str">
        <f t="shared" si="138"/>
        <v>N/A</v>
      </c>
      <c r="DA234" s="211" t="str">
        <f t="shared" si="139"/>
        <v>N/A</v>
      </c>
      <c r="DB234" s="211" t="str">
        <f t="shared" si="140"/>
        <v xml:space="preserve">​En el periodo reportado correspondiente al segundo trimestre de 2025,  se ejecutó el (98%), dando cumplimiento del (100%) frente a la meta programada, se reportaron 134 indicadores del PAG y 34 del PEI, este resultado se debe a las acciones realizadas durante el periodo teniendo en cuenta las necesidades y observaciones  de cada dependecia, se recomienda seguir fortaleciendo los canales de comunicación y el acompañamiento personalizado.
</v>
      </c>
      <c r="DC234" s="211" t="str">
        <f t="shared" si="141"/>
        <v>N/A</v>
      </c>
      <c r="DD234" s="211" t="str">
        <f t="shared" si="142"/>
        <v>N/A</v>
      </c>
      <c r="DE234" s="211" t="str">
        <f t="shared" si="143"/>
        <v>N/A</v>
      </c>
      <c r="DF234" s="211" t="str">
        <f t="shared" si="144"/>
        <v>N/A</v>
      </c>
    </row>
    <row r="235" spans="1:110" ht="64.5" customHeight="1">
      <c r="A235" s="349" t="s">
        <v>607</v>
      </c>
      <c r="B235" s="209" t="s">
        <v>145</v>
      </c>
      <c r="C235" s="209" t="s">
        <v>1229</v>
      </c>
      <c r="D235" s="209" t="s">
        <v>2903</v>
      </c>
      <c r="E235" s="209" t="s">
        <v>2904</v>
      </c>
      <c r="F235" s="349" t="s">
        <v>2905</v>
      </c>
      <c r="G235" s="209" t="s">
        <v>157</v>
      </c>
      <c r="H235" s="243">
        <v>100</v>
      </c>
      <c r="I235" s="326">
        <v>100</v>
      </c>
      <c r="J235" s="325">
        <v>100</v>
      </c>
      <c r="K235" s="290">
        <v>1</v>
      </c>
      <c r="L235" s="209" t="s">
        <v>2906</v>
      </c>
      <c r="M235" s="209" t="b">
        <v>0</v>
      </c>
      <c r="O235" s="209" t="s">
        <v>2832</v>
      </c>
      <c r="P235" s="209" t="s">
        <v>159</v>
      </c>
      <c r="Q235" s="209" t="s">
        <v>160</v>
      </c>
      <c r="T235" s="269"/>
      <c r="AE235" s="269"/>
      <c r="AF235" s="269"/>
      <c r="AG235" s="269"/>
      <c r="AH235" s="269"/>
      <c r="AI235" s="269"/>
      <c r="AJ235" s="269"/>
      <c r="AK235" s="270"/>
      <c r="AL235" s="270"/>
      <c r="AM235" s="270"/>
      <c r="AN235" s="270"/>
      <c r="AO235" s="270"/>
      <c r="AP235" s="270"/>
      <c r="AQ235" s="270"/>
      <c r="AR235" s="270"/>
      <c r="AS235" s="270"/>
      <c r="CO235" s="209" t="s">
        <v>607</v>
      </c>
      <c r="CP235" s="209" t="s">
        <v>145</v>
      </c>
      <c r="CQ235" s="209" t="s">
        <v>1229</v>
      </c>
      <c r="CR235" s="209" t="s">
        <v>2903</v>
      </c>
      <c r="CS235" s="209" t="s">
        <v>2906</v>
      </c>
      <c r="CT235" s="209" t="s">
        <v>1229</v>
      </c>
      <c r="CU235" s="211" t="str">
        <f t="shared" si="133"/>
        <v>N/A</v>
      </c>
      <c r="CV235" s="211" t="str">
        <f t="shared" si="134"/>
        <v>N/A</v>
      </c>
      <c r="CW235" s="211" t="str">
        <f t="shared" si="135"/>
        <v>N/A</v>
      </c>
      <c r="CX235" s="211" t="str">
        <f t="shared" si="136"/>
        <v>N/A</v>
      </c>
      <c r="CY235" s="211" t="str">
        <f t="shared" si="137"/>
        <v>N/A</v>
      </c>
      <c r="CZ235" s="211" t="str">
        <f t="shared" si="138"/>
        <v>N/A</v>
      </c>
      <c r="DA235" s="211" t="str">
        <f t="shared" si="139"/>
        <v>N/A</v>
      </c>
      <c r="DB235" s="211" t="str">
        <f t="shared" si="140"/>
        <v xml:space="preserve">En el marco de la actividad "Liderar el cumplimiento de los requisitos del Índice de Transparencia y Acceso a la Información Pública – ITA", se logró el cumplimiento total de la meta, obteniendo un resultado de 100 puntos sobre 100 tanto en el reporte de autodiagnóstico como en la auditoría realizada por la Procuraduría General de la Nación. Este resultado evidencia el cumplimiento integral de los criterios evaluados por el índice.
De acuerdo con lo anterior, el indicador se ubica en el rango de "Bueno", con una tendencia ascendente respecto a la línea base de 97 puntos obtenida en la medición de la vigencia anterior. Esto evidencia una mejora sostenida en las acciones implementadas para garantizar el cumplimiento del ITA.
Acciones desarrolladas durante la vigencia:Cierre de brechas identificadas en el Anexo 2, con la participación de la Dirección de Innovación y Desarrollo, la Subdirección de Tecnologías de la Información, la Delegada para la Protección al Usuario y la Oficina de Comunicaciones.Coordinación del proceso de autodiagnóstico.Seguimiento a los requisitos del ITA.Articulación con las áreas responsables de la publicación de información.Revisión y fortalecimiento de los canales institucionales.Atención directa para resolver observaciones y asegurar el cumplimiento.
</v>
      </c>
      <c r="DC235" s="211" t="str">
        <f t="shared" si="141"/>
        <v>N/A</v>
      </c>
      <c r="DD235" s="211" t="str">
        <f t="shared" si="142"/>
        <v>N/A</v>
      </c>
      <c r="DE235" s="211" t="str">
        <f t="shared" si="143"/>
        <v>N/A</v>
      </c>
      <c r="DF235" s="211" t="str">
        <f t="shared" si="144"/>
        <v>N/A</v>
      </c>
    </row>
    <row r="236" spans="1:110" ht="64.5" customHeight="1">
      <c r="A236" s="349" t="s">
        <v>607</v>
      </c>
      <c r="B236" s="209" t="s">
        <v>145</v>
      </c>
      <c r="C236" s="209" t="s">
        <v>525</v>
      </c>
      <c r="D236" s="209" t="s">
        <v>613</v>
      </c>
      <c r="E236" s="209" t="s">
        <v>2907</v>
      </c>
      <c r="F236" s="349" t="s">
        <v>615</v>
      </c>
      <c r="G236" s="209" t="s">
        <v>178</v>
      </c>
      <c r="H236" s="243">
        <v>0.5</v>
      </c>
      <c r="I236" s="323">
        <v>31860537928</v>
      </c>
      <c r="J236" s="323">
        <v>87198844691</v>
      </c>
      <c r="K236" s="290">
        <f>+I236/J236</f>
        <v>0.36537798225311124</v>
      </c>
      <c r="L236" s="209" t="s">
        <v>3121</v>
      </c>
      <c r="M236" s="209" t="b">
        <v>1</v>
      </c>
      <c r="N236" s="209" t="s">
        <v>2908</v>
      </c>
      <c r="O236" s="209" t="s">
        <v>2832</v>
      </c>
      <c r="P236" s="209" t="s">
        <v>159</v>
      </c>
      <c r="Q236" s="209" t="s">
        <v>160</v>
      </c>
      <c r="T236" s="269"/>
      <c r="AE236" s="269"/>
      <c r="AF236" s="269"/>
      <c r="AG236" s="269"/>
      <c r="AH236" s="269"/>
      <c r="AI236" s="269"/>
      <c r="AJ236" s="269"/>
      <c r="AK236" s="270"/>
      <c r="AL236" s="270"/>
      <c r="AM236" s="270"/>
      <c r="AN236" s="270"/>
      <c r="AO236" s="270"/>
      <c r="AP236" s="270"/>
      <c r="AQ236" s="270"/>
      <c r="AR236" s="270"/>
      <c r="AS236" s="270"/>
      <c r="CO236" s="209" t="s">
        <v>607</v>
      </c>
      <c r="CP236" s="209" t="s">
        <v>145</v>
      </c>
      <c r="CQ236" s="209" t="s">
        <v>525</v>
      </c>
      <c r="CR236" s="209" t="s">
        <v>613</v>
      </c>
      <c r="CS236" s="209" t="s">
        <v>3121</v>
      </c>
      <c r="CT236" s="209" t="s">
        <v>525</v>
      </c>
      <c r="CU236" s="211" t="str">
        <f t="shared" si="133"/>
        <v>N/A</v>
      </c>
      <c r="CV236" s="211" t="str">
        <f t="shared" si="134"/>
        <v>N/A</v>
      </c>
      <c r="CW236" s="211" t="str">
        <f t="shared" si="135"/>
        <v>N/A</v>
      </c>
      <c r="CX236" s="211" t="str">
        <f t="shared" si="136"/>
        <v>N/A</v>
      </c>
      <c r="CY236" s="211" t="str">
        <f t="shared" si="137"/>
        <v>N/A</v>
      </c>
      <c r="CZ236" s="211" t="str">
        <f t="shared" si="138"/>
        <v>N/A</v>
      </c>
      <c r="DA236" s="211" t="str">
        <f t="shared" si="139"/>
        <v>N/A</v>
      </c>
      <c r="DB236" s="211" t="str">
        <f t="shared" si="140"/>
        <v xml:space="preserve">​A 31 de agosto la ejecución (obligaciones) de los recursos de inversión de la entidad fue del36,54%:
Total inversión año 2025:  $87.198.844.691
Total comprometido: $64.493.839.666
Obligaciones: $31.860.537.928
Evidencia: Reporte SIIF nación a 31 de agosto de 2025;
A 31 de agosto, del total de los recursos de inversión asignados para la presente vigencia, se han comprometido $64.493.839.666 equivalente al 73,96%, de los cuales se han generado obligaciones por un total de $31.860.537.928 lo que equivale al 49.4% de los recursos comprometidos y el 36,54% del total de los recursos asignados para la vigencia. De las 18 dependencias ejecutoras de los proyectos de inversión,  solo una (1) dependencia logro o supero la meta planteada del 50% de ejecución sobre las obligaciones, caso concreto del a Superintendencia Delegada para la Protección al Usuario quien registró un nivel de obligaciones del 55%;  sin embargo, el nivel de obligaciones se situó por encima en  4 puntos porcentuales comparado con el mismo periodo de la vigencia 2024.  Frente al porcentaje de compromisos, al mismo corte, se situó por encima en 15 puntos porcentuales.  De tal manera que el cumplimiento de las obligaciones,  acorde con las formas de pago definidas en los contratos suscritos, se llevaran a cabo, en su mayoría en el segundo semestre de la presente vigencia.
</v>
      </c>
      <c r="DC236" s="211" t="str">
        <f t="shared" si="141"/>
        <v>N/A</v>
      </c>
      <c r="DD236" s="211" t="str">
        <f t="shared" si="142"/>
        <v>N/A</v>
      </c>
      <c r="DE236" s="211" t="str">
        <f t="shared" si="143"/>
        <v>N/A</v>
      </c>
      <c r="DF236" s="211" t="str">
        <f t="shared" si="144"/>
        <v>N/A</v>
      </c>
    </row>
    <row r="237" spans="1:110" ht="64.5" customHeight="1">
      <c r="A237" s="349" t="s">
        <v>190</v>
      </c>
      <c r="B237" s="209" t="s">
        <v>145</v>
      </c>
      <c r="C237" s="209" t="s">
        <v>216</v>
      </c>
      <c r="D237" s="209" t="s">
        <v>217</v>
      </c>
      <c r="E237" s="209" t="s">
        <v>218</v>
      </c>
      <c r="F237" s="349" t="s">
        <v>219</v>
      </c>
      <c r="G237" s="209" t="s">
        <v>178</v>
      </c>
      <c r="H237" s="243">
        <v>1</v>
      </c>
      <c r="I237" s="323">
        <v>203</v>
      </c>
      <c r="J237" s="323">
        <v>203</v>
      </c>
      <c r="K237" s="290">
        <v>1</v>
      </c>
      <c r="L237" s="209" t="s">
        <v>2910</v>
      </c>
      <c r="M237" s="209" t="b">
        <v>0</v>
      </c>
      <c r="O237" s="209" t="s">
        <v>2832</v>
      </c>
      <c r="P237" s="209" t="s">
        <v>159</v>
      </c>
      <c r="Q237" s="209" t="s">
        <v>160</v>
      </c>
      <c r="T237" s="269"/>
      <c r="AE237" s="269"/>
      <c r="AF237" s="269"/>
      <c r="AG237" s="269"/>
      <c r="AH237" s="269"/>
      <c r="AI237" s="269"/>
      <c r="AJ237" s="269"/>
      <c r="AK237" s="270"/>
      <c r="AL237" s="270"/>
      <c r="AM237" s="270"/>
      <c r="AN237" s="270"/>
      <c r="AO237" s="270"/>
      <c r="AP237" s="270"/>
      <c r="AQ237" s="270"/>
      <c r="AR237" s="270"/>
      <c r="AS237" s="270"/>
      <c r="CO237" s="209" t="s">
        <v>190</v>
      </c>
      <c r="CP237" s="209" t="s">
        <v>145</v>
      </c>
      <c r="CQ237" s="209" t="s">
        <v>216</v>
      </c>
      <c r="CR237" s="209" t="s">
        <v>217</v>
      </c>
      <c r="CS237" s="209" t="s">
        <v>2910</v>
      </c>
      <c r="CT237" s="209" t="s">
        <v>216</v>
      </c>
      <c r="CU237" s="211" t="str">
        <f t="shared" si="133"/>
        <v>N/A</v>
      </c>
      <c r="CV237" s="211" t="str">
        <f t="shared" si="134"/>
        <v>N/A</v>
      </c>
      <c r="CW237" s="211" t="str">
        <f t="shared" si="135"/>
        <v>N/A</v>
      </c>
      <c r="CX237" s="211" t="str">
        <f t="shared" si="136"/>
        <v>N/A</v>
      </c>
      <c r="CY237" s="211" t="str">
        <f t="shared" si="137"/>
        <v>N/A</v>
      </c>
      <c r="CZ237" s="211" t="str">
        <f t="shared" si="138"/>
        <v>N/A</v>
      </c>
      <c r="DA237" s="211" t="str">
        <f t="shared" si="139"/>
        <v>N/A</v>
      </c>
      <c r="DB237" s="211" t="str">
        <f t="shared" si="140"/>
        <v xml:space="preserve">​Durante el mes de Agosto, se gestionaron  203 cuentas que fueron radicadas en los tiempos estipulados de acuerdo con la Circular Interna 2022920020000026-4 de 2022,asi mismo, los documentos radicados despues del dia 25 calendario se tramitaron en el siguiente mes. Por lo cual, se cumplió con la meta del indicador del 100%, (203/203) habiendo gestionado la totalidad de las cuentas radicadas con un tiempo de gestión de 1,2 dias hábiles. Se adjunta base con relación de cuentas radicadas y gestionadas, asi como el reporte del indicador con la correspondiente gráfica.
</v>
      </c>
      <c r="DC237" s="211" t="str">
        <f t="shared" si="141"/>
        <v>N/A</v>
      </c>
      <c r="DD237" s="211" t="str">
        <f t="shared" si="142"/>
        <v>N/A</v>
      </c>
      <c r="DE237" s="211" t="str">
        <f t="shared" si="143"/>
        <v>N/A</v>
      </c>
      <c r="DF237" s="211" t="str">
        <f t="shared" si="144"/>
        <v>N/A</v>
      </c>
    </row>
    <row r="238" spans="1:110" ht="64.5" customHeight="1">
      <c r="A238" s="349" t="s">
        <v>190</v>
      </c>
      <c r="B238" s="209" t="s">
        <v>145</v>
      </c>
      <c r="C238" s="209" t="s">
        <v>459</v>
      </c>
      <c r="D238" s="209" t="s">
        <v>552</v>
      </c>
      <c r="E238" s="209" t="s">
        <v>553</v>
      </c>
      <c r="F238" s="349" t="s">
        <v>554</v>
      </c>
      <c r="G238" s="209" t="s">
        <v>178</v>
      </c>
      <c r="H238" s="243">
        <v>1</v>
      </c>
      <c r="I238" s="323">
        <v>25</v>
      </c>
      <c r="J238" s="323">
        <v>25</v>
      </c>
      <c r="K238" s="290">
        <v>1</v>
      </c>
      <c r="L238" s="209" t="s">
        <v>2911</v>
      </c>
      <c r="M238" s="209" t="b">
        <v>0</v>
      </c>
      <c r="O238" s="209" t="s">
        <v>2832</v>
      </c>
      <c r="P238" s="209" t="s">
        <v>159</v>
      </c>
      <c r="Q238" s="209" t="s">
        <v>160</v>
      </c>
      <c r="T238" s="269"/>
      <c r="AE238" s="269"/>
      <c r="AF238" s="269"/>
      <c r="AG238" s="269"/>
      <c r="AH238" s="269"/>
      <c r="AI238" s="269"/>
      <c r="AJ238" s="269"/>
      <c r="AK238" s="270"/>
      <c r="AL238" s="270"/>
      <c r="AM238" s="270"/>
      <c r="AN238" s="270"/>
      <c r="AO238" s="270"/>
      <c r="AP238" s="270"/>
      <c r="AQ238" s="270"/>
      <c r="AR238" s="270"/>
      <c r="AS238" s="270"/>
      <c r="CO238" s="209" t="s">
        <v>190</v>
      </c>
      <c r="CP238" s="209" t="s">
        <v>145</v>
      </c>
      <c r="CQ238" s="209" t="s">
        <v>459</v>
      </c>
      <c r="CR238" s="209" t="s">
        <v>552</v>
      </c>
      <c r="CS238" s="209" t="s">
        <v>2911</v>
      </c>
      <c r="CT238" s="209" t="s">
        <v>459</v>
      </c>
      <c r="CU238" s="211" t="str">
        <f t="shared" si="133"/>
        <v>N/A</v>
      </c>
      <c r="CV238" s="211" t="str">
        <f t="shared" si="134"/>
        <v>N/A</v>
      </c>
      <c r="CW238" s="211" t="str">
        <f t="shared" si="135"/>
        <v>N/A</v>
      </c>
      <c r="CX238" s="211" t="str">
        <f t="shared" si="136"/>
        <v>N/A</v>
      </c>
      <c r="CY238" s="211" t="str">
        <f t="shared" si="137"/>
        <v>N/A</v>
      </c>
      <c r="CZ238" s="211" t="str">
        <f t="shared" si="138"/>
        <v>N/A</v>
      </c>
      <c r="DA238" s="211" t="str">
        <f t="shared" si="139"/>
        <v>N/A</v>
      </c>
      <c r="DB238" s="211" t="str">
        <f t="shared" si="140"/>
        <v xml:space="preserve">Desde el grupo de cobro persuasivo y jurisdiccion coactiva, durante el segundo cuatrimestre del año 2025, se recibieron 10 facilidades de pago y 15 excepciones a mandamiento de pago, todas estas solicitudes cumplían con las condiciones necesarias para iniciar el trámite correspondiente, por lo cual,  el total de las 25 solicitudes fueron atendidas dentro del plazo legal, alcanzando así un cumplimiento del 100% del indicador. Se adjunta anexo soporte.
</v>
      </c>
      <c r="DC238" s="211" t="str">
        <f t="shared" si="141"/>
        <v>N/A</v>
      </c>
      <c r="DD238" s="211" t="str">
        <f t="shared" si="142"/>
        <v>N/A</v>
      </c>
      <c r="DE238" s="211" t="str">
        <f t="shared" si="143"/>
        <v>N/A</v>
      </c>
      <c r="DF238" s="211" t="str">
        <f t="shared" si="144"/>
        <v>N/A</v>
      </c>
    </row>
    <row r="239" spans="1:110" ht="64.5" customHeight="1">
      <c r="A239" s="349" t="s">
        <v>190</v>
      </c>
      <c r="B239" s="209" t="s">
        <v>145</v>
      </c>
      <c r="C239" s="209" t="s">
        <v>465</v>
      </c>
      <c r="D239" s="209" t="s">
        <v>559</v>
      </c>
      <c r="E239" s="209" t="s">
        <v>560</v>
      </c>
      <c r="F239" s="349" t="s">
        <v>561</v>
      </c>
      <c r="G239" s="209" t="s">
        <v>178</v>
      </c>
      <c r="H239" s="243">
        <v>1</v>
      </c>
      <c r="I239" s="323">
        <v>15</v>
      </c>
      <c r="J239" s="323">
        <v>15</v>
      </c>
      <c r="K239" s="290">
        <v>1</v>
      </c>
      <c r="L239" s="209" t="s">
        <v>2912</v>
      </c>
      <c r="M239" s="209" t="b">
        <v>0</v>
      </c>
      <c r="O239" s="209" t="s">
        <v>2832</v>
      </c>
      <c r="P239" s="209" t="s">
        <v>159</v>
      </c>
      <c r="Q239" s="209" t="s">
        <v>160</v>
      </c>
      <c r="T239" s="269"/>
      <c r="AE239" s="269"/>
      <c r="AF239" s="269"/>
      <c r="AG239" s="269"/>
      <c r="AH239" s="269"/>
      <c r="AI239" s="269"/>
      <c r="AJ239" s="269"/>
      <c r="AK239" s="270"/>
      <c r="AL239" s="270"/>
      <c r="AM239" s="270"/>
      <c r="AN239" s="270"/>
      <c r="AO239" s="270"/>
      <c r="AP239" s="270"/>
      <c r="AQ239" s="270"/>
      <c r="AR239" s="270"/>
      <c r="AS239" s="270"/>
      <c r="CO239" s="209" t="s">
        <v>190</v>
      </c>
      <c r="CP239" s="209" t="s">
        <v>145</v>
      </c>
      <c r="CQ239" s="209" t="s">
        <v>465</v>
      </c>
      <c r="CR239" s="209" t="s">
        <v>559</v>
      </c>
      <c r="CS239" s="209" t="s">
        <v>2912</v>
      </c>
      <c r="CT239" s="209" t="s">
        <v>465</v>
      </c>
      <c r="CU239" s="211" t="str">
        <f t="shared" si="133"/>
        <v>N/A</v>
      </c>
      <c r="CV239" s="211" t="str">
        <f t="shared" si="134"/>
        <v>N/A</v>
      </c>
      <c r="CW239" s="211" t="str">
        <f t="shared" si="135"/>
        <v>N/A</v>
      </c>
      <c r="CX239" s="211" t="str">
        <f t="shared" si="136"/>
        <v>N/A</v>
      </c>
      <c r="CY239" s="211" t="str">
        <f t="shared" si="137"/>
        <v>N/A</v>
      </c>
      <c r="CZ239" s="211" t="str">
        <f t="shared" si="138"/>
        <v>N/A</v>
      </c>
      <c r="DA239" s="211" t="str">
        <f t="shared" si="139"/>
        <v>N/A</v>
      </c>
      <c r="DB239" s="211" t="str">
        <f t="shared" si="140"/>
        <v>​Durante el segundo cuatrimestre de la vigencia 2025, se logró la conciliación de cartera con 15 entidades sin proceso concursal, enlistadas a continuación: E.S.E. Centro de Salud Samuel Villanueva Valest - El Banco; Riosucio – Chocó; La Unión – Antioquia; E.S.E. Centro de Salud Con Camas – Córdoba; Nunchía; Villanueva – Santander; E.S.E. Hospital de Hatillo de Loba – Bolívar; E.S.E. Centro 1 - Piendamó; Pinchote; E.S.E. Hospital Felipe Arbeláez – Alejandría; E.S.E. Centro de Salud Señor del Mar; E.S.E. Hospital Local de Malambo; E.S.E. Hospital San Pedro del Piñón; SAN PABLO ANGEL S.A.S; DENTALIST S.A.S. Logrando cumplir la meta del indicador del 100%. Se anexan soportes.</v>
      </c>
      <c r="DC239" s="211" t="str">
        <f t="shared" si="141"/>
        <v>N/A</v>
      </c>
      <c r="DD239" s="211" t="str">
        <f t="shared" si="142"/>
        <v>N/A</v>
      </c>
      <c r="DE239" s="211" t="str">
        <f t="shared" si="143"/>
        <v>N/A</v>
      </c>
      <c r="DF239" s="211" t="str">
        <f t="shared" si="144"/>
        <v>N/A</v>
      </c>
    </row>
    <row r="240" spans="1:110" ht="64.5" customHeight="1">
      <c r="A240" s="349" t="s">
        <v>190</v>
      </c>
      <c r="B240" s="209" t="s">
        <v>145</v>
      </c>
      <c r="C240" s="209" t="s">
        <v>180</v>
      </c>
      <c r="D240" s="209" t="s">
        <v>639</v>
      </c>
      <c r="E240" s="209" t="s">
        <v>640</v>
      </c>
      <c r="F240" s="349" t="s">
        <v>641</v>
      </c>
      <c r="G240" s="209" t="s">
        <v>178</v>
      </c>
      <c r="H240" s="243">
        <v>0.65</v>
      </c>
      <c r="I240" s="323">
        <v>9</v>
      </c>
      <c r="J240" s="323">
        <v>9</v>
      </c>
      <c r="K240" s="290">
        <v>1</v>
      </c>
      <c r="L240" s="209" t="s">
        <v>2913</v>
      </c>
      <c r="M240" s="209" t="b">
        <v>1</v>
      </c>
      <c r="N240" s="209" t="s">
        <v>2914</v>
      </c>
      <c r="O240" s="209" t="s">
        <v>2832</v>
      </c>
      <c r="P240" s="209" t="s">
        <v>159</v>
      </c>
      <c r="Q240" s="209" t="s">
        <v>160</v>
      </c>
      <c r="T240" s="269"/>
      <c r="AE240" s="269"/>
      <c r="AF240" s="269"/>
      <c r="AG240" s="269"/>
      <c r="AH240" s="269"/>
      <c r="AI240" s="269"/>
      <c r="AJ240" s="269"/>
      <c r="AK240" s="270"/>
      <c r="AL240" s="270"/>
      <c r="AM240" s="270"/>
      <c r="AN240" s="270"/>
      <c r="AO240" s="270"/>
      <c r="AP240" s="270"/>
      <c r="AQ240" s="270"/>
      <c r="AR240" s="270"/>
      <c r="AS240" s="270"/>
      <c r="CO240" s="209" t="s">
        <v>190</v>
      </c>
      <c r="CP240" s="209" t="s">
        <v>145</v>
      </c>
      <c r="CQ240" s="209" t="s">
        <v>180</v>
      </c>
      <c r="CR240" s="209" t="s">
        <v>639</v>
      </c>
      <c r="CS240" s="209" t="s">
        <v>2913</v>
      </c>
      <c r="CT240" s="209" t="s">
        <v>180</v>
      </c>
      <c r="CU240" s="211" t="str">
        <f t="shared" si="133"/>
        <v>N/A</v>
      </c>
      <c r="CV240" s="211" t="str">
        <f t="shared" si="134"/>
        <v>N/A</v>
      </c>
      <c r="CW240" s="211" t="str">
        <f t="shared" si="135"/>
        <v>N/A</v>
      </c>
      <c r="CX240" s="211" t="str">
        <f t="shared" si="136"/>
        <v>N/A</v>
      </c>
      <c r="CY240" s="211" t="str">
        <f t="shared" si="137"/>
        <v>N/A</v>
      </c>
      <c r="CZ240" s="211" t="str">
        <f t="shared" si="138"/>
        <v>N/A</v>
      </c>
      <c r="DA240" s="211" t="str">
        <f t="shared" si="139"/>
        <v>N/A</v>
      </c>
      <c r="DB240" s="211" t="str">
        <f t="shared" si="140"/>
        <v xml:space="preserve">Durante el segundo cuatrimestre (Mayo-Agosto) de 2025 la Oficina de Control Disciplinario realizo tres (3) capacitaciones o charlas en materia disciplinaria, con las siguientes temáticas y participantes: 1) 28 y 29 de mayo de 2025 (Derechos y Deberes Servidores Públicos; División Roles – Funciones OCDI) - Dirección Regional Andina – 20 participantes (Presencial); 2) 29/07/2005 (Charla informativa entrega puesto de trabajo – responsabilidades y consecuencias) – 335 participantes (Virtual).
Así mismo, la OCDI participo en seis (6) jornadas de inducción dirigida a los nuevos funcionarios vinculados, por concurso de méritos a la Superintendencia, cuya temática abarca (Generalidades del Proceso Disciplinario; División de Roles (Instrucción y Juzgamiento); Etapas del proceso; Derechos; Deberes; Prohibiciones; Modalidades de conducta y formas de culpabilidad; etc.) – Realizadas: Presencial: 11,16 y 24 de Julio y 11 de agosto de 2025 (277 participantes); Virtual:  30 de julio y 20 de agosto de 2025 (243 participantes) - Total participantes = 855 funcionarios.                         MayoJulioAgosto
Total, participantes: 20 (Presencial)
1) Realizada: 28 y 29 de mayo de 2025 – Dirección Regional Andina (Derechos y Deberes Servidores Públicos; División Roles – Funciones OCDI)
Total, participantes:533
Jornadas de Inducción Realizadas:
1) 11/07/2025 (Presencial) 66
2) 16/07/2025: (Presencial) 74
3) 24/07/2025: (Presencial) 57
4) 30/07/2025 (Virtual) 41
5) Charla Informativa Entrega Puesto de Trabajo - (Virtual) Realizada el 29/07/2025: 335
Total, participantes: 282
Jornadas de Inducción:
1) 11/08/2025: (Presencial) 80
2) 20/08/2025: (Virtual) 202
Adicionalmente, la oficina ha tenido publicación de una nota en la edición No. 141 del Superboletín - julio de 2025
</v>
      </c>
      <c r="DC240" s="211" t="str">
        <f t="shared" si="141"/>
        <v>N/A</v>
      </c>
      <c r="DD240" s="211" t="str">
        <f t="shared" si="142"/>
        <v>N/A</v>
      </c>
      <c r="DE240" s="211" t="str">
        <f t="shared" si="143"/>
        <v>N/A</v>
      </c>
      <c r="DF240" s="211" t="str">
        <f t="shared" si="144"/>
        <v>N/A</v>
      </c>
    </row>
    <row r="241" spans="1:110" ht="64.5" customHeight="1">
      <c r="A241" s="349" t="s">
        <v>190</v>
      </c>
      <c r="B241" s="209" t="s">
        <v>145</v>
      </c>
      <c r="C241" s="209" t="s">
        <v>182</v>
      </c>
      <c r="D241" s="209" t="s">
        <v>620</v>
      </c>
      <c r="E241" s="209" t="s">
        <v>621</v>
      </c>
      <c r="F241" s="349" t="s">
        <v>622</v>
      </c>
      <c r="G241" s="209" t="s">
        <v>178</v>
      </c>
      <c r="H241" s="243">
        <v>0.6</v>
      </c>
      <c r="I241" s="323">
        <v>63</v>
      </c>
      <c r="J241" s="323">
        <v>63</v>
      </c>
      <c r="K241" s="290">
        <v>1</v>
      </c>
      <c r="L241" s="209" t="s">
        <v>2915</v>
      </c>
      <c r="M241" s="209" t="b">
        <v>1</v>
      </c>
      <c r="N241" s="209" t="s">
        <v>2916</v>
      </c>
      <c r="O241" s="209" t="s">
        <v>2832</v>
      </c>
      <c r="P241" s="209" t="s">
        <v>159</v>
      </c>
      <c r="Q241" s="209" t="s">
        <v>160</v>
      </c>
      <c r="T241" s="269"/>
      <c r="AE241" s="269"/>
      <c r="AF241" s="269"/>
      <c r="AG241" s="269"/>
      <c r="AH241" s="269"/>
      <c r="AI241" s="269"/>
      <c r="AJ241" s="269"/>
      <c r="AK241" s="270"/>
      <c r="AL241" s="270"/>
      <c r="AM241" s="270"/>
      <c r="AN241" s="270"/>
      <c r="AO241" s="270"/>
      <c r="AP241" s="270"/>
      <c r="AQ241" s="270"/>
      <c r="AR241" s="270"/>
      <c r="AS241" s="270"/>
      <c r="CO241" s="209" t="s">
        <v>190</v>
      </c>
      <c r="CP241" s="209" t="s">
        <v>145</v>
      </c>
      <c r="CQ241" s="209" t="s">
        <v>182</v>
      </c>
      <c r="CR241" s="209" t="s">
        <v>620</v>
      </c>
      <c r="CS241" s="209" t="s">
        <v>2915</v>
      </c>
      <c r="CT241" s="209" t="s">
        <v>182</v>
      </c>
      <c r="CU241" s="211" t="str">
        <f t="shared" si="133"/>
        <v>N/A</v>
      </c>
      <c r="CV241" s="211" t="str">
        <f t="shared" si="134"/>
        <v>N/A</v>
      </c>
      <c r="CW241" s="211" t="str">
        <f t="shared" si="135"/>
        <v>N/A</v>
      </c>
      <c r="CX241" s="211" t="str">
        <f t="shared" si="136"/>
        <v>N/A</v>
      </c>
      <c r="CY241" s="211" t="str">
        <f t="shared" si="137"/>
        <v>N/A</v>
      </c>
      <c r="CZ241" s="211" t="str">
        <f t="shared" si="138"/>
        <v>N/A</v>
      </c>
      <c r="DA241" s="211" t="str">
        <f t="shared" si="139"/>
        <v>N/A</v>
      </c>
      <c r="DB241" s="211" t="str">
        <f t="shared" si="140"/>
        <v xml:space="preserve">De las (63) noticias disciplinarias (Quejas, informe de servidor público o de oficio) recibidas en el cuarto bimestre de 2025 (Julio - Agosto), se adelantaron las siguientes actuaciones: 32 (50,7%) Aperturas de Indagación Previa; 16 (25,4%) Autos Inhibitorios; 14 (22,2%) Aperturas de Investigación Disciplinaria y 1 (1,5%) Traslados por competencia, profiriendo igual número de autos por el Coordinador del Grupo de Instrucción Disciplinaria en el periodo:Tipo Noticia/ AutoInforme de Servidor PúblicoQuejaTotal, Noticias IV Bimestre 2025Auto de Indagación Previa211132Auto Inhibitorio 1616Auto Apertura de Investigación14 14Auto Traslado por Competencia1 1IV Bimestre 2025, Total362763
</v>
      </c>
      <c r="DC241" s="211" t="str">
        <f t="shared" si="141"/>
        <v>N/A</v>
      </c>
      <c r="DD241" s="211" t="str">
        <f t="shared" si="142"/>
        <v>N/A</v>
      </c>
      <c r="DE241" s="211" t="str">
        <f t="shared" si="143"/>
        <v>N/A</v>
      </c>
      <c r="DF241" s="211" t="str">
        <f t="shared" si="144"/>
        <v>N/A</v>
      </c>
    </row>
    <row r="242" spans="1:110" ht="64.5" customHeight="1">
      <c r="A242" s="349" t="s">
        <v>348</v>
      </c>
      <c r="B242" s="209" t="s">
        <v>146</v>
      </c>
      <c r="C242" s="209" t="s">
        <v>329</v>
      </c>
      <c r="D242" s="209" t="s">
        <v>748</v>
      </c>
      <c r="E242" s="209" t="s">
        <v>2830</v>
      </c>
      <c r="F242" s="349" t="s">
        <v>2831</v>
      </c>
      <c r="G242" s="209" t="s">
        <v>178</v>
      </c>
      <c r="H242" s="243">
        <v>0.25</v>
      </c>
      <c r="I242" s="323">
        <v>97</v>
      </c>
      <c r="J242" s="323">
        <v>441</v>
      </c>
      <c r="K242" s="290">
        <v>0.21995464852607699</v>
      </c>
      <c r="L242" s="209" t="s">
        <v>3142</v>
      </c>
      <c r="M242" s="209" t="b">
        <v>0</v>
      </c>
      <c r="O242" s="209" t="s">
        <v>2832</v>
      </c>
      <c r="P242" s="209" t="s">
        <v>159</v>
      </c>
      <c r="Q242" s="209" t="s">
        <v>160</v>
      </c>
      <c r="T242" s="269"/>
      <c r="AE242" s="269"/>
      <c r="AF242" s="269"/>
      <c r="AG242" s="269"/>
      <c r="AH242" s="269"/>
      <c r="AI242" s="269"/>
      <c r="AJ242" s="269"/>
      <c r="AK242" s="270"/>
      <c r="AL242" s="270"/>
      <c r="AM242" s="270"/>
      <c r="AN242" s="270"/>
      <c r="AO242" s="270"/>
      <c r="AP242" s="270"/>
      <c r="AQ242" s="270"/>
      <c r="AR242" s="270"/>
      <c r="AS242" s="270"/>
      <c r="CO242" s="209" t="s">
        <v>348</v>
      </c>
      <c r="CP242" s="209" t="s">
        <v>146</v>
      </c>
      <c r="CQ242" s="209" t="s">
        <v>329</v>
      </c>
      <c r="CR242" s="209" t="s">
        <v>748</v>
      </c>
      <c r="CS242" s="209" t="s">
        <v>3142</v>
      </c>
      <c r="CT242" s="209" t="s">
        <v>329</v>
      </c>
      <c r="CU242" s="211" t="str">
        <f t="shared" si="133"/>
        <v>N/A</v>
      </c>
      <c r="CV242" s="211" t="str">
        <f t="shared" si="134"/>
        <v>N/A</v>
      </c>
      <c r="CW242" s="211" t="str">
        <f t="shared" si="135"/>
        <v>N/A</v>
      </c>
      <c r="CX242" s="211" t="str">
        <f t="shared" si="136"/>
        <v>N/A</v>
      </c>
      <c r="CY242" s="211" t="str">
        <f t="shared" si="137"/>
        <v>N/A</v>
      </c>
      <c r="CZ242" s="211" t="str">
        <f t="shared" si="138"/>
        <v>N/A</v>
      </c>
      <c r="DA242" s="211" t="str">
        <f t="shared" si="139"/>
        <v>N/A</v>
      </c>
      <c r="DB242" s="211" t="str">
        <f t="shared" si="140"/>
        <v>N/A</v>
      </c>
      <c r="DC242" s="211" t="str">
        <f t="shared" si="141"/>
        <v xml:space="preserve">​Para 2025 se identificaron 441 procesos administrativos con riesgo de caducidad 2025 , en el primer trimestre se reportaron como expedidas 166 decisiones equivalentes al 37.6%
Para el segundo trimestre de 2025 se profirieron 136 decisiones con riesgo 2025 equivalente al 30,83%
para el tercer trimestre se profirieron 97 decisiones con riesgos 2025 equivalente al 22% 
Por lo anterior se entiende que para el 30 de septiembre de 2025 se ha realizado un avance del  90% , dando cumplimiento al indicador . 
</v>
      </c>
      <c r="DD242" s="211" t="str">
        <f t="shared" si="142"/>
        <v>N/A</v>
      </c>
      <c r="DE242" s="211" t="str">
        <f t="shared" si="143"/>
        <v>N/A</v>
      </c>
      <c r="DF242" s="211" t="str">
        <f t="shared" si="144"/>
        <v>N/A</v>
      </c>
    </row>
    <row r="243" spans="1:110" ht="64.5" customHeight="1">
      <c r="A243" s="349" t="s">
        <v>348</v>
      </c>
      <c r="B243" s="209" t="s">
        <v>146</v>
      </c>
      <c r="C243" s="209" t="s">
        <v>316</v>
      </c>
      <c r="D243" s="209" t="s">
        <v>427</v>
      </c>
      <c r="E243" s="209" t="s">
        <v>428</v>
      </c>
      <c r="F243" s="349" t="s">
        <v>429</v>
      </c>
      <c r="G243" s="209" t="s">
        <v>178</v>
      </c>
      <c r="H243" s="243">
        <v>1</v>
      </c>
      <c r="I243" s="323">
        <v>116</v>
      </c>
      <c r="J243" s="323">
        <v>2</v>
      </c>
      <c r="K243" s="290">
        <v>0.5</v>
      </c>
      <c r="L243" s="209" t="s">
        <v>2833</v>
      </c>
      <c r="M243" s="209" t="b">
        <v>0</v>
      </c>
      <c r="O243" s="209" t="s">
        <v>2832</v>
      </c>
      <c r="P243" s="209" t="s">
        <v>159</v>
      </c>
      <c r="Q243" s="209" t="s">
        <v>160</v>
      </c>
      <c r="T243" s="269"/>
      <c r="AE243" s="269"/>
      <c r="AF243" s="269"/>
      <c r="AG243" s="269"/>
      <c r="AH243" s="269"/>
      <c r="AI243" s="269"/>
      <c r="AJ243" s="269"/>
      <c r="AK243" s="270"/>
      <c r="AL243" s="270"/>
      <c r="AM243" s="270"/>
      <c r="AN243" s="270"/>
      <c r="AO243" s="270"/>
      <c r="AP243" s="270"/>
      <c r="AQ243" s="270"/>
      <c r="AR243" s="270"/>
      <c r="AS243" s="270"/>
      <c r="CO243" s="209" t="s">
        <v>348</v>
      </c>
      <c r="CP243" s="209" t="s">
        <v>146</v>
      </c>
      <c r="CQ243" s="209" t="s">
        <v>316</v>
      </c>
      <c r="CR243" s="209" t="s">
        <v>427</v>
      </c>
      <c r="CS243" s="209" t="s">
        <v>2833</v>
      </c>
      <c r="CT243" s="209" t="s">
        <v>316</v>
      </c>
      <c r="CU243" s="211" t="str">
        <f t="shared" si="133"/>
        <v>N/A</v>
      </c>
      <c r="CV243" s="211" t="str">
        <f t="shared" si="134"/>
        <v>N/A</v>
      </c>
      <c r="CW243" s="211" t="str">
        <f t="shared" si="135"/>
        <v>N/A</v>
      </c>
      <c r="CX243" s="211" t="str">
        <f t="shared" si="136"/>
        <v>N/A</v>
      </c>
      <c r="CY243" s="211" t="str">
        <f t="shared" si="137"/>
        <v>N/A</v>
      </c>
      <c r="CZ243" s="211" t="str">
        <f t="shared" si="138"/>
        <v>N/A</v>
      </c>
      <c r="DA243" s="211" t="str">
        <f t="shared" si="139"/>
        <v>N/A</v>
      </c>
      <c r="DB243" s="211" t="str">
        <f t="shared" si="140"/>
        <v>N/A</v>
      </c>
      <c r="DC243" s="211" t="str">
        <f t="shared" si="141"/>
        <v xml:space="preserve">​INDICADOR A DEMANADA 
Durante el TRIMESTRE se expidieron con apertura/improcedencia /investigación preliminar 116 procesos de  DE LOS CUALES 2 fueron por  criterio de priorización de orden judicial 
</v>
      </c>
      <c r="DD243" s="211" t="str">
        <f t="shared" si="142"/>
        <v>N/A</v>
      </c>
      <c r="DE243" s="211" t="str">
        <f t="shared" si="143"/>
        <v>N/A</v>
      </c>
      <c r="DF243" s="211" t="str">
        <f t="shared" si="144"/>
        <v>N/A</v>
      </c>
    </row>
    <row r="244" spans="1:110" ht="64.5" customHeight="1">
      <c r="A244" s="349" t="s">
        <v>348</v>
      </c>
      <c r="B244" s="209" t="s">
        <v>146</v>
      </c>
      <c r="C244" s="209" t="s">
        <v>422</v>
      </c>
      <c r="D244" s="209" t="s">
        <v>423</v>
      </c>
      <c r="E244" s="209" t="s">
        <v>424</v>
      </c>
      <c r="F244" s="349" t="s">
        <v>425</v>
      </c>
      <c r="G244" s="209" t="s">
        <v>178</v>
      </c>
      <c r="H244" s="243">
        <v>0.25</v>
      </c>
      <c r="I244" s="436">
        <v>711860467</v>
      </c>
      <c r="J244" s="436">
        <v>731506000</v>
      </c>
      <c r="K244" s="290">
        <v>0.973143715841018</v>
      </c>
      <c r="L244" s="209" t="s">
        <v>3122</v>
      </c>
      <c r="M244" s="209" t="b">
        <v>0</v>
      </c>
      <c r="O244" s="209" t="s">
        <v>2832</v>
      </c>
      <c r="P244" s="209" t="s">
        <v>159</v>
      </c>
      <c r="Q244" s="209" t="s">
        <v>160</v>
      </c>
      <c r="T244" s="269"/>
      <c r="AE244" s="269"/>
      <c r="AF244" s="269"/>
      <c r="AG244" s="269"/>
      <c r="AH244" s="269"/>
      <c r="AI244" s="269"/>
      <c r="AJ244" s="269"/>
      <c r="AK244" s="270"/>
      <c r="AL244" s="270"/>
      <c r="AM244" s="270"/>
      <c r="AN244" s="270"/>
      <c r="AO244" s="270"/>
      <c r="AP244" s="270"/>
      <c r="AQ244" s="270"/>
      <c r="AR244" s="270"/>
      <c r="AS244" s="270"/>
      <c r="CO244" s="209" t="s">
        <v>348</v>
      </c>
      <c r="CP244" s="209" t="s">
        <v>146</v>
      </c>
      <c r="CQ244" s="209" t="s">
        <v>422</v>
      </c>
      <c r="CR244" s="209" t="s">
        <v>423</v>
      </c>
      <c r="CS244" s="209" t="s">
        <v>3122</v>
      </c>
      <c r="CT244" s="209" t="s">
        <v>422</v>
      </c>
      <c r="CU244" s="211" t="str">
        <f t="shared" si="133"/>
        <v>N/A</v>
      </c>
      <c r="CV244" s="211" t="str">
        <f t="shared" si="134"/>
        <v>N/A</v>
      </c>
      <c r="CW244" s="211" t="str">
        <f t="shared" si="135"/>
        <v>N/A</v>
      </c>
      <c r="CX244" s="211" t="str">
        <f t="shared" si="136"/>
        <v>N/A</v>
      </c>
      <c r="CY244" s="211" t="str">
        <f t="shared" si="137"/>
        <v>N/A</v>
      </c>
      <c r="CZ244" s="211" t="str">
        <f t="shared" si="138"/>
        <v>N/A</v>
      </c>
      <c r="DA244" s="211" t="str">
        <f t="shared" si="139"/>
        <v>N/A</v>
      </c>
      <c r="DB244" s="211" t="str">
        <f t="shared" si="140"/>
        <v>N/A</v>
      </c>
      <c r="DC244" s="211" t="str">
        <f t="shared" si="141"/>
        <v xml:space="preserve">Total por rubro de INVERSIÓN $ 731.506.000
Total, ejecución acumulada:   = $711.860.467 A CORTE 30 DE SEPTIEMBRE 
Saldo pendiente por ejecutar: 
Saldo restante: $731.506.000 – $711.860.467 = $19.645.533
 Resultado del avance 97 % 
se avanzo en mas del 97%  dando cumplimiento al presupuesto presentado a la Delegatura , se adjunta panatallazo de ejecución por areas entregado por en equipo de seguimiento presupuestal de la entidad 
</v>
      </c>
      <c r="DD244" s="211" t="str">
        <f t="shared" si="142"/>
        <v>N/A</v>
      </c>
      <c r="DE244" s="211" t="str">
        <f t="shared" si="143"/>
        <v>N/A</v>
      </c>
      <c r="DF244" s="211" t="str">
        <f t="shared" si="144"/>
        <v>N/A</v>
      </c>
    </row>
    <row r="245" spans="1:110" ht="64.5" customHeight="1">
      <c r="A245" s="349" t="s">
        <v>365</v>
      </c>
      <c r="B245" s="209" t="s">
        <v>146</v>
      </c>
      <c r="C245" s="209" t="s">
        <v>366</v>
      </c>
      <c r="D245" s="209" t="s">
        <v>367</v>
      </c>
      <c r="E245" s="209" t="s">
        <v>368</v>
      </c>
      <c r="F245" s="349" t="s">
        <v>369</v>
      </c>
      <c r="G245" s="209" t="s">
        <v>178</v>
      </c>
      <c r="H245" s="243">
        <v>0.85</v>
      </c>
      <c r="I245" s="323">
        <v>19</v>
      </c>
      <c r="J245" s="323">
        <v>21</v>
      </c>
      <c r="K245" s="290">
        <v>0.90476190476190499</v>
      </c>
      <c r="L245" s="209" t="s">
        <v>2834</v>
      </c>
      <c r="M245" s="209" t="b">
        <v>0</v>
      </c>
      <c r="O245" s="209" t="s">
        <v>2832</v>
      </c>
      <c r="P245" s="209" t="s">
        <v>159</v>
      </c>
      <c r="Q245" s="209" t="s">
        <v>160</v>
      </c>
      <c r="T245" s="269"/>
      <c r="AE245" s="269"/>
      <c r="AF245" s="269"/>
      <c r="AG245" s="269"/>
      <c r="AH245" s="269"/>
      <c r="AI245" s="269"/>
      <c r="AJ245" s="269"/>
      <c r="AK245" s="270"/>
      <c r="AL245" s="270"/>
      <c r="AM245" s="270"/>
      <c r="AN245" s="270"/>
      <c r="AO245" s="270"/>
      <c r="AP245" s="270"/>
      <c r="AQ245" s="270"/>
      <c r="AR245" s="270"/>
      <c r="AS245" s="270"/>
      <c r="CO245" s="209" t="s">
        <v>365</v>
      </c>
      <c r="CP245" s="209" t="s">
        <v>146</v>
      </c>
      <c r="CQ245" s="209" t="s">
        <v>366</v>
      </c>
      <c r="CR245" s="209" t="s">
        <v>367</v>
      </c>
      <c r="CS245" s="209" t="s">
        <v>2834</v>
      </c>
      <c r="CT245" s="209" t="s">
        <v>366</v>
      </c>
      <c r="CU245" s="211" t="str">
        <f t="shared" si="133"/>
        <v>N/A</v>
      </c>
      <c r="CV245" s="211" t="str">
        <f t="shared" si="134"/>
        <v>N/A</v>
      </c>
      <c r="CW245" s="211" t="str">
        <f t="shared" si="135"/>
        <v>N/A</v>
      </c>
      <c r="CX245" s="211" t="str">
        <f t="shared" si="136"/>
        <v>N/A</v>
      </c>
      <c r="CY245" s="211" t="str">
        <f t="shared" si="137"/>
        <v>N/A</v>
      </c>
      <c r="CZ245" s="211" t="str">
        <f t="shared" si="138"/>
        <v>N/A</v>
      </c>
      <c r="DA245" s="211" t="str">
        <f t="shared" si="139"/>
        <v>N/A</v>
      </c>
      <c r="DB245" s="211" t="str">
        <f t="shared" si="140"/>
        <v>N/A</v>
      </c>
      <c r="DC245" s="211" t="str">
        <f t="shared" si="141"/>
        <v xml:space="preserve">​Durante el tercer trimestre de 2025, se finalizaron 21 trámites de los cuales 19 fueron gestionados con estudio de viabilidad o recomendación en 140 días o menos, con un porcentaje de 90,5 % de trámites finalizados en 140 días o menos, superando la meta programada del 85%.
</v>
      </c>
      <c r="DD245" s="211" t="str">
        <f t="shared" si="142"/>
        <v>N/A</v>
      </c>
      <c r="DE245" s="211" t="str">
        <f t="shared" si="143"/>
        <v>N/A</v>
      </c>
      <c r="DF245" s="211" t="str">
        <f t="shared" si="144"/>
        <v>N/A</v>
      </c>
    </row>
    <row r="246" spans="1:110" ht="64.5" customHeight="1">
      <c r="A246" s="349" t="s">
        <v>365</v>
      </c>
      <c r="B246" s="209" t="s">
        <v>146</v>
      </c>
      <c r="C246" s="209" t="s">
        <v>230</v>
      </c>
      <c r="D246" s="209" t="s">
        <v>431</v>
      </c>
      <c r="E246" s="209" t="s">
        <v>432</v>
      </c>
      <c r="F246" s="349" t="s">
        <v>433</v>
      </c>
      <c r="G246" s="209" t="s">
        <v>178</v>
      </c>
      <c r="H246" s="243">
        <v>0.85</v>
      </c>
      <c r="I246" s="323">
        <v>9</v>
      </c>
      <c r="J246" s="323">
        <v>9</v>
      </c>
      <c r="K246" s="290">
        <v>1</v>
      </c>
      <c r="L246" s="209" t="s">
        <v>2835</v>
      </c>
      <c r="M246" s="209" t="b">
        <v>0</v>
      </c>
      <c r="O246" s="209" t="s">
        <v>2832</v>
      </c>
      <c r="P246" s="209" t="s">
        <v>159</v>
      </c>
      <c r="Q246" s="209" t="s">
        <v>160</v>
      </c>
      <c r="T246" s="269"/>
      <c r="AE246" s="269"/>
      <c r="AF246" s="269"/>
      <c r="AG246" s="269"/>
      <c r="AH246" s="269"/>
      <c r="AI246" s="269"/>
      <c r="AJ246" s="269"/>
      <c r="AK246" s="270"/>
      <c r="AL246" s="270"/>
      <c r="AM246" s="270"/>
      <c r="AN246" s="270"/>
      <c r="AO246" s="270"/>
      <c r="AP246" s="270"/>
      <c r="AQ246" s="270"/>
      <c r="AR246" s="270"/>
      <c r="AS246" s="270"/>
      <c r="CO246" s="209" t="s">
        <v>365</v>
      </c>
      <c r="CP246" s="209" t="s">
        <v>146</v>
      </c>
      <c r="CQ246" s="209" t="s">
        <v>230</v>
      </c>
      <c r="CR246" s="209" t="s">
        <v>431</v>
      </c>
      <c r="CS246" s="209" t="s">
        <v>2835</v>
      </c>
      <c r="CT246" s="209" t="s">
        <v>230</v>
      </c>
      <c r="CU246" s="211" t="str">
        <f t="shared" si="133"/>
        <v>N/A</v>
      </c>
      <c r="CV246" s="211" t="str">
        <f t="shared" si="134"/>
        <v>N/A</v>
      </c>
      <c r="CW246" s="211" t="str">
        <f t="shared" si="135"/>
        <v>N/A</v>
      </c>
      <c r="CX246" s="211" t="str">
        <f t="shared" si="136"/>
        <v>N/A</v>
      </c>
      <c r="CY246" s="211" t="str">
        <f t="shared" si="137"/>
        <v>N/A</v>
      </c>
      <c r="CZ246" s="211" t="str">
        <f t="shared" si="138"/>
        <v>N/A</v>
      </c>
      <c r="DA246" s="211" t="str">
        <f t="shared" si="139"/>
        <v>N/A</v>
      </c>
      <c r="DB246" s="211" t="str">
        <f t="shared" si="140"/>
        <v>N/A</v>
      </c>
      <c r="DC246" s="211" t="str">
        <f t="shared" si="141"/>
        <v xml:space="preserve">Durante el tercer trimestre de 2025 se realizaron 9 auditorías de 9 programadas, para un cumplimiento del 100%, superando la meta programada del 85 %.
</v>
      </c>
      <c r="DD246" s="211" t="str">
        <f t="shared" si="142"/>
        <v>N/A</v>
      </c>
      <c r="DE246" s="211" t="str">
        <f t="shared" si="143"/>
        <v>N/A</v>
      </c>
      <c r="DF246" s="211" t="str">
        <f t="shared" si="144"/>
        <v>N/A</v>
      </c>
    </row>
    <row r="247" spans="1:110" ht="64.5" customHeight="1">
      <c r="A247" s="349" t="s">
        <v>365</v>
      </c>
      <c r="B247" s="209" t="s">
        <v>146</v>
      </c>
      <c r="C247" s="209" t="s">
        <v>311</v>
      </c>
      <c r="D247" s="209" t="s">
        <v>387</v>
      </c>
      <c r="E247" s="209" t="s">
        <v>388</v>
      </c>
      <c r="F247" s="349" t="s">
        <v>389</v>
      </c>
      <c r="G247" s="209" t="s">
        <v>157</v>
      </c>
      <c r="H247" s="243">
        <v>4</v>
      </c>
      <c r="I247" s="323">
        <v>3</v>
      </c>
      <c r="J247" s="323">
        <v>4</v>
      </c>
      <c r="K247" s="290">
        <v>0.75</v>
      </c>
      <c r="L247" s="209" t="s">
        <v>2836</v>
      </c>
      <c r="M247" s="209" t="b">
        <v>0</v>
      </c>
      <c r="O247" s="209" t="s">
        <v>2832</v>
      </c>
      <c r="P247" s="209" t="s">
        <v>159</v>
      </c>
      <c r="Q247" s="209" t="s">
        <v>160</v>
      </c>
      <c r="T247" s="269"/>
      <c r="AE247" s="269"/>
      <c r="AF247" s="269"/>
      <c r="AG247" s="269"/>
      <c r="AH247" s="269"/>
      <c r="AI247" s="269"/>
      <c r="AJ247" s="269"/>
      <c r="AK247" s="270"/>
      <c r="AL247" s="270"/>
      <c r="AM247" s="270"/>
      <c r="AN247" s="270"/>
      <c r="AO247" s="270"/>
      <c r="AP247" s="270"/>
      <c r="AQ247" s="270"/>
      <c r="AR247" s="270"/>
      <c r="AS247" s="270"/>
      <c r="CO247" s="209" t="s">
        <v>365</v>
      </c>
      <c r="CP247" s="209" t="s">
        <v>146</v>
      </c>
      <c r="CQ247" s="209" t="s">
        <v>311</v>
      </c>
      <c r="CR247" s="209" t="s">
        <v>387</v>
      </c>
      <c r="CS247" s="209" t="s">
        <v>2836</v>
      </c>
      <c r="CT247" s="209" t="s">
        <v>311</v>
      </c>
      <c r="CU247" s="211" t="str">
        <f t="shared" si="133"/>
        <v>N/A</v>
      </c>
      <c r="CV247" s="211" t="str">
        <f t="shared" si="134"/>
        <v>N/A</v>
      </c>
      <c r="CW247" s="211" t="str">
        <f t="shared" si="135"/>
        <v>N/A</v>
      </c>
      <c r="CX247" s="211" t="str">
        <f t="shared" si="136"/>
        <v>N/A</v>
      </c>
      <c r="CY247" s="211" t="str">
        <f t="shared" si="137"/>
        <v>N/A</v>
      </c>
      <c r="CZ247" s="211" t="str">
        <f t="shared" si="138"/>
        <v>N/A</v>
      </c>
      <c r="DA247" s="211" t="str">
        <f t="shared" si="139"/>
        <v>N/A</v>
      </c>
      <c r="DB247" s="211" t="str">
        <f t="shared" si="140"/>
        <v>N/A</v>
      </c>
      <c r="DC247" s="211" t="str">
        <f t="shared" si="141"/>
        <v>​Para el tercer trimestre de 2025 se tenían programados 4 seguimientos en campo a las EPS Capresoca, Sanitas, Nueva EPS y Coosalud, sin embargo solo se realizaron 3, teniendo en cuenta que la Corte Constitucional por medio de la SENTENCIA SU-277 del 26 de junio de 2025, bajo el expediente con radicado T-10.477.327, Magistrado ponente: Juan Carlos Cortés González, la Sala Plena de la Corte Constitucional resolvió DEJAR SIN EFECTOS la Resolución No. 2024160000003002-6 del 2 de abril de 2024 que ordenó la toma de posesión inmediata de los bienes, haberes y negocios de la Entidad Promotora de Salud Sanitas S.A.S. por el término de un año, así como la intervención forzosa para ejercer la administración de dicha EPS; la Resolución 2024100000003060-6 del 10 de abril de 2024 que la corrigió; así como la Resolución 2025320030001947-6 del 1 de abril de 2025, mediante la cual se prorrogó dicha medida de intervención por un año, dictadas por la Superintendencia Nacional de Salud, de acuerdo con lo expuesto en la parte considerativa de esta sentencia, situación que conllevo a la no realización del seguimiento. Asi mismo se informa que dadas las condiciones administrativas y financieras de la Nueva EPS, la SNS instaló la instancia de seguimiento permanente en la Nueva EPS, ordenada mediante  Resolución 2025320030006237-6 del 31 de julio de 2025, modificada por la Resolución 2025320030006459-6 del 6 de agosto de 2025, la cual tiene por objetivo reallizar un monitoreo al cumplimiento de las órdenes impartidas en la resolución de la medida de cesación, que involucrará la verificación de los procesos que hoy aplica la EPS en la asignación de recursos del Sistema General de Seguridad Social en Salud y la garantía de la atención a la población afiliada, motivo por el cual no se aporta el auto del seguimiento, sino las resoluciones mencionadas.</v>
      </c>
      <c r="DD247" s="211" t="str">
        <f t="shared" si="142"/>
        <v>N/A</v>
      </c>
      <c r="DE247" s="211" t="str">
        <f t="shared" si="143"/>
        <v>N/A</v>
      </c>
      <c r="DF247" s="211" t="str">
        <f t="shared" si="144"/>
        <v>N/A</v>
      </c>
    </row>
    <row r="248" spans="1:110" ht="64.5" customHeight="1">
      <c r="A248" s="349" t="s">
        <v>365</v>
      </c>
      <c r="B248" s="209" t="s">
        <v>146</v>
      </c>
      <c r="C248" s="209" t="s">
        <v>258</v>
      </c>
      <c r="D248" s="209" t="s">
        <v>476</v>
      </c>
      <c r="E248" s="209" t="s">
        <v>477</v>
      </c>
      <c r="F248" s="349" t="s">
        <v>478</v>
      </c>
      <c r="G248" s="209" t="s">
        <v>178</v>
      </c>
      <c r="H248" s="243">
        <v>0.85</v>
      </c>
      <c r="I248" s="323">
        <v>15</v>
      </c>
      <c r="J248" s="323">
        <v>22</v>
      </c>
      <c r="K248" s="290">
        <v>0.68181818181818199</v>
      </c>
      <c r="L248" s="209" t="s">
        <v>2837</v>
      </c>
      <c r="M248" s="209" t="b">
        <v>0</v>
      </c>
      <c r="O248" s="209" t="s">
        <v>2832</v>
      </c>
      <c r="P248" s="209" t="s">
        <v>159</v>
      </c>
      <c r="Q248" s="209" t="s">
        <v>160</v>
      </c>
      <c r="T248" s="269"/>
      <c r="AE248" s="269"/>
      <c r="AF248" s="269"/>
      <c r="AG248" s="269"/>
      <c r="AH248" s="269"/>
      <c r="AI248" s="269"/>
      <c r="AJ248" s="269"/>
      <c r="AK248" s="270"/>
      <c r="AL248" s="270"/>
      <c r="AM248" s="270"/>
      <c r="AN248" s="270"/>
      <c r="AO248" s="270"/>
      <c r="AP248" s="270"/>
      <c r="AQ248" s="270"/>
      <c r="AR248" s="270"/>
      <c r="AS248" s="270"/>
      <c r="CO248" s="209" t="s">
        <v>365</v>
      </c>
      <c r="CP248" s="209" t="s">
        <v>146</v>
      </c>
      <c r="CQ248" s="209" t="s">
        <v>258</v>
      </c>
      <c r="CR248" s="209" t="s">
        <v>476</v>
      </c>
      <c r="CS248" s="209" t="s">
        <v>2837</v>
      </c>
      <c r="CT248" s="209" t="s">
        <v>258</v>
      </c>
      <c r="CU248" s="211" t="str">
        <f t="shared" si="133"/>
        <v>N/A</v>
      </c>
      <c r="CV248" s="211" t="str">
        <f t="shared" si="134"/>
        <v>N/A</v>
      </c>
      <c r="CW248" s="211" t="str">
        <f t="shared" si="135"/>
        <v>N/A</v>
      </c>
      <c r="CX248" s="211" t="str">
        <f t="shared" si="136"/>
        <v>N/A</v>
      </c>
      <c r="CY248" s="211" t="str">
        <f t="shared" si="137"/>
        <v>N/A</v>
      </c>
      <c r="CZ248" s="211" t="str">
        <f t="shared" si="138"/>
        <v>N/A</v>
      </c>
      <c r="DA248" s="211" t="str">
        <f t="shared" si="139"/>
        <v>N/A</v>
      </c>
      <c r="DB248" s="211" t="str">
        <f t="shared" si="140"/>
        <v>N/A</v>
      </c>
      <c r="DC248" s="211" t="str">
        <f t="shared" si="141"/>
        <v xml:space="preserve">​Durante el tercer trimestre de 2025 se efectuó la actualización de 15 de las 22 medidas programadas para el periodo. Es preciso señalar que durante el periodo 11 entidades se encuentran bajo medida especial. Sin embargo, el alto volumen de requerimientos recibidos durante el trimestre, derivados de la orden impartida por la Corte Constitucional en relación con la EPS Sanitas, así como las condiciones administrativas y financieras de la Nueva EPS, generaron múltiples solicitudes de control político por parte del Congreso de la República y requerimientos adicionales de los entes de control. Esta situación superó la capacidad operativa de la Dirección de Medidas Especiales, situación que se vio agravada por la rotación de personal como resultado del concurso de méritos
</v>
      </c>
      <c r="DD248" s="211" t="str">
        <f t="shared" si="142"/>
        <v>N/A</v>
      </c>
      <c r="DE248" s="211" t="str">
        <f t="shared" si="143"/>
        <v>N/A</v>
      </c>
      <c r="DF248" s="211" t="str">
        <f t="shared" si="144"/>
        <v>N/A</v>
      </c>
    </row>
    <row r="249" spans="1:110" ht="64.5" customHeight="1">
      <c r="A249" s="349" t="s">
        <v>365</v>
      </c>
      <c r="B249" s="209" t="s">
        <v>146</v>
      </c>
      <c r="C249" s="209" t="s">
        <v>510</v>
      </c>
      <c r="D249" s="209" t="s">
        <v>431</v>
      </c>
      <c r="E249" s="209" t="s">
        <v>511</v>
      </c>
      <c r="F249" s="349" t="s">
        <v>512</v>
      </c>
      <c r="G249" s="209" t="s">
        <v>178</v>
      </c>
      <c r="H249" s="243">
        <v>0.8</v>
      </c>
      <c r="I249" s="324">
        <v>0.82</v>
      </c>
      <c r="J249" s="434">
        <v>1</v>
      </c>
      <c r="K249" s="290">
        <v>1.0249999999999999</v>
      </c>
      <c r="L249" s="209" t="s">
        <v>2938</v>
      </c>
      <c r="M249" s="209" t="b">
        <v>1</v>
      </c>
      <c r="N249" s="209" t="s">
        <v>2838</v>
      </c>
      <c r="O249" s="209" t="s">
        <v>2832</v>
      </c>
      <c r="P249" s="209" t="s">
        <v>159</v>
      </c>
      <c r="Q249" s="209" t="s">
        <v>160</v>
      </c>
      <c r="T249" s="269"/>
      <c r="AE249" s="269"/>
      <c r="AF249" s="269"/>
      <c r="AG249" s="269"/>
      <c r="AH249" s="269"/>
      <c r="AI249" s="269"/>
      <c r="AJ249" s="269"/>
      <c r="AK249" s="270"/>
      <c r="AL249" s="270"/>
      <c r="AM249" s="270"/>
      <c r="AN249" s="270"/>
      <c r="AO249" s="270"/>
      <c r="AP249" s="270"/>
      <c r="AQ249" s="270"/>
      <c r="AR249" s="270"/>
      <c r="AS249" s="270"/>
      <c r="CO249" s="209" t="s">
        <v>365</v>
      </c>
      <c r="CP249" s="209" t="s">
        <v>146</v>
      </c>
      <c r="CQ249" s="209" t="s">
        <v>510</v>
      </c>
      <c r="CR249" s="209" t="s">
        <v>431</v>
      </c>
      <c r="CS249" s="209" t="s">
        <v>2938</v>
      </c>
      <c r="CT249" s="209" t="s">
        <v>510</v>
      </c>
      <c r="CU249" s="211" t="str">
        <f t="shared" si="133"/>
        <v>N/A</v>
      </c>
      <c r="CV249" s="211" t="str">
        <f t="shared" si="134"/>
        <v>N/A</v>
      </c>
      <c r="CW249" s="211" t="str">
        <f t="shared" si="135"/>
        <v>N/A</v>
      </c>
      <c r="CX249" s="211" t="str">
        <f t="shared" si="136"/>
        <v>N/A</v>
      </c>
      <c r="CY249" s="211" t="str">
        <f t="shared" si="137"/>
        <v>N/A</v>
      </c>
      <c r="CZ249" s="211" t="str">
        <f t="shared" si="138"/>
        <v>N/A</v>
      </c>
      <c r="DA249" s="211" t="str">
        <f t="shared" si="139"/>
        <v>N/A</v>
      </c>
      <c r="DB249" s="211" t="str">
        <f t="shared" si="140"/>
        <v>N/A</v>
      </c>
      <c r="DC249" s="211" t="str">
        <f t="shared" si="141"/>
        <v xml:space="preserve">​Una vez realizada la consolidación de las actividades de IV desarrolladas por los grupos internos de trabajo se indica que se cumplio con el indicador para el tercer trimestre correspondiente al 82 %.
Se aclara que cada grupo tienen diferentes tipos de vigilados por lo que el total de vigilados no son objeto de acciones de IV por todos los grupos internos de trabajo.
</v>
      </c>
      <c r="DD249" s="211" t="str">
        <f t="shared" si="142"/>
        <v>N/A</v>
      </c>
      <c r="DE249" s="211" t="str">
        <f t="shared" si="143"/>
        <v>N/A</v>
      </c>
      <c r="DF249" s="211" t="str">
        <f t="shared" si="144"/>
        <v>N/A</v>
      </c>
    </row>
    <row r="250" spans="1:110" ht="64.5" customHeight="1">
      <c r="A250" s="349" t="s">
        <v>152</v>
      </c>
      <c r="B250" s="209" t="s">
        <v>146</v>
      </c>
      <c r="C250" s="209" t="s">
        <v>174</v>
      </c>
      <c r="D250" s="209" t="s">
        <v>175</v>
      </c>
      <c r="E250" s="209" t="s">
        <v>176</v>
      </c>
      <c r="F250" s="349" t="s">
        <v>177</v>
      </c>
      <c r="G250" s="209" t="s">
        <v>178</v>
      </c>
      <c r="H250" s="243">
        <v>1</v>
      </c>
      <c r="I250" s="323">
        <v>166</v>
      </c>
      <c r="J250" s="323">
        <v>166</v>
      </c>
      <c r="K250" s="290">
        <v>1</v>
      </c>
      <c r="L250" s="209" t="s">
        <v>2839</v>
      </c>
      <c r="M250" s="209" t="b">
        <v>0</v>
      </c>
      <c r="O250" s="209" t="s">
        <v>2832</v>
      </c>
      <c r="P250" s="209" t="s">
        <v>159</v>
      </c>
      <c r="Q250" s="209" t="s">
        <v>160</v>
      </c>
      <c r="T250" s="269"/>
      <c r="AE250" s="269"/>
      <c r="AF250" s="269"/>
      <c r="AG250" s="269"/>
      <c r="AH250" s="269"/>
      <c r="AI250" s="269"/>
      <c r="AJ250" s="269"/>
      <c r="AK250" s="270"/>
      <c r="AL250" s="270"/>
      <c r="AM250" s="270"/>
      <c r="AN250" s="270"/>
      <c r="AO250" s="270"/>
      <c r="AP250" s="270"/>
      <c r="AQ250" s="270"/>
      <c r="AR250" s="270"/>
      <c r="AS250" s="270"/>
      <c r="CO250" s="209" t="s">
        <v>152</v>
      </c>
      <c r="CP250" s="209" t="s">
        <v>146</v>
      </c>
      <c r="CQ250" s="209" t="s">
        <v>174</v>
      </c>
      <c r="CR250" s="209" t="s">
        <v>175</v>
      </c>
      <c r="CS250" s="209" t="s">
        <v>2839</v>
      </c>
      <c r="CT250" s="209" t="s">
        <v>174</v>
      </c>
      <c r="CU250" s="211" t="str">
        <f t="shared" si="133"/>
        <v>N/A</v>
      </c>
      <c r="CV250" s="211" t="str">
        <f t="shared" si="134"/>
        <v>N/A</v>
      </c>
      <c r="CW250" s="211" t="str">
        <f t="shared" si="135"/>
        <v>N/A</v>
      </c>
      <c r="CX250" s="211" t="str">
        <f t="shared" si="136"/>
        <v>N/A</v>
      </c>
      <c r="CY250" s="211" t="str">
        <f t="shared" si="137"/>
        <v>N/A</v>
      </c>
      <c r="CZ250" s="211" t="str">
        <f t="shared" si="138"/>
        <v>N/A</v>
      </c>
      <c r="DA250" s="211" t="str">
        <f t="shared" si="139"/>
        <v>N/A</v>
      </c>
      <c r="DB250" s="211" t="str">
        <f t="shared" si="140"/>
        <v>N/A</v>
      </c>
      <c r="DC250" s="211" t="str">
        <f t="shared" si="141"/>
        <v xml:space="preserve">​En el tercer trimestre del 2025, la Dirección de conciliación programó y surtió un total de audiencias de conciliación extrajudiciales en Derecho 2.464, de las cuales 670 se atendieron en Sede Bogotá de manera virtual, como resultado del reparto ordinario, aplazamientos, reprogramaciones y/o suspensiones y 1.794 en el desarrollo de 4 jornadas de conciliación adelantadas en territorio
</v>
      </c>
      <c r="DD250" s="211" t="str">
        <f t="shared" si="142"/>
        <v>N/A</v>
      </c>
      <c r="DE250" s="211" t="str">
        <f t="shared" si="143"/>
        <v>N/A</v>
      </c>
      <c r="DF250" s="211" t="str">
        <f t="shared" si="144"/>
        <v>N/A</v>
      </c>
    </row>
    <row r="251" spans="1:110" ht="64.5" customHeight="1">
      <c r="A251" s="349" t="s">
        <v>152</v>
      </c>
      <c r="B251" s="209" t="s">
        <v>146</v>
      </c>
      <c r="C251" s="209" t="s">
        <v>183</v>
      </c>
      <c r="D251" s="209" t="s">
        <v>184</v>
      </c>
      <c r="E251" s="209" t="s">
        <v>185</v>
      </c>
      <c r="F251" s="349" t="s">
        <v>186</v>
      </c>
      <c r="G251" s="209" t="s">
        <v>178</v>
      </c>
      <c r="H251" s="243">
        <v>1</v>
      </c>
      <c r="I251" s="323">
        <v>166</v>
      </c>
      <c r="J251" s="323">
        <v>166</v>
      </c>
      <c r="K251" s="290">
        <v>1</v>
      </c>
      <c r="L251" s="209" t="s">
        <v>3123</v>
      </c>
      <c r="M251" s="209" t="b">
        <v>0</v>
      </c>
      <c r="O251" s="209" t="s">
        <v>2832</v>
      </c>
      <c r="P251" s="209" t="s">
        <v>159</v>
      </c>
      <c r="Q251" s="209" t="s">
        <v>160</v>
      </c>
      <c r="T251" s="269"/>
      <c r="AE251" s="269"/>
      <c r="AF251" s="269"/>
      <c r="AG251" s="269"/>
      <c r="AH251" s="269"/>
      <c r="AI251" s="269"/>
      <c r="AJ251" s="269"/>
      <c r="AK251" s="270"/>
      <c r="AL251" s="270"/>
      <c r="AM251" s="270"/>
      <c r="AN251" s="270"/>
      <c r="AO251" s="270"/>
      <c r="AP251" s="270"/>
      <c r="AQ251" s="270"/>
      <c r="AR251" s="270"/>
      <c r="AS251" s="270"/>
      <c r="CO251" s="209" t="s">
        <v>152</v>
      </c>
      <c r="CP251" s="209" t="s">
        <v>146</v>
      </c>
      <c r="CQ251" s="209" t="s">
        <v>183</v>
      </c>
      <c r="CR251" s="209" t="s">
        <v>184</v>
      </c>
      <c r="CS251" s="209" t="s">
        <v>3123</v>
      </c>
      <c r="CT251" s="209" t="s">
        <v>183</v>
      </c>
      <c r="CU251" s="211" t="str">
        <f t="shared" si="133"/>
        <v>N/A</v>
      </c>
      <c r="CV251" s="211" t="str">
        <f t="shared" si="134"/>
        <v>N/A</v>
      </c>
      <c r="CW251" s="211" t="str">
        <f t="shared" si="135"/>
        <v>N/A</v>
      </c>
      <c r="CX251" s="211" t="str">
        <f t="shared" si="136"/>
        <v>N/A</v>
      </c>
      <c r="CY251" s="211" t="str">
        <f t="shared" si="137"/>
        <v>N/A</v>
      </c>
      <c r="CZ251" s="211" t="str">
        <f t="shared" si="138"/>
        <v>N/A</v>
      </c>
      <c r="DA251" s="211" t="str">
        <f t="shared" si="139"/>
        <v>N/A</v>
      </c>
      <c r="DB251" s="211" t="str">
        <f t="shared" si="140"/>
        <v>N/A</v>
      </c>
      <c r="DC251" s="211" t="str">
        <f t="shared" si="141"/>
        <v>​En la Dirección de Conciliación, para el tercer trimestre de 2025 se presentaron los siguientes resultados frente a las actividades descritas a continuación:
Realizar acciones para la recuperación de recursos del sistema de seguridad social a través del mecanismo de la Conciliación como método alternativo de solución de conflictos.
CUMPLIMIENTO DEL INDICADOR: Se determina mediante el porcentaje de (Valor confirmado de pago de los acuerdos conciliatorios exigibles contestados en el periodo de reporte / Valor total conciliado de los acuerdos conciliatorios exigibles contestados en el periodo de reporte).
Realizar acciones para la recuperación de recursos del sistema de seguridad social a través del mecanismo de la Conciliación como método alternativo de solución de conflictos.
Se determina mediante el número total de acuerdos conciliatorios realizados en el periodo de reporte.
= 166 Acuerdos Conciliatorios por un valor de $47.223.856.344.</v>
      </c>
      <c r="DD251" s="211" t="str">
        <f t="shared" si="142"/>
        <v>N/A</v>
      </c>
      <c r="DE251" s="211" t="str">
        <f t="shared" si="143"/>
        <v>N/A</v>
      </c>
      <c r="DF251" s="211" t="str">
        <f t="shared" si="144"/>
        <v>N/A</v>
      </c>
    </row>
    <row r="252" spans="1:110" ht="64.5" customHeight="1">
      <c r="A252" s="349" t="s">
        <v>152</v>
      </c>
      <c r="B252" s="209" t="s">
        <v>146</v>
      </c>
      <c r="C252" s="209" t="s">
        <v>153</v>
      </c>
      <c r="D252" s="209" t="s">
        <v>154</v>
      </c>
      <c r="E252" s="209" t="s">
        <v>155</v>
      </c>
      <c r="F252" s="349" t="s">
        <v>156</v>
      </c>
      <c r="G252" s="209" t="s">
        <v>157</v>
      </c>
      <c r="H252" s="243">
        <v>45</v>
      </c>
      <c r="I252" s="323">
        <v>54</v>
      </c>
      <c r="J252" s="323">
        <v>54</v>
      </c>
      <c r="K252" s="290">
        <v>1</v>
      </c>
      <c r="L252" s="209" t="s">
        <v>2840</v>
      </c>
      <c r="M252" s="209" t="b">
        <v>0</v>
      </c>
      <c r="O252" s="209" t="s">
        <v>2832</v>
      </c>
      <c r="P252" s="209" t="s">
        <v>159</v>
      </c>
      <c r="Q252" s="209" t="s">
        <v>160</v>
      </c>
      <c r="T252" s="269"/>
      <c r="AE252" s="269"/>
      <c r="AF252" s="269"/>
      <c r="AG252" s="269"/>
      <c r="AH252" s="269"/>
      <c r="AI252" s="269"/>
      <c r="AJ252" s="269"/>
      <c r="AK252" s="270"/>
      <c r="AL252" s="270"/>
      <c r="AM252" s="270"/>
      <c r="AN252" s="270"/>
      <c r="AO252" s="270"/>
      <c r="AP252" s="270"/>
      <c r="AQ252" s="270"/>
      <c r="AR252" s="270"/>
      <c r="AS252" s="270"/>
      <c r="CO252" s="209" t="s">
        <v>152</v>
      </c>
      <c r="CP252" s="209" t="s">
        <v>146</v>
      </c>
      <c r="CQ252" s="209" t="s">
        <v>153</v>
      </c>
      <c r="CR252" s="209" t="s">
        <v>154</v>
      </c>
      <c r="CS252" s="209" t="s">
        <v>2840</v>
      </c>
      <c r="CT252" s="209" t="s">
        <v>153</v>
      </c>
      <c r="CU252" s="211" t="str">
        <f t="shared" si="133"/>
        <v>N/A</v>
      </c>
      <c r="CV252" s="211" t="str">
        <f t="shared" si="134"/>
        <v>N/A</v>
      </c>
      <c r="CW252" s="211" t="str">
        <f t="shared" si="135"/>
        <v>N/A</v>
      </c>
      <c r="CX252" s="211" t="str">
        <f t="shared" si="136"/>
        <v>N/A</v>
      </c>
      <c r="CY252" s="211" t="str">
        <f t="shared" si="137"/>
        <v>N/A</v>
      </c>
      <c r="CZ252" s="211" t="str">
        <f t="shared" si="138"/>
        <v>N/A</v>
      </c>
      <c r="DA252" s="211" t="str">
        <f t="shared" si="139"/>
        <v>N/A</v>
      </c>
      <c r="DB252" s="211" t="str">
        <f t="shared" si="140"/>
        <v>N/A</v>
      </c>
      <c r="DC252" s="211" t="str">
        <f t="shared" si="141"/>
        <v xml:space="preserve">​Se realizó PLAN DE CHOQUE en aras de optimizar el recuerso humano del area para dar cumplimiento a la alta demanda de denuncias relacionadas con Glosas en salud , de los diferentes actores del SGSSS.y esto hizo que se superara satisfactoriamente la meta establecida ya que estas circustancias son de causa subita e imprevista. 
</v>
      </c>
      <c r="DD252" s="211" t="str">
        <f t="shared" si="142"/>
        <v>N/A</v>
      </c>
      <c r="DE252" s="211" t="str">
        <f t="shared" si="143"/>
        <v>N/A</v>
      </c>
      <c r="DF252" s="211" t="str">
        <f t="shared" si="144"/>
        <v>N/A</v>
      </c>
    </row>
    <row r="253" spans="1:110" ht="64.5" customHeight="1">
      <c r="A253" s="349" t="s">
        <v>152</v>
      </c>
      <c r="B253" s="209" t="s">
        <v>146</v>
      </c>
      <c r="C253" s="209" t="s">
        <v>165</v>
      </c>
      <c r="D253" s="209" t="s">
        <v>166</v>
      </c>
      <c r="E253" s="209" t="s">
        <v>167</v>
      </c>
      <c r="F253" s="349" t="s">
        <v>168</v>
      </c>
      <c r="G253" s="209" t="s">
        <v>157</v>
      </c>
      <c r="H253" s="243">
        <v>140</v>
      </c>
      <c r="I253" s="323">
        <v>140</v>
      </c>
      <c r="J253" s="323">
        <v>140</v>
      </c>
      <c r="K253" s="290">
        <v>1</v>
      </c>
      <c r="L253" s="209" t="s">
        <v>2841</v>
      </c>
      <c r="M253" s="209" t="b">
        <v>0</v>
      </c>
      <c r="O253" s="209" t="s">
        <v>2832</v>
      </c>
      <c r="P253" s="209" t="s">
        <v>159</v>
      </c>
      <c r="Q253" s="209" t="s">
        <v>160</v>
      </c>
      <c r="T253" s="269"/>
      <c r="AE253" s="269"/>
      <c r="AF253" s="269"/>
      <c r="AG253" s="269"/>
      <c r="AH253" s="269"/>
      <c r="AI253" s="269"/>
      <c r="AJ253" s="269"/>
      <c r="AK253" s="270"/>
      <c r="AL253" s="270"/>
      <c r="AM253" s="270"/>
      <c r="AN253" s="270"/>
      <c r="AO253" s="270"/>
      <c r="AP253" s="270"/>
      <c r="AQ253" s="270"/>
      <c r="AR253" s="270"/>
      <c r="AS253" s="270"/>
      <c r="CO253" s="209" t="s">
        <v>152</v>
      </c>
      <c r="CP253" s="209" t="s">
        <v>146</v>
      </c>
      <c r="CQ253" s="209" t="s">
        <v>165</v>
      </c>
      <c r="CR253" s="209" t="s">
        <v>166</v>
      </c>
      <c r="CS253" s="209" t="s">
        <v>2841</v>
      </c>
      <c r="CT253" s="209" t="s">
        <v>165</v>
      </c>
      <c r="CU253" s="211" t="str">
        <f t="shared" si="133"/>
        <v>N/A</v>
      </c>
      <c r="CV253" s="211" t="str">
        <f t="shared" si="134"/>
        <v>N/A</v>
      </c>
      <c r="CW253" s="211" t="str">
        <f t="shared" si="135"/>
        <v>N/A</v>
      </c>
      <c r="CX253" s="211" t="str">
        <f t="shared" si="136"/>
        <v>N/A</v>
      </c>
      <c r="CY253" s="211" t="str">
        <f t="shared" si="137"/>
        <v>N/A</v>
      </c>
      <c r="CZ253" s="211" t="str">
        <f t="shared" si="138"/>
        <v>N/A</v>
      </c>
      <c r="DA253" s="211" t="str">
        <f t="shared" si="139"/>
        <v>N/A</v>
      </c>
      <c r="DB253" s="211" t="str">
        <f t="shared" si="140"/>
        <v>N/A</v>
      </c>
      <c r="DC253" s="211" t="str">
        <f t="shared" si="141"/>
        <v xml:space="preserve">​Se cumplió la meta establecida a pesar de la llegada de funcionarios nuevos de la CNSC a la Delegada, estos fueron muy receptivos y se les realizo la INDUCCION - CAPACITACION de la DFJC en temas especificos de sus actividades o  funciones y con ellos se hizo TUTORIA permanente por parte de los Directores, compañeros y el Delegado y asi cumplir con la meta a pesar del alto volumen de demandas por reconocimiento economico en salud.
</v>
      </c>
      <c r="DD253" s="211" t="str">
        <f t="shared" si="142"/>
        <v>N/A</v>
      </c>
      <c r="DE253" s="211" t="str">
        <f t="shared" si="143"/>
        <v>N/A</v>
      </c>
      <c r="DF253" s="211" t="str">
        <f t="shared" si="144"/>
        <v>N/A</v>
      </c>
    </row>
    <row r="254" spans="1:110" ht="64.5" customHeight="1">
      <c r="A254" s="349" t="s">
        <v>271</v>
      </c>
      <c r="B254" s="209" t="s">
        <v>146</v>
      </c>
      <c r="C254" s="209" t="s">
        <v>272</v>
      </c>
      <c r="D254" s="209" t="s">
        <v>273</v>
      </c>
      <c r="E254" s="209" t="s">
        <v>274</v>
      </c>
      <c r="F254" s="349" t="s">
        <v>275</v>
      </c>
      <c r="G254" s="209" t="s">
        <v>178</v>
      </c>
      <c r="H254" s="243">
        <v>0.6</v>
      </c>
      <c r="I254" s="323">
        <v>5.75</v>
      </c>
      <c r="J254" s="323">
        <v>9</v>
      </c>
      <c r="K254" s="290">
        <v>0.63888888888888895</v>
      </c>
      <c r="L254" s="209" t="s">
        <v>3124</v>
      </c>
      <c r="M254" s="209" t="b">
        <v>1</v>
      </c>
      <c r="N254" s="209" t="s">
        <v>2851</v>
      </c>
      <c r="O254" s="209" t="s">
        <v>2832</v>
      </c>
      <c r="P254" s="209" t="s">
        <v>159</v>
      </c>
      <c r="Q254" s="209" t="s">
        <v>160</v>
      </c>
      <c r="T254" s="269"/>
      <c r="AE254" s="269"/>
      <c r="AF254" s="269"/>
      <c r="AG254" s="269"/>
      <c r="AH254" s="269"/>
      <c r="AI254" s="269"/>
      <c r="AJ254" s="269"/>
      <c r="AK254" s="270"/>
      <c r="AL254" s="270"/>
      <c r="AM254" s="270"/>
      <c r="AN254" s="270"/>
      <c r="AO254" s="270"/>
      <c r="AP254" s="270"/>
      <c r="AQ254" s="270"/>
      <c r="AR254" s="270"/>
      <c r="AS254" s="270"/>
      <c r="CO254" s="209" t="s">
        <v>271</v>
      </c>
      <c r="CP254" s="209" t="s">
        <v>146</v>
      </c>
      <c r="CQ254" s="209" t="s">
        <v>272</v>
      </c>
      <c r="CR254" s="209" t="s">
        <v>273</v>
      </c>
      <c r="CS254" s="209" t="s">
        <v>3124</v>
      </c>
      <c r="CT254" s="209" t="s">
        <v>272</v>
      </c>
      <c r="CU254" s="211" t="str">
        <f t="shared" si="133"/>
        <v>N/A</v>
      </c>
      <c r="CV254" s="211" t="str">
        <f t="shared" si="134"/>
        <v>N/A</v>
      </c>
      <c r="CW254" s="211" t="str">
        <f t="shared" si="135"/>
        <v>N/A</v>
      </c>
      <c r="CX254" s="211" t="str">
        <f t="shared" si="136"/>
        <v>N/A</v>
      </c>
      <c r="CY254" s="211" t="str">
        <f t="shared" si="137"/>
        <v>N/A</v>
      </c>
      <c r="CZ254" s="211" t="str">
        <f t="shared" si="138"/>
        <v>N/A</v>
      </c>
      <c r="DA254" s="211" t="str">
        <f t="shared" si="139"/>
        <v>N/A</v>
      </c>
      <c r="DB254" s="211" t="str">
        <f t="shared" si="140"/>
        <v>N/A</v>
      </c>
      <c r="DC254" s="211" t="str">
        <f t="shared" si="141"/>
        <v>Para el periodo de seguimiento se realizaron actividades con el actor Aseguradores, en 6 de las 8  regionales, lo que equivale a un acumulado de 5.75 actores de los 9 programados para el cuatrienio, faltando 0.25 para alcanzar la meta de la vigencia de 2025, el detalle de las actividades se rrelaciona acontinuación:
 - DR Andina:se realizaron Mesas de PQRD con 2 nuevos aseguradores en el mes de Agosto:  Policia, Astmetsalud
- DR Orinoquía:Seguimiento del 1 al 10 de la Mesa PQRD con Capital Salud EPS Meta, Seguimiento del 1 al 9 de la Mesa PQRD con Famisanar EPS Meta, Seguimiento del 1 al 9 de la Mesa PQRD con Nueva EPS Meta, Seguimiento del 1 al 8 de la Mesa PQRD con Sanitas EPS Meta
- DR Occidental: Se realizaron tres (3) mesas de Inspección y Vigilancia para seguimeinto de PQRD a las EPS Nueva EPS, Emssanar y Servicio Occidental de Salud. Adicionalmente en la Sede Agualongo Se realizó una lista de verificación LVR a la EPS Asmet Salud y mesa PQRD Emssanar. 
- DR Sur: Se desarrollaron un total de 3 acciones que consistieron en la realización de mesa de trabajo seguimiento PQRD Huila y Tolima con Famisanar y 2 requerimientos a Famisanar EPS y Asmet Salud EPS para resolución de PQRD
- DR Nororiental: 4 Mesa aseguradores (1seguimiento a estratégia contención de quejas con EPS Santander) y ( 3 Mesas Seguimiento TBC Bucaramanga) 
- DR Caribe: Se realizó mesa tecnica de flujo de recursos con las 15 EPS que operan en los departamentos de Magdalena, Cesar y Guajira.
- Sede Insular: Se ejecutó IVR a Nueva EPS el 17 de julio de 2025.
- DR Chocó: N/A Por dificultades logísticas impidieron la consolidación del informe el reporte ingresará en el cuarto trimestre del año.
- DR Norte: N/A, se tiene programado para el cuarto trimestre del año</v>
      </c>
      <c r="DD254" s="211" t="str">
        <f t="shared" si="142"/>
        <v>N/A</v>
      </c>
      <c r="DE254" s="211" t="str">
        <f t="shared" si="143"/>
        <v>N/A</v>
      </c>
      <c r="DF254" s="211" t="str">
        <f t="shared" si="144"/>
        <v>N/A</v>
      </c>
    </row>
    <row r="255" spans="1:110" ht="64.5" customHeight="1">
      <c r="A255" s="349" t="s">
        <v>271</v>
      </c>
      <c r="B255" s="209" t="s">
        <v>146</v>
      </c>
      <c r="C255" s="209" t="s">
        <v>278</v>
      </c>
      <c r="D255" s="209" t="s">
        <v>279</v>
      </c>
      <c r="E255" s="209" t="s">
        <v>280</v>
      </c>
      <c r="F255" s="349" t="s">
        <v>281</v>
      </c>
      <c r="G255" s="209" t="s">
        <v>178</v>
      </c>
      <c r="H255" s="243">
        <v>1</v>
      </c>
      <c r="I255" s="323">
        <v>50</v>
      </c>
      <c r="J255" s="323">
        <v>50</v>
      </c>
      <c r="K255" s="290">
        <v>1</v>
      </c>
      <c r="L255" s="209" t="s">
        <v>2852</v>
      </c>
      <c r="M255" s="209" t="b">
        <v>1</v>
      </c>
      <c r="N255" s="209" t="s">
        <v>2851</v>
      </c>
      <c r="O255" s="209" t="s">
        <v>2832</v>
      </c>
      <c r="P255" s="209" t="s">
        <v>159</v>
      </c>
      <c r="Q255" s="209" t="s">
        <v>160</v>
      </c>
      <c r="T255" s="269"/>
      <c r="AE255" s="269"/>
      <c r="AF255" s="269"/>
      <c r="AG255" s="269"/>
      <c r="AH255" s="269"/>
      <c r="AI255" s="269"/>
      <c r="AJ255" s="269"/>
      <c r="AK255" s="270"/>
      <c r="AL255" s="270"/>
      <c r="AM255" s="270"/>
      <c r="AN255" s="270"/>
      <c r="AO255" s="270"/>
      <c r="AP255" s="270"/>
      <c r="AQ255" s="270"/>
      <c r="AR255" s="270"/>
      <c r="AS255" s="270"/>
      <c r="CO255" s="209" t="s">
        <v>271</v>
      </c>
      <c r="CP255" s="209" t="s">
        <v>146</v>
      </c>
      <c r="CQ255" s="209" t="s">
        <v>278</v>
      </c>
      <c r="CR255" s="209" t="s">
        <v>279</v>
      </c>
      <c r="CS255" s="209" t="s">
        <v>2852</v>
      </c>
      <c r="CT255" s="209" t="s">
        <v>278</v>
      </c>
      <c r="CU255" s="211" t="str">
        <f t="shared" si="133"/>
        <v>N/A</v>
      </c>
      <c r="CV255" s="211" t="str">
        <f t="shared" si="134"/>
        <v>N/A</v>
      </c>
      <c r="CW255" s="211" t="str">
        <f t="shared" si="135"/>
        <v>N/A</v>
      </c>
      <c r="CX255" s="211" t="str">
        <f t="shared" si="136"/>
        <v>N/A</v>
      </c>
      <c r="CY255" s="211" t="str">
        <f t="shared" si="137"/>
        <v>N/A</v>
      </c>
      <c r="CZ255" s="211" t="str">
        <f t="shared" si="138"/>
        <v>N/A</v>
      </c>
      <c r="DA255" s="211" t="str">
        <f t="shared" si="139"/>
        <v>N/A</v>
      </c>
      <c r="DB255" s="211" t="str">
        <f t="shared" si="140"/>
        <v>N/A</v>
      </c>
      <c r="DC255" s="211" t="str">
        <f t="shared" si="141"/>
        <v xml:space="preserve">Para el periodo de seguimiento se programaron impactar 50 nuevos territorios y se logró llegar a 50, lo cual evidencia un cumplimiento del 100% de los territorios programados para el periodo, así:              DR Andina: Acción Inspectiva con prestadores en Ituango, y Mesa convocada por terceros en Santuario Risaralda.
DR Orinoquía:En total fueron impactados 3 nuevos territorios. 1. Mesa IV en cumaribo -  VIchada el 13 y 14 de agosto de 2025. 2. Mesa IV en San Carlos de Guaroa - Meta el 28 de julio de 2025. 3. Mesa IV en San Martin de los Llanos - Meta el 30 de Julio de 2025.
DR Occidental: Se realizaron un total de ocho (8) acciones de inspección y vigilancia en nuevos territorios, tres (3) en el departamento del Cauca, en los municipios de Puerto Tejada (vigías en el territorio referencia y contrarreferencia y a gestor farmacéutico); Villa Rica  (vigías en el territorio referencia y contrarreferencia y a gestor farmacéutico); Caloto (mesa de IV tosferina) y en el Valle del Cauca cinco (5) acciones, Tuluá (vigías en el territorio referencia y contrarreferencia); Palmira (vigías en el territorio referencia y contrarreferencia y a gestor farmacéutico); Candelaria (vigías en el territorio referencia y contrarreferencia y a gestor farmacéutico); Yumbo (vigías en el territorio referencia y contrarreferencia y a gestor farmacéutico) y Guadalajara de Buga vigías en el territorio (referencia y contrarreferencia y a gestor farmacéutico). 
DR Sur: En total fueron 4 territorios nuevos atendidos con: Mesa IV - San Vicente del Caguán - Caquetá, Mesa de Gobernanza - San Miguel y Orito - Putumayo, Apoyo a DPU en jornada de atención al usuario - Ataco - Tolima. 
DR Norte: N/A
DR Nororiental: 4 nuevos territorios  (2 Mesa IV de Gámeza e Iza), (1 Mesa Consejo Municipal Moniquirá), (2 Vigías de la Salud en Málaga y Socorro), (1 LVR en San Vicente de Chucurí)
DR Chocó: 9 acciones entre las cuales mesas IV, REFERENCIA Y CONTRAREFERENCIA
DR Caribe: 1 Mesa IV - Bosconia - Cesar,  5 Mesas de Gobernanza:  Cesar:  2:   Becerril, Talamemeque, Magdalena:  3 Salamina, Puebloviejo, La Guajira: 1:  Fonseca. 1 AIT - Santa Ana Magdalena. Proceso de referencia y contrareferencia.  5, LVR Gestores Farmaceuticos: 4
Sede Agualongo: En la sede Agualongo se realizaron cuatro (4) mesas de Inspección y Vigilancia en los municipios de Magui Payan, Barbacoas, Sandoná y Tuquerres.
</v>
      </c>
      <c r="DD255" s="211" t="str">
        <f t="shared" si="142"/>
        <v>N/A</v>
      </c>
      <c r="DE255" s="211" t="str">
        <f t="shared" si="143"/>
        <v>N/A</v>
      </c>
      <c r="DF255" s="211" t="str">
        <f t="shared" si="144"/>
        <v>N/A</v>
      </c>
    </row>
    <row r="256" spans="1:110" ht="64.5" customHeight="1">
      <c r="A256" s="349" t="s">
        <v>271</v>
      </c>
      <c r="B256" s="209" t="s">
        <v>146</v>
      </c>
      <c r="C256" s="209" t="s">
        <v>284</v>
      </c>
      <c r="D256" s="209" t="s">
        <v>285</v>
      </c>
      <c r="E256" s="209" t="s">
        <v>286</v>
      </c>
      <c r="F256" s="349" t="s">
        <v>287</v>
      </c>
      <c r="G256" s="209" t="s">
        <v>178</v>
      </c>
      <c r="H256" s="243">
        <v>1</v>
      </c>
      <c r="I256" s="323">
        <v>2</v>
      </c>
      <c r="J256" s="323">
        <v>2</v>
      </c>
      <c r="K256" s="290">
        <v>1</v>
      </c>
      <c r="L256" s="209" t="s">
        <v>2943</v>
      </c>
      <c r="M256" s="209" t="b">
        <v>1</v>
      </c>
      <c r="N256" s="209" t="s">
        <v>2853</v>
      </c>
      <c r="O256" s="209" t="s">
        <v>2832</v>
      </c>
      <c r="P256" s="209" t="s">
        <v>159</v>
      </c>
      <c r="Q256" s="209" t="s">
        <v>160</v>
      </c>
      <c r="T256" s="269"/>
      <c r="AE256" s="269"/>
      <c r="AF256" s="269"/>
      <c r="AG256" s="269"/>
      <c r="AH256" s="269"/>
      <c r="AI256" s="269"/>
      <c r="AJ256" s="269"/>
      <c r="AK256" s="270"/>
      <c r="AL256" s="270"/>
      <c r="AM256" s="270"/>
      <c r="AN256" s="270"/>
      <c r="AO256" s="270"/>
      <c r="AP256" s="270"/>
      <c r="AQ256" s="270"/>
      <c r="AR256" s="270"/>
      <c r="AS256" s="270"/>
      <c r="CO256" s="209" t="s">
        <v>271</v>
      </c>
      <c r="CP256" s="209" t="s">
        <v>146</v>
      </c>
      <c r="CQ256" s="209" t="s">
        <v>284</v>
      </c>
      <c r="CR256" s="209" t="s">
        <v>285</v>
      </c>
      <c r="CS256" s="209" t="s">
        <v>2943</v>
      </c>
      <c r="CT256" s="209" t="s">
        <v>284</v>
      </c>
      <c r="CU256" s="211" t="str">
        <f t="shared" si="133"/>
        <v>N/A</v>
      </c>
      <c r="CV256" s="211" t="str">
        <f t="shared" si="134"/>
        <v>N/A</v>
      </c>
      <c r="CW256" s="211" t="str">
        <f t="shared" si="135"/>
        <v>N/A</v>
      </c>
      <c r="CX256" s="211" t="str">
        <f t="shared" si="136"/>
        <v>N/A</v>
      </c>
      <c r="CY256" s="211" t="str">
        <f t="shared" si="137"/>
        <v>N/A</v>
      </c>
      <c r="CZ256" s="211" t="str">
        <f t="shared" si="138"/>
        <v>N/A</v>
      </c>
      <c r="DA256" s="211" t="str">
        <f t="shared" si="139"/>
        <v>N/A</v>
      </c>
      <c r="DB256" s="211" t="str">
        <f t="shared" si="140"/>
        <v>N/A</v>
      </c>
      <c r="DC256" s="211" t="str">
        <f t="shared" si="141"/>
        <v xml:space="preserve">Para el tercer trimestre de 2025, la DIVGRA presentó dos nuevas alertas que derivaron en la realización de auditorías específicas a las siguientes entidades: 1. Lotería de Medellín y 2. Concesionario de apuestas permanentes Red de Servicios del Cesar.
Adicionalmente, se realizó seguimiento a los siguientes planes de mejoramiento:
-Gobernación del Chocó, tercer avance.
-Empresa Industrial y Comercial del Estado Administradora del Monopolio Rentístico de los Juegos de Suerte y Azar – COLJUEGOS, segundo avance.
-Unidad de Licores del Meta, primer avance.
-Gobernación del Meta, primer avance.
-ADRES,Tercer avance y cierre del plan de mejoramiento, en el marco de las acciones desarrolladas por las alertas presentadas.
Se adjuntan las comunicaciones que evidencian lo mencionado, así como las actas correspondientes a las auditorías realizadas en atención a las dos alertas.
DRN: Se realiza oficio de evaluación evidencias del plan de mejoramiento de Auditoria en Morales (Bolívar)
</v>
      </c>
      <c r="DD256" s="211" t="str">
        <f t="shared" si="142"/>
        <v>N/A</v>
      </c>
      <c r="DE256" s="211" t="str">
        <f t="shared" si="143"/>
        <v>N/A</v>
      </c>
      <c r="DF256" s="211" t="str">
        <f t="shared" si="144"/>
        <v>N/A</v>
      </c>
    </row>
    <row r="257" spans="1:110" ht="64.5" customHeight="1">
      <c r="A257" s="349" t="s">
        <v>271</v>
      </c>
      <c r="B257" s="209" t="s">
        <v>146</v>
      </c>
      <c r="C257" s="209" t="s">
        <v>289</v>
      </c>
      <c r="D257" s="209" t="s">
        <v>290</v>
      </c>
      <c r="E257" s="209" t="s">
        <v>291</v>
      </c>
      <c r="F257" s="349" t="s">
        <v>292</v>
      </c>
      <c r="G257" s="209" t="s">
        <v>157</v>
      </c>
      <c r="H257" s="243">
        <v>3</v>
      </c>
      <c r="I257" s="323">
        <v>5</v>
      </c>
      <c r="J257" s="323">
        <v>3</v>
      </c>
      <c r="K257" s="290">
        <v>1.6666666666666701</v>
      </c>
      <c r="L257" s="209" t="s">
        <v>2944</v>
      </c>
      <c r="M257" s="209" t="b">
        <v>1</v>
      </c>
      <c r="N257" s="209" t="s">
        <v>2854</v>
      </c>
      <c r="O257" s="209" t="s">
        <v>2832</v>
      </c>
      <c r="P257" s="209" t="s">
        <v>159</v>
      </c>
      <c r="Q257" s="209" t="s">
        <v>160</v>
      </c>
      <c r="T257" s="269"/>
      <c r="AE257" s="269"/>
      <c r="AF257" s="269"/>
      <c r="AG257" s="269"/>
      <c r="AH257" s="269"/>
      <c r="AI257" s="269"/>
      <c r="AJ257" s="269"/>
      <c r="AK257" s="270"/>
      <c r="AL257" s="270"/>
      <c r="AM257" s="270"/>
      <c r="AN257" s="270"/>
      <c r="AO257" s="270"/>
      <c r="AP257" s="270"/>
      <c r="AQ257" s="270"/>
      <c r="AR257" s="270"/>
      <c r="AS257" s="270"/>
      <c r="CO257" s="209" t="s">
        <v>271</v>
      </c>
      <c r="CP257" s="209" t="s">
        <v>146</v>
      </c>
      <c r="CQ257" s="209" t="s">
        <v>289</v>
      </c>
      <c r="CR257" s="209" t="s">
        <v>290</v>
      </c>
      <c r="CS257" s="209" t="s">
        <v>2944</v>
      </c>
      <c r="CT257" s="209" t="s">
        <v>289</v>
      </c>
      <c r="CU257" s="211" t="str">
        <f t="shared" si="133"/>
        <v>N/A</v>
      </c>
      <c r="CV257" s="211" t="str">
        <f t="shared" si="134"/>
        <v>N/A</v>
      </c>
      <c r="CW257" s="211" t="str">
        <f t="shared" si="135"/>
        <v>N/A</v>
      </c>
      <c r="CX257" s="211" t="str">
        <f t="shared" si="136"/>
        <v>N/A</v>
      </c>
      <c r="CY257" s="211" t="str">
        <f t="shared" si="137"/>
        <v>N/A</v>
      </c>
      <c r="CZ257" s="211" t="str">
        <f t="shared" si="138"/>
        <v>N/A</v>
      </c>
      <c r="DA257" s="211" t="str">
        <f t="shared" si="139"/>
        <v>N/A</v>
      </c>
      <c r="DB257" s="211" t="str">
        <f t="shared" si="140"/>
        <v>N/A</v>
      </c>
      <c r="DC257" s="211" t="str">
        <f t="shared" si="141"/>
        <v xml:space="preserve">Durante el tercer trimestre del año, se realizaron cinco activaciones de la Red de Controladores en los departamentos de Magdalena, Atlántico, Vaupés, Valle del Cauca y San Andrés, sobrepasando la meta programada de 3 activaciones ya que se identificaron otros 2 departamentos que requerían la realización de la acción.
Es importante señalar que, a la fecha de este reporte, para la Red de Controladores del departamento de Vaupés únicamente se cuenta con la lista de asistencia, ya que el acta se encuentra en proceso de revisión y aprobación por parte de los asistentes. Una vez sea aprobada, será cargada en la carpeta de evidencias correspondiente, 
</v>
      </c>
      <c r="DD257" s="211" t="str">
        <f t="shared" si="142"/>
        <v>N/A</v>
      </c>
      <c r="DE257" s="211" t="str">
        <f t="shared" si="143"/>
        <v>N/A</v>
      </c>
      <c r="DF257" s="211" t="str">
        <f t="shared" si="144"/>
        <v>N/A</v>
      </c>
    </row>
    <row r="258" spans="1:110" ht="64.5" customHeight="1">
      <c r="A258" s="349" t="s">
        <v>271</v>
      </c>
      <c r="B258" s="209" t="s">
        <v>146</v>
      </c>
      <c r="C258" s="209" t="s">
        <v>225</v>
      </c>
      <c r="D258" s="209" t="s">
        <v>293</v>
      </c>
      <c r="E258" s="209" t="s">
        <v>294</v>
      </c>
      <c r="F258" s="349" t="s">
        <v>295</v>
      </c>
      <c r="G258" s="209" t="s">
        <v>157</v>
      </c>
      <c r="H258" s="243">
        <v>5</v>
      </c>
      <c r="I258" s="323">
        <v>5</v>
      </c>
      <c r="J258" s="323">
        <v>5</v>
      </c>
      <c r="K258" s="290">
        <v>1</v>
      </c>
      <c r="L258" s="209" t="s">
        <v>2945</v>
      </c>
      <c r="M258" s="209" t="b">
        <v>1</v>
      </c>
      <c r="N258" s="209" t="s">
        <v>2855</v>
      </c>
      <c r="O258" s="209" t="s">
        <v>2832</v>
      </c>
      <c r="P258" s="209" t="s">
        <v>159</v>
      </c>
      <c r="Q258" s="209" t="s">
        <v>160</v>
      </c>
      <c r="T258" s="269"/>
      <c r="AE258" s="269"/>
      <c r="AF258" s="269"/>
      <c r="AG258" s="269"/>
      <c r="AH258" s="269"/>
      <c r="AI258" s="269"/>
      <c r="AJ258" s="269"/>
      <c r="AK258" s="270"/>
      <c r="AL258" s="270"/>
      <c r="AM258" s="270"/>
      <c r="AN258" s="270"/>
      <c r="AO258" s="270"/>
      <c r="AP258" s="270"/>
      <c r="AQ258" s="270"/>
      <c r="AR258" s="270"/>
      <c r="AS258" s="270"/>
      <c r="CO258" s="209" t="s">
        <v>271</v>
      </c>
      <c r="CP258" s="209" t="s">
        <v>146</v>
      </c>
      <c r="CQ258" s="209" t="s">
        <v>225</v>
      </c>
      <c r="CR258" s="209" t="s">
        <v>293</v>
      </c>
      <c r="CS258" s="209" t="s">
        <v>2945</v>
      </c>
      <c r="CT258" s="209" t="s">
        <v>225</v>
      </c>
      <c r="CU258" s="211" t="str">
        <f t="shared" si="133"/>
        <v>N/A</v>
      </c>
      <c r="CV258" s="211" t="str">
        <f t="shared" si="134"/>
        <v>N/A</v>
      </c>
      <c r="CW258" s="211" t="str">
        <f t="shared" si="135"/>
        <v>N/A</v>
      </c>
      <c r="CX258" s="211" t="str">
        <f t="shared" si="136"/>
        <v>N/A</v>
      </c>
      <c r="CY258" s="211" t="str">
        <f t="shared" si="137"/>
        <v>N/A</v>
      </c>
      <c r="CZ258" s="211" t="str">
        <f t="shared" si="138"/>
        <v>N/A</v>
      </c>
      <c r="DA258" s="211" t="str">
        <f t="shared" si="139"/>
        <v>N/A</v>
      </c>
      <c r="DB258" s="211" t="str">
        <f t="shared" si="140"/>
        <v>N/A</v>
      </c>
      <c r="DC258" s="211" t="str">
        <f t="shared" si="141"/>
        <v xml:space="preserve">Durante este trimestre se tenían programados 5 y se realizaron 5 seguimientos a auditorías en diferentes regiones del pais,con lo cual se presenta cumplimiento de la meta para el periodo de seguimiento, es importante tener en cuenta que en el mes pasado se superó la meta establecida. A continuación, se señalan los seguimientos realizados: 
- Regional Sur: Tercer seguimiento Plan de Mejoramiento Puerto Asís realizado 23/9/2025 y segundo seguimiento al Plan de Mejoramiento de Pitalito realizado el 18/9/2025.
- Regional Norte: Se realizó segundo seguimiento auditoría Morales
- Regional Occidental: Se realizaron dos seguimientos a auditoría, El Dovio (Valle del Cauca) tercer seguimiento y Timbiquí (Cauca) tercer seguimiento.
</v>
      </c>
      <c r="DD258" s="211" t="str">
        <f t="shared" si="142"/>
        <v>N/A</v>
      </c>
      <c r="DE258" s="211" t="str">
        <f t="shared" si="143"/>
        <v>N/A</v>
      </c>
      <c r="DF258" s="211" t="str">
        <f t="shared" si="144"/>
        <v>N/A</v>
      </c>
    </row>
    <row r="259" spans="1:110" ht="64.5" customHeight="1">
      <c r="A259" s="349" t="s">
        <v>271</v>
      </c>
      <c r="B259" s="209" t="s">
        <v>146</v>
      </c>
      <c r="C259" s="209" t="s">
        <v>296</v>
      </c>
      <c r="D259" s="209" t="s">
        <v>297</v>
      </c>
      <c r="E259" s="209" t="s">
        <v>298</v>
      </c>
      <c r="F259" s="349" t="s">
        <v>299</v>
      </c>
      <c r="G259" s="209" t="s">
        <v>157</v>
      </c>
      <c r="H259" s="243">
        <v>8</v>
      </c>
      <c r="I259" s="323">
        <v>5</v>
      </c>
      <c r="J259" s="323">
        <v>8</v>
      </c>
      <c r="K259" s="290">
        <v>0.625</v>
      </c>
      <c r="L259" s="209" t="s">
        <v>2856</v>
      </c>
      <c r="M259" s="209" t="b">
        <v>1</v>
      </c>
      <c r="N259" s="209" t="s">
        <v>2857</v>
      </c>
      <c r="O259" s="209" t="s">
        <v>2832</v>
      </c>
      <c r="P259" s="209" t="s">
        <v>159</v>
      </c>
      <c r="Q259" s="209" t="s">
        <v>160</v>
      </c>
      <c r="T259" s="269"/>
      <c r="AE259" s="269"/>
      <c r="AF259" s="269"/>
      <c r="AG259" s="269"/>
      <c r="AH259" s="269"/>
      <c r="AI259" s="269"/>
      <c r="AJ259" s="269"/>
      <c r="AK259" s="270"/>
      <c r="AL259" s="270"/>
      <c r="AM259" s="270"/>
      <c r="AN259" s="270"/>
      <c r="AO259" s="270"/>
      <c r="AP259" s="270"/>
      <c r="AQ259" s="270"/>
      <c r="AR259" s="270"/>
      <c r="AS259" s="270"/>
      <c r="CO259" s="209" t="s">
        <v>271</v>
      </c>
      <c r="CP259" s="209" t="s">
        <v>146</v>
      </c>
      <c r="CQ259" s="209" t="s">
        <v>296</v>
      </c>
      <c r="CR259" s="209" t="s">
        <v>297</v>
      </c>
      <c r="CS259" s="209" t="s">
        <v>2856</v>
      </c>
      <c r="CT259" s="209" t="s">
        <v>296</v>
      </c>
      <c r="CU259" s="211" t="str">
        <f t="shared" ref="CU259:CU322" si="145">+IF(CP259=$CU$1,CS259,"N/A")</f>
        <v>N/A</v>
      </c>
      <c r="CV259" s="211" t="str">
        <f t="shared" ref="CV259:CV322" si="146">+IF(CP259=$CV$1,CS259,"N/A")</f>
        <v>N/A</v>
      </c>
      <c r="CW259" s="211" t="str">
        <f t="shared" ref="CW259:CW322" si="147">+IF(CP259=$CW$1,CS259,"N/A")</f>
        <v>N/A</v>
      </c>
      <c r="CX259" s="211" t="str">
        <f t="shared" ref="CX259:CX322" si="148">+IF(CP259=$CX$1,CS259,"N/A")</f>
        <v>N/A</v>
      </c>
      <c r="CY259" s="211" t="str">
        <f t="shared" ref="CY259:CY322" si="149">+IF(CP259=$CY$1,CS259,"N/A")</f>
        <v>N/A</v>
      </c>
      <c r="CZ259" s="211" t="str">
        <f t="shared" ref="CZ259:CZ322" si="150">+IF(CP259=$CZ$1,CS259,"N/A")</f>
        <v>N/A</v>
      </c>
      <c r="DA259" s="211" t="str">
        <f t="shared" ref="DA259:DA322" si="151">+IF(CP259=$DA$1,CS259,"N/A")</f>
        <v>N/A</v>
      </c>
      <c r="DB259" s="211" t="str">
        <f t="shared" ref="DB259:DB322" si="152">+IF(CP259=$DB$1,CS259,"N/A")</f>
        <v>N/A</v>
      </c>
      <c r="DC259" s="211" t="str">
        <f t="shared" ref="DC259:DC322" si="153">+IF(CP259=$DC$1,CS259,"N/A")</f>
        <v xml:space="preserve">​Durante el periodo de reporte se efectuaron 5 seguimientos a las Direcciones Regionales Andina, Choco, Norte, Caribe y Sede Insular, de los cuales se tienen los informes correspondientes al tercer seguimiento/ Estrategia Plan Padrino. DDebido al cambio de personal no se alcanzó la meta programada y se realizarán en el último trimestre para dar cumplimiento a la meta programada.
</v>
      </c>
      <c r="DD259" s="211" t="str">
        <f t="shared" ref="DD259:DD322" si="154">+IF(CP259=$DD$1,CS259,"N/A")</f>
        <v>N/A</v>
      </c>
      <c r="DE259" s="211" t="str">
        <f t="shared" ref="DE259:DE322" si="155">+IF(CP259=$DE$1,CS259,"N/A")</f>
        <v>N/A</v>
      </c>
      <c r="DF259" s="211" t="str">
        <f t="shared" ref="DF259:DF322" si="156">+IF(CP259=$DF$1,CS259,"N/A")</f>
        <v>N/A</v>
      </c>
    </row>
    <row r="260" spans="1:110" ht="64.5" customHeight="1">
      <c r="A260" s="349" t="s">
        <v>271</v>
      </c>
      <c r="B260" s="209" t="s">
        <v>146</v>
      </c>
      <c r="C260" s="209" t="s">
        <v>301</v>
      </c>
      <c r="D260" s="209" t="s">
        <v>302</v>
      </c>
      <c r="E260" s="209" t="s">
        <v>303</v>
      </c>
      <c r="F260" s="349" t="s">
        <v>304</v>
      </c>
      <c r="G260" s="209" t="s">
        <v>157</v>
      </c>
      <c r="H260" s="243">
        <v>20</v>
      </c>
      <c r="I260" s="323">
        <v>21</v>
      </c>
      <c r="J260" s="323">
        <v>20</v>
      </c>
      <c r="K260" s="290">
        <v>1.05</v>
      </c>
      <c r="L260" s="209" t="s">
        <v>2931</v>
      </c>
      <c r="M260" s="209" t="b">
        <v>1</v>
      </c>
      <c r="N260" s="209" t="s">
        <v>2858</v>
      </c>
      <c r="O260" s="209" t="s">
        <v>2832</v>
      </c>
      <c r="P260" s="209" t="s">
        <v>159</v>
      </c>
      <c r="Q260" s="209" t="s">
        <v>160</v>
      </c>
      <c r="T260" s="269"/>
      <c r="AE260" s="269"/>
      <c r="AF260" s="269"/>
      <c r="AG260" s="269"/>
      <c r="AH260" s="269"/>
      <c r="AI260" s="269"/>
      <c r="AJ260" s="269"/>
      <c r="AK260" s="270"/>
      <c r="AL260" s="270"/>
      <c r="AM260" s="270"/>
      <c r="AN260" s="270"/>
      <c r="AO260" s="270"/>
      <c r="AP260" s="270"/>
      <c r="AQ260" s="270"/>
      <c r="AR260" s="270"/>
      <c r="AS260" s="270"/>
      <c r="CO260" s="209" t="s">
        <v>271</v>
      </c>
      <c r="CP260" s="209" t="s">
        <v>146</v>
      </c>
      <c r="CQ260" s="209" t="s">
        <v>301</v>
      </c>
      <c r="CR260" s="209" t="s">
        <v>302</v>
      </c>
      <c r="CS260" s="209" t="s">
        <v>2931</v>
      </c>
      <c r="CT260" s="209" t="s">
        <v>301</v>
      </c>
      <c r="CU260" s="211" t="str">
        <f t="shared" si="145"/>
        <v>N/A</v>
      </c>
      <c r="CV260" s="211" t="str">
        <f t="shared" si="146"/>
        <v>N/A</v>
      </c>
      <c r="CW260" s="211" t="str">
        <f t="shared" si="147"/>
        <v>N/A</v>
      </c>
      <c r="CX260" s="211" t="str">
        <f t="shared" si="148"/>
        <v>N/A</v>
      </c>
      <c r="CY260" s="211" t="str">
        <f t="shared" si="149"/>
        <v>N/A</v>
      </c>
      <c r="CZ260" s="211" t="str">
        <f t="shared" si="150"/>
        <v>N/A</v>
      </c>
      <c r="DA260" s="211" t="str">
        <f t="shared" si="151"/>
        <v>N/A</v>
      </c>
      <c r="DB260" s="211" t="str">
        <f t="shared" si="152"/>
        <v>N/A</v>
      </c>
      <c r="DC260" s="211" t="str">
        <f t="shared" si="153"/>
        <v xml:space="preserve">​Se realizaron 21 asistencias al desarrollo de mesas de saneamiento de cartera de Circular Conjunta 030 de 2013, con un sobrecumplimiento d ela meta establecidapara el periodo, debido a requerimientos del ente territorial, en los siguientes Entes Territoriales: Amazonas, Atlántico, Barranquilla, Bogotá, Bolívar, Boyacá, Cali, Cartagena, Caquetá, Cauca, Choco, Guainía, Magdalena, Nariño, Norte de Santander, Santander, Putumayo, Quindío, San Andrés, Sucre y Valle del Cauca. Estas asistencias se soportan a través de informes de resultados del ejercicio de acompañamiento. se realiza 1 mas por necesidad de realizar la actividad en otro territorio
</v>
      </c>
      <c r="DD260" s="211" t="str">
        <f t="shared" si="154"/>
        <v>N/A</v>
      </c>
      <c r="DE260" s="211" t="str">
        <f t="shared" si="155"/>
        <v>N/A</v>
      </c>
      <c r="DF260" s="211" t="str">
        <f t="shared" si="156"/>
        <v>N/A</v>
      </c>
    </row>
    <row r="261" spans="1:110" ht="64.5" customHeight="1">
      <c r="A261" s="349" t="s">
        <v>391</v>
      </c>
      <c r="B261" s="209" t="s">
        <v>146</v>
      </c>
      <c r="C261" s="209" t="s">
        <v>392</v>
      </c>
      <c r="D261" s="209" t="s">
        <v>393</v>
      </c>
      <c r="E261" s="209" t="s">
        <v>394</v>
      </c>
      <c r="F261" s="349" t="s">
        <v>395</v>
      </c>
      <c r="G261" s="209" t="s">
        <v>178</v>
      </c>
      <c r="H261" s="243">
        <v>1</v>
      </c>
      <c r="I261" s="323">
        <v>85</v>
      </c>
      <c r="J261" s="323">
        <v>102</v>
      </c>
      <c r="K261" s="290">
        <v>0.83333333333333304</v>
      </c>
      <c r="L261" s="209" t="s">
        <v>2859</v>
      </c>
      <c r="M261" s="209" t="b">
        <v>1</v>
      </c>
      <c r="N261" s="209" t="s">
        <v>2860</v>
      </c>
      <c r="O261" s="209" t="s">
        <v>2832</v>
      </c>
      <c r="P261" s="209" t="s">
        <v>159</v>
      </c>
      <c r="Q261" s="209" t="s">
        <v>160</v>
      </c>
      <c r="T261" s="269"/>
      <c r="AE261" s="269"/>
      <c r="AF261" s="269"/>
      <c r="AG261" s="269"/>
      <c r="AH261" s="269"/>
      <c r="AI261" s="269"/>
      <c r="AJ261" s="269"/>
      <c r="AK261" s="270"/>
      <c r="AL261" s="270"/>
      <c r="AM261" s="270"/>
      <c r="AN261" s="270"/>
      <c r="AO261" s="270"/>
      <c r="AP261" s="270"/>
      <c r="AQ261" s="270"/>
      <c r="AR261" s="270"/>
      <c r="AS261" s="270"/>
      <c r="CO261" s="209" t="s">
        <v>391</v>
      </c>
      <c r="CP261" s="209" t="s">
        <v>146</v>
      </c>
      <c r="CQ261" s="209" t="s">
        <v>392</v>
      </c>
      <c r="CR261" s="209" t="s">
        <v>393</v>
      </c>
      <c r="CS261" s="209" t="s">
        <v>2859</v>
      </c>
      <c r="CT261" s="209" t="s">
        <v>392</v>
      </c>
      <c r="CU261" s="211" t="str">
        <f t="shared" si="145"/>
        <v>N/A</v>
      </c>
      <c r="CV261" s="211" t="str">
        <f t="shared" si="146"/>
        <v>N/A</v>
      </c>
      <c r="CW261" s="211" t="str">
        <f t="shared" si="147"/>
        <v>N/A</v>
      </c>
      <c r="CX261" s="211" t="str">
        <f t="shared" si="148"/>
        <v>N/A</v>
      </c>
      <c r="CY261" s="211" t="str">
        <f t="shared" si="149"/>
        <v>N/A</v>
      </c>
      <c r="CZ261" s="211" t="str">
        <f t="shared" si="150"/>
        <v>N/A</v>
      </c>
      <c r="DA261" s="211" t="str">
        <f t="shared" si="151"/>
        <v>N/A</v>
      </c>
      <c r="DB261" s="211" t="str">
        <f t="shared" si="152"/>
        <v>N/A</v>
      </c>
      <c r="DC261" s="211" t="str">
        <f t="shared" si="153"/>
        <v xml:space="preserve">Entre JULIO y SEPTIEMBRE 2025 se han realizado 4 diálogos en donde se han recibido 102 reclamos en salud de los cuales a todos 100% se les ha realizado seguimiento, pero de estos se han cerrado 85 (83%) y permanecen abiertos 102 reclamos a pesar del seguimeinto realizado.
</v>
      </c>
      <c r="DD261" s="211" t="str">
        <f t="shared" si="154"/>
        <v>N/A</v>
      </c>
      <c r="DE261" s="211" t="str">
        <f t="shared" si="155"/>
        <v>N/A</v>
      </c>
      <c r="DF261" s="211" t="str">
        <f t="shared" si="156"/>
        <v>N/A</v>
      </c>
    </row>
    <row r="262" spans="1:110" ht="64.5" customHeight="1">
      <c r="A262" s="349" t="s">
        <v>391</v>
      </c>
      <c r="B262" s="209" t="s">
        <v>146</v>
      </c>
      <c r="C262" s="209" t="s">
        <v>435</v>
      </c>
      <c r="D262" s="209" t="s">
        <v>436</v>
      </c>
      <c r="E262" s="209" t="s">
        <v>437</v>
      </c>
      <c r="F262" s="349" t="s">
        <v>438</v>
      </c>
      <c r="G262" s="209" t="s">
        <v>157</v>
      </c>
      <c r="H262" s="243">
        <v>72</v>
      </c>
      <c r="I262" s="323">
        <v>91</v>
      </c>
      <c r="J262" s="323">
        <v>72</v>
      </c>
      <c r="K262" s="290">
        <v>1.2638888888888899</v>
      </c>
      <c r="L262" s="209" t="s">
        <v>3125</v>
      </c>
      <c r="M262" s="209" t="b">
        <v>1</v>
      </c>
      <c r="N262" s="209" t="s">
        <v>2861</v>
      </c>
      <c r="O262" s="209" t="s">
        <v>2832</v>
      </c>
      <c r="P262" s="209" t="s">
        <v>159</v>
      </c>
      <c r="Q262" s="209" t="s">
        <v>160</v>
      </c>
      <c r="T262" s="269"/>
      <c r="AE262" s="269"/>
      <c r="AF262" s="269"/>
      <c r="AG262" s="269"/>
      <c r="AH262" s="269"/>
      <c r="AI262" s="269"/>
      <c r="AJ262" s="269"/>
      <c r="AK262" s="270"/>
      <c r="AL262" s="270"/>
      <c r="AM262" s="270"/>
      <c r="AN262" s="270"/>
      <c r="AO262" s="270"/>
      <c r="AP262" s="270"/>
      <c r="AQ262" s="270"/>
      <c r="AR262" s="270"/>
      <c r="AS262" s="270"/>
      <c r="CO262" s="209" t="s">
        <v>391</v>
      </c>
      <c r="CP262" s="209" t="s">
        <v>146</v>
      </c>
      <c r="CQ262" s="209" t="s">
        <v>435</v>
      </c>
      <c r="CR262" s="209" t="s">
        <v>436</v>
      </c>
      <c r="CS262" s="209" t="s">
        <v>3125</v>
      </c>
      <c r="CT262" s="209" t="s">
        <v>435</v>
      </c>
      <c r="CU262" s="211" t="str">
        <f t="shared" si="145"/>
        <v>N/A</v>
      </c>
      <c r="CV262" s="211" t="str">
        <f t="shared" si="146"/>
        <v>N/A</v>
      </c>
      <c r="CW262" s="211" t="str">
        <f t="shared" si="147"/>
        <v>N/A</v>
      </c>
      <c r="CX262" s="211" t="str">
        <f t="shared" si="148"/>
        <v>N/A</v>
      </c>
      <c r="CY262" s="211" t="str">
        <f t="shared" si="149"/>
        <v>N/A</v>
      </c>
      <c r="CZ262" s="211" t="str">
        <f t="shared" si="150"/>
        <v>N/A</v>
      </c>
      <c r="DA262" s="211" t="str">
        <f t="shared" si="151"/>
        <v>N/A</v>
      </c>
      <c r="DB262" s="211" t="str">
        <f t="shared" si="152"/>
        <v>N/A</v>
      </c>
      <c r="DC262" s="211" t="str">
        <f t="shared" si="153"/>
        <v xml:space="preserve">En el periodo reportado correspondiente al tercer trimestre de 2025,  se desarrollaron 89 actividades de 72 orientadas a promover los derechos y deberes en salud y los mecanismos de participación ciudadana, dirigidas a diferentes territorios del país, para un cumplimiento del  126%. Los 91 eventos se discriminan así: 48 jornadas de atención al usuario, 24 capacitaciones, 6 seminarios, 4 diálogos con la SuperSalud, 4 piezas lúdicas, 4 líder tiene la palabra y 1 acompañamiento. 
Como soporte de estas acciones, se entrega el cronograma con los municipios visitados, dentro de los cuales se destacan varios municipios con enfoque PDET (Programa de Desarrollo con Enfoque Territorial), priorizados por su condición de vulnerabilidad y necesidad de fortalecimiento institucional y de igual forma se encuentran actividades con grupos poblacionales de caracter diferencial (Población LGBTIQ+,cuidadores de personas con discapacidad, mujeres y personas con discapacidad auditiva).
En conclusión, se cumple con la meta.
</v>
      </c>
      <c r="DD262" s="211" t="str">
        <f t="shared" si="154"/>
        <v>N/A</v>
      </c>
      <c r="DE262" s="211" t="str">
        <f t="shared" si="155"/>
        <v>N/A</v>
      </c>
      <c r="DF262" s="211" t="str">
        <f t="shared" si="156"/>
        <v>N/A</v>
      </c>
    </row>
    <row r="263" spans="1:110" ht="64.5" customHeight="1">
      <c r="A263" s="349" t="s">
        <v>391</v>
      </c>
      <c r="B263" s="209" t="s">
        <v>146</v>
      </c>
      <c r="C263" s="209" t="s">
        <v>440</v>
      </c>
      <c r="D263" s="209" t="s">
        <v>441</v>
      </c>
      <c r="E263" s="209" t="s">
        <v>442</v>
      </c>
      <c r="F263" s="349" t="s">
        <v>443</v>
      </c>
      <c r="G263" s="209" t="s">
        <v>157</v>
      </c>
      <c r="H263" s="243">
        <v>10</v>
      </c>
      <c r="I263" s="323">
        <v>10</v>
      </c>
      <c r="J263" s="323">
        <v>10</v>
      </c>
      <c r="K263" s="290">
        <v>1</v>
      </c>
      <c r="L263" s="209" t="s">
        <v>3126</v>
      </c>
      <c r="M263" s="209" t="b">
        <v>1</v>
      </c>
      <c r="N263" s="209" t="s">
        <v>2862</v>
      </c>
      <c r="O263" s="209" t="s">
        <v>2832</v>
      </c>
      <c r="P263" s="209" t="s">
        <v>159</v>
      </c>
      <c r="Q263" s="209" t="s">
        <v>160</v>
      </c>
      <c r="T263" s="269"/>
      <c r="AE263" s="269"/>
      <c r="AF263" s="269"/>
      <c r="AG263" s="269"/>
      <c r="AH263" s="269"/>
      <c r="AI263" s="269"/>
      <c r="AJ263" s="269"/>
      <c r="AK263" s="270"/>
      <c r="AL263" s="270"/>
      <c r="AM263" s="270"/>
      <c r="AN263" s="270"/>
      <c r="AO263" s="270"/>
      <c r="AP263" s="270"/>
      <c r="AQ263" s="270"/>
      <c r="AR263" s="270"/>
      <c r="AS263" s="270"/>
      <c r="CO263" s="209" t="s">
        <v>391</v>
      </c>
      <c r="CP263" s="209" t="s">
        <v>146</v>
      </c>
      <c r="CQ263" s="209" t="s">
        <v>440</v>
      </c>
      <c r="CR263" s="209" t="s">
        <v>441</v>
      </c>
      <c r="CS263" s="209" t="s">
        <v>3126</v>
      </c>
      <c r="CT263" s="209" t="s">
        <v>440</v>
      </c>
      <c r="CU263" s="211" t="str">
        <f t="shared" si="145"/>
        <v>N/A</v>
      </c>
      <c r="CV263" s="211" t="str">
        <f t="shared" si="146"/>
        <v>N/A</v>
      </c>
      <c r="CW263" s="211" t="str">
        <f t="shared" si="147"/>
        <v>N/A</v>
      </c>
      <c r="CX263" s="211" t="str">
        <f t="shared" si="148"/>
        <v>N/A</v>
      </c>
      <c r="CY263" s="211" t="str">
        <f t="shared" si="149"/>
        <v>N/A</v>
      </c>
      <c r="CZ263" s="211" t="str">
        <f t="shared" si="150"/>
        <v>N/A</v>
      </c>
      <c r="DA263" s="211" t="str">
        <f t="shared" si="151"/>
        <v>N/A</v>
      </c>
      <c r="DB263" s="211" t="str">
        <f t="shared" si="152"/>
        <v>N/A</v>
      </c>
      <c r="DC263" s="211" t="str">
        <f t="shared" si="153"/>
        <v xml:space="preserve">Durante la vigencia, la entidad avanzó en la implementación y fortalecimiento de la Pólitica de Servicio al Ciudadano, orientando las acciones hacia la mejora de la experiencia de los ciudadanos.
Se desarrollaron las siguientes acciones principales:
- Fortalecimiento de canales de atención: Se mantuvieron y optimizaron los canales presenciales, telefónicos y virtuales, garantizando la atención oportuna y eficaz a las solicitudes, quejas, reclamos y peticiones de la ciudadanía.
- Capacitación al talento humano: Se realizaron jornadas de formación para los servidores públicos en temas de servicio al ciudadano y atención con enfoque diferencial .
- Mejoras en formatos de respuestas a PQR y solicitudes de información en el marco de leguaje claro.
-  Acciones de participación ciudadana: Se llevaron a cabo espacios de diálogo y atención que permitieron a la ciudadanía conocer los avances de la entidad y participar en la construcción de mejoras al servicio.
En general, las acciones ejecutadas reflejan el compromiso institucional con la transparencia, la eficiencia y la calidad en la prestación de los servicios, contribuyendo al fortalecimiento de la confianza ciudadana en la gestión pública.
</v>
      </c>
      <c r="DD263" s="211" t="str">
        <f t="shared" si="154"/>
        <v>N/A</v>
      </c>
      <c r="DE263" s="211" t="str">
        <f t="shared" si="155"/>
        <v>N/A</v>
      </c>
      <c r="DF263" s="211" t="str">
        <f t="shared" si="156"/>
        <v>N/A</v>
      </c>
    </row>
    <row r="264" spans="1:110" ht="64.5" customHeight="1">
      <c r="A264" s="349" t="s">
        <v>391</v>
      </c>
      <c r="B264" s="209" t="s">
        <v>146</v>
      </c>
      <c r="C264" s="209" t="s">
        <v>214</v>
      </c>
      <c r="D264" s="209" t="s">
        <v>413</v>
      </c>
      <c r="E264" s="209" t="s">
        <v>414</v>
      </c>
      <c r="F264" s="349" t="s">
        <v>415</v>
      </c>
      <c r="G264" s="209" t="s">
        <v>157</v>
      </c>
      <c r="H264" s="243">
        <v>27</v>
      </c>
      <c r="I264" s="323">
        <v>26</v>
      </c>
      <c r="J264" s="323">
        <v>27</v>
      </c>
      <c r="K264" s="290">
        <v>0.96296296296296302</v>
      </c>
      <c r="L264" s="209" t="s">
        <v>3127</v>
      </c>
      <c r="M264" s="209" t="b">
        <v>1</v>
      </c>
      <c r="N264" s="209" t="s">
        <v>2863</v>
      </c>
      <c r="O264" s="209" t="s">
        <v>2832</v>
      </c>
      <c r="P264" s="209" t="s">
        <v>159</v>
      </c>
      <c r="Q264" s="209" t="s">
        <v>160</v>
      </c>
      <c r="T264" s="269"/>
      <c r="AE264" s="269"/>
      <c r="AF264" s="269"/>
      <c r="AG264" s="269"/>
      <c r="AH264" s="269"/>
      <c r="AI264" s="269"/>
      <c r="AJ264" s="269"/>
      <c r="AK264" s="270"/>
      <c r="AL264" s="270"/>
      <c r="AM264" s="270"/>
      <c r="AN264" s="270"/>
      <c r="AO264" s="270"/>
      <c r="AP264" s="270"/>
      <c r="AQ264" s="270"/>
      <c r="AR264" s="270"/>
      <c r="AS264" s="270"/>
      <c r="CO264" s="209" t="s">
        <v>391</v>
      </c>
      <c r="CP264" s="209" t="s">
        <v>146</v>
      </c>
      <c r="CQ264" s="209" t="s">
        <v>214</v>
      </c>
      <c r="CR264" s="209" t="s">
        <v>413</v>
      </c>
      <c r="CS264" s="209" t="s">
        <v>3127</v>
      </c>
      <c r="CT264" s="209" t="s">
        <v>214</v>
      </c>
      <c r="CU264" s="211" t="str">
        <f t="shared" si="145"/>
        <v>N/A</v>
      </c>
      <c r="CV264" s="211" t="str">
        <f t="shared" si="146"/>
        <v>N/A</v>
      </c>
      <c r="CW264" s="211" t="str">
        <f t="shared" si="147"/>
        <v>N/A</v>
      </c>
      <c r="CX264" s="211" t="str">
        <f t="shared" si="148"/>
        <v>N/A</v>
      </c>
      <c r="CY264" s="211" t="str">
        <f t="shared" si="149"/>
        <v>N/A</v>
      </c>
      <c r="CZ264" s="211" t="str">
        <f t="shared" si="150"/>
        <v>N/A</v>
      </c>
      <c r="DA264" s="211" t="str">
        <f t="shared" si="151"/>
        <v>N/A</v>
      </c>
      <c r="DB264" s="211" t="str">
        <f t="shared" si="152"/>
        <v>N/A</v>
      </c>
      <c r="DC264" s="211" t="str">
        <f t="shared" si="153"/>
        <v xml:space="preserve">​Se realizaron 2 auditorías a los vigilados relacionadas con el Sistema de PQRD propio de las EPS, en cumplimiento al PAG aprobado para la vigencia
Se realizaron 24 auditorías, se registraron actas y autos de auditoría, se gestionaron 24 informes, se cumple con lo planeado para el trimestre desde el grupo IV SIAU
</v>
      </c>
      <c r="DD264" s="211" t="str">
        <f t="shared" si="154"/>
        <v>N/A</v>
      </c>
      <c r="DE264" s="211" t="str">
        <f t="shared" si="155"/>
        <v>N/A</v>
      </c>
      <c r="DF264" s="211" t="str">
        <f t="shared" si="156"/>
        <v>N/A</v>
      </c>
    </row>
    <row r="265" spans="1:110" ht="64.5" customHeight="1">
      <c r="A265" s="349" t="s">
        <v>391</v>
      </c>
      <c r="B265" s="209" t="s">
        <v>146</v>
      </c>
      <c r="C265" s="209" t="s">
        <v>418</v>
      </c>
      <c r="D265" s="209" t="s">
        <v>419</v>
      </c>
      <c r="E265" s="209" t="s">
        <v>420</v>
      </c>
      <c r="F265" s="349" t="s">
        <v>421</v>
      </c>
      <c r="G265" s="209" t="s">
        <v>178</v>
      </c>
      <c r="H265" s="243">
        <v>0.85</v>
      </c>
      <c r="I265" s="323">
        <v>80680</v>
      </c>
      <c r="J265" s="323">
        <v>99341</v>
      </c>
      <c r="K265" s="290">
        <v>0.81215208222184199</v>
      </c>
      <c r="L265" s="209" t="s">
        <v>3128</v>
      </c>
      <c r="M265" s="209" t="b">
        <v>1</v>
      </c>
      <c r="N265" s="209" t="s">
        <v>2864</v>
      </c>
      <c r="O265" s="209" t="s">
        <v>2832</v>
      </c>
      <c r="P265" s="209" t="s">
        <v>159</v>
      </c>
      <c r="Q265" s="209" t="s">
        <v>160</v>
      </c>
      <c r="T265" s="269"/>
      <c r="AE265" s="269"/>
      <c r="AF265" s="269"/>
      <c r="AG265" s="269"/>
      <c r="AH265" s="269"/>
      <c r="AI265" s="269"/>
      <c r="AJ265" s="269"/>
      <c r="AK265" s="270"/>
      <c r="AL265" s="270"/>
      <c r="AM265" s="270"/>
      <c r="AN265" s="270"/>
      <c r="AO265" s="270"/>
      <c r="AP265" s="270"/>
      <c r="AQ265" s="270"/>
      <c r="AR265" s="270"/>
      <c r="AS265" s="270"/>
      <c r="CO265" s="209" t="s">
        <v>391</v>
      </c>
      <c r="CP265" s="209" t="s">
        <v>146</v>
      </c>
      <c r="CQ265" s="209" t="s">
        <v>418</v>
      </c>
      <c r="CR265" s="209" t="s">
        <v>419</v>
      </c>
      <c r="CS265" s="209" t="s">
        <v>3128</v>
      </c>
      <c r="CT265" s="209" t="s">
        <v>418</v>
      </c>
      <c r="CU265" s="211" t="str">
        <f t="shared" si="145"/>
        <v>N/A</v>
      </c>
      <c r="CV265" s="211" t="str">
        <f t="shared" si="146"/>
        <v>N/A</v>
      </c>
      <c r="CW265" s="211" t="str">
        <f t="shared" si="147"/>
        <v>N/A</v>
      </c>
      <c r="CX265" s="211" t="str">
        <f t="shared" si="148"/>
        <v>N/A</v>
      </c>
      <c r="CY265" s="211" t="str">
        <f t="shared" si="149"/>
        <v>N/A</v>
      </c>
      <c r="CZ265" s="211" t="str">
        <f t="shared" si="150"/>
        <v>N/A</v>
      </c>
      <c r="DA265" s="211" t="str">
        <f t="shared" si="151"/>
        <v>N/A</v>
      </c>
      <c r="DB265" s="211" t="str">
        <f t="shared" si="152"/>
        <v>N/A</v>
      </c>
      <c r="DC265" s="211" t="str">
        <f t="shared" si="153"/>
        <v xml:space="preserve">Se presenta información con corte a agosto 2025, en virtud de que el periodo de reporte de insumos es 5 días hábiles mes vencido.
Aclarado lo anterior se presenta el resultado de la aplicación de la encuesta de satisfacción realizada en el canal telefonico y presencial (Regionales, Puntos de Atención y CAC). Se identifica que para este trimestre el CAC bajo en su pordentaje bueno y exelente del indicador frente a sus historicos
Entre julio y agosto 2025 se recibieron 80.680 respuestas con calificación buena y exelente de un total de 99.341  respuestas las cuales correponden a un 81.2% de satisfacción
</v>
      </c>
      <c r="DD265" s="211" t="str">
        <f t="shared" si="154"/>
        <v>N/A</v>
      </c>
      <c r="DE265" s="211" t="str">
        <f t="shared" si="155"/>
        <v>N/A</v>
      </c>
      <c r="DF265" s="211" t="str">
        <f t="shared" si="156"/>
        <v>N/A</v>
      </c>
    </row>
    <row r="266" spans="1:110" ht="64.5" customHeight="1">
      <c r="A266" s="349" t="s">
        <v>391</v>
      </c>
      <c r="B266" s="209" t="s">
        <v>146</v>
      </c>
      <c r="C266" s="209" t="s">
        <v>444</v>
      </c>
      <c r="D266" s="209" t="s">
        <v>445</v>
      </c>
      <c r="E266" s="209" t="s">
        <v>446</v>
      </c>
      <c r="F266" s="349" t="s">
        <v>447</v>
      </c>
      <c r="G266" s="209" t="s">
        <v>178</v>
      </c>
      <c r="H266" s="243">
        <v>1</v>
      </c>
      <c r="I266" s="323">
        <v>504428</v>
      </c>
      <c r="J266" s="323">
        <v>504428</v>
      </c>
      <c r="K266" s="290">
        <v>1</v>
      </c>
      <c r="L266" s="209" t="s">
        <v>2865</v>
      </c>
      <c r="M266" s="209" t="b">
        <v>1</v>
      </c>
      <c r="N266" s="209" t="s">
        <v>2866</v>
      </c>
      <c r="O266" s="209" t="s">
        <v>2832</v>
      </c>
      <c r="P266" s="209" t="s">
        <v>159</v>
      </c>
      <c r="Q266" s="209" t="s">
        <v>160</v>
      </c>
      <c r="T266" s="269"/>
      <c r="AE266" s="269"/>
      <c r="AF266" s="269"/>
      <c r="AG266" s="269"/>
      <c r="AH266" s="269"/>
      <c r="AI266" s="269"/>
      <c r="AJ266" s="269"/>
      <c r="AK266" s="270"/>
      <c r="AL266" s="270"/>
      <c r="AM266" s="270"/>
      <c r="AN266" s="270"/>
      <c r="AO266" s="270"/>
      <c r="AP266" s="270"/>
      <c r="AQ266" s="270"/>
      <c r="AR266" s="270"/>
      <c r="AS266" s="270"/>
      <c r="CO266" s="209" t="s">
        <v>391</v>
      </c>
      <c r="CP266" s="209" t="s">
        <v>146</v>
      </c>
      <c r="CQ266" s="209" t="s">
        <v>444</v>
      </c>
      <c r="CR266" s="209" t="s">
        <v>445</v>
      </c>
      <c r="CS266" s="209" t="s">
        <v>2865</v>
      </c>
      <c r="CT266" s="209" t="s">
        <v>444</v>
      </c>
      <c r="CU266" s="211" t="str">
        <f t="shared" si="145"/>
        <v>N/A</v>
      </c>
      <c r="CV266" s="211" t="str">
        <f t="shared" si="146"/>
        <v>N/A</v>
      </c>
      <c r="CW266" s="211" t="str">
        <f t="shared" si="147"/>
        <v>N/A</v>
      </c>
      <c r="CX266" s="211" t="str">
        <f t="shared" si="148"/>
        <v>N/A</v>
      </c>
      <c r="CY266" s="211" t="str">
        <f t="shared" si="149"/>
        <v>N/A</v>
      </c>
      <c r="CZ266" s="211" t="str">
        <f t="shared" si="150"/>
        <v>N/A</v>
      </c>
      <c r="DA266" s="211" t="str">
        <f t="shared" si="151"/>
        <v>N/A</v>
      </c>
      <c r="DB266" s="211" t="str">
        <f t="shared" si="152"/>
        <v>N/A</v>
      </c>
      <c r="DC266" s="211" t="str">
        <f t="shared" si="153"/>
        <v xml:space="preserve">​Entre julio a septiembre se radicaron y trasladaron al responsable del aseguramiento a travez de una orden de inmediato y obligatorio cumplimiento 504.428 reclamos en salud recibidos por multicanal (escrito, web, telefonico, chat y redes sociales)
</v>
      </c>
      <c r="DD266" s="211" t="str">
        <f t="shared" si="154"/>
        <v>N/A</v>
      </c>
      <c r="DE266" s="211" t="str">
        <f t="shared" si="155"/>
        <v>N/A</v>
      </c>
      <c r="DF266" s="211" t="str">
        <f t="shared" si="156"/>
        <v>N/A</v>
      </c>
    </row>
    <row r="267" spans="1:110" ht="64.5" customHeight="1">
      <c r="A267" s="349" t="s">
        <v>391</v>
      </c>
      <c r="B267" s="209" t="s">
        <v>146</v>
      </c>
      <c r="C267" s="209" t="s">
        <v>449</v>
      </c>
      <c r="D267" s="209" t="s">
        <v>450</v>
      </c>
      <c r="E267" s="209" t="s">
        <v>451</v>
      </c>
      <c r="F267" s="349" t="s">
        <v>447</v>
      </c>
      <c r="G267" s="209" t="s">
        <v>178</v>
      </c>
      <c r="H267" s="243">
        <v>1</v>
      </c>
      <c r="I267" s="323">
        <v>93348</v>
      </c>
      <c r="J267" s="323">
        <v>93348</v>
      </c>
      <c r="K267" s="290">
        <v>1</v>
      </c>
      <c r="L267" s="209" t="s">
        <v>2867</v>
      </c>
      <c r="M267" s="209" t="b">
        <v>1</v>
      </c>
      <c r="N267" s="209" t="s">
        <v>2868</v>
      </c>
      <c r="O267" s="209" t="s">
        <v>2832</v>
      </c>
      <c r="P267" s="209" t="s">
        <v>159</v>
      </c>
      <c r="Q267" s="209" t="s">
        <v>160</v>
      </c>
      <c r="T267" s="269"/>
      <c r="AE267" s="269"/>
      <c r="AF267" s="269"/>
      <c r="AG267" s="269"/>
      <c r="AH267" s="269"/>
      <c r="AI267" s="269"/>
      <c r="AJ267" s="269"/>
      <c r="AK267" s="270"/>
      <c r="AL267" s="270"/>
      <c r="AM267" s="270"/>
      <c r="AN267" s="270"/>
      <c r="AO267" s="270"/>
      <c r="AP267" s="270"/>
      <c r="AQ267" s="270"/>
      <c r="AR267" s="270"/>
      <c r="AS267" s="270"/>
      <c r="CO267" s="209" t="s">
        <v>391</v>
      </c>
      <c r="CP267" s="209" t="s">
        <v>146</v>
      </c>
      <c r="CQ267" s="209" t="s">
        <v>449</v>
      </c>
      <c r="CR267" s="209" t="s">
        <v>450</v>
      </c>
      <c r="CS267" s="209" t="s">
        <v>2867</v>
      </c>
      <c r="CT267" s="209" t="s">
        <v>449</v>
      </c>
      <c r="CU267" s="211" t="str">
        <f t="shared" si="145"/>
        <v>N/A</v>
      </c>
      <c r="CV267" s="211" t="str">
        <f t="shared" si="146"/>
        <v>N/A</v>
      </c>
      <c r="CW267" s="211" t="str">
        <f t="shared" si="147"/>
        <v>N/A</v>
      </c>
      <c r="CX267" s="211" t="str">
        <f t="shared" si="148"/>
        <v>N/A</v>
      </c>
      <c r="CY267" s="211" t="str">
        <f t="shared" si="149"/>
        <v>N/A</v>
      </c>
      <c r="CZ267" s="211" t="str">
        <f t="shared" si="150"/>
        <v>N/A</v>
      </c>
      <c r="DA267" s="211" t="str">
        <f t="shared" si="151"/>
        <v>N/A</v>
      </c>
      <c r="DB267" s="211" t="str">
        <f t="shared" si="152"/>
        <v>N/A</v>
      </c>
      <c r="DC267" s="211" t="str">
        <f t="shared" si="153"/>
        <v xml:space="preserve">​Entre julio a septiembre se radicaron y trasladaron al responsable del aseguramiento a travez de una orden de inmediato y obligatorio cumplimiento 93.348 reclamos en salud recibidos por el canal presencial
</v>
      </c>
      <c r="DD267" s="211" t="str">
        <f t="shared" si="154"/>
        <v>N/A</v>
      </c>
      <c r="DE267" s="211" t="str">
        <f t="shared" si="155"/>
        <v>N/A</v>
      </c>
      <c r="DF267" s="211" t="str">
        <f t="shared" si="156"/>
        <v>N/A</v>
      </c>
    </row>
    <row r="268" spans="1:110" ht="64.5" customHeight="1">
      <c r="A268" s="349" t="s">
        <v>454</v>
      </c>
      <c r="B268" s="209" t="s">
        <v>146</v>
      </c>
      <c r="C268" s="209" t="s">
        <v>460</v>
      </c>
      <c r="D268" s="209" t="s">
        <v>461</v>
      </c>
      <c r="E268" s="209" t="s">
        <v>462</v>
      </c>
      <c r="F268" s="349" t="s">
        <v>463</v>
      </c>
      <c r="G268" s="209" t="s">
        <v>157</v>
      </c>
      <c r="H268" s="243">
        <v>1</v>
      </c>
      <c r="I268" s="323">
        <v>1</v>
      </c>
      <c r="J268" s="323">
        <v>1</v>
      </c>
      <c r="K268" s="290">
        <v>1</v>
      </c>
      <c r="L268" s="209" t="s">
        <v>2877</v>
      </c>
      <c r="M268" s="209" t="b">
        <v>0</v>
      </c>
      <c r="O268" s="209" t="s">
        <v>2832</v>
      </c>
      <c r="P268" s="209" t="s">
        <v>159</v>
      </c>
      <c r="Q268" s="209" t="s">
        <v>160</v>
      </c>
      <c r="T268" s="269"/>
      <c r="AE268" s="269"/>
      <c r="AF268" s="269"/>
      <c r="AG268" s="269"/>
      <c r="AH268" s="269"/>
      <c r="AI268" s="269"/>
      <c r="AJ268" s="269"/>
      <c r="AK268" s="270"/>
      <c r="AL268" s="270"/>
      <c r="AM268" s="270"/>
      <c r="AN268" s="270"/>
      <c r="AO268" s="270"/>
      <c r="AP268" s="270"/>
      <c r="AQ268" s="270"/>
      <c r="AR268" s="270"/>
      <c r="AS268" s="270"/>
      <c r="CO268" s="209" t="s">
        <v>454</v>
      </c>
      <c r="CP268" s="209" t="s">
        <v>146</v>
      </c>
      <c r="CQ268" s="209" t="s">
        <v>460</v>
      </c>
      <c r="CR268" s="209" t="s">
        <v>461</v>
      </c>
      <c r="CS268" s="209" t="s">
        <v>2877</v>
      </c>
      <c r="CT268" s="209" t="s">
        <v>460</v>
      </c>
      <c r="CU268" s="211" t="str">
        <f t="shared" si="145"/>
        <v>N/A</v>
      </c>
      <c r="CV268" s="211" t="str">
        <f t="shared" si="146"/>
        <v>N/A</v>
      </c>
      <c r="CW268" s="211" t="str">
        <f t="shared" si="147"/>
        <v>N/A</v>
      </c>
      <c r="CX268" s="211" t="str">
        <f t="shared" si="148"/>
        <v>N/A</v>
      </c>
      <c r="CY268" s="211" t="str">
        <f t="shared" si="149"/>
        <v>N/A</v>
      </c>
      <c r="CZ268" s="211" t="str">
        <f t="shared" si="150"/>
        <v>N/A</v>
      </c>
      <c r="DA268" s="211" t="str">
        <f t="shared" si="151"/>
        <v>N/A</v>
      </c>
      <c r="DB268" s="211" t="str">
        <f t="shared" si="152"/>
        <v>N/A</v>
      </c>
      <c r="DC268" s="211" t="str">
        <f t="shared" si="153"/>
        <v xml:space="preserve">​ Se cumple con la programación dado que se realizan actividades de socialización y acompañamiento a los actores del SGSSS, en el marco de RELACIONAMIENTO CON LA  CIUDADANÍA Y GRUPOS DE VALOR, en la Regional Andina, con los usuarios en salud, líderes de control social, entidades Territoriales y Empresas Promotoras de Salud EPS, los días 18 y 19 de septiembre de 2025
</v>
      </c>
      <c r="DD268" s="211" t="str">
        <f t="shared" si="154"/>
        <v>N/A</v>
      </c>
      <c r="DE268" s="211" t="str">
        <f t="shared" si="155"/>
        <v>N/A</v>
      </c>
      <c r="DF268" s="211" t="str">
        <f t="shared" si="156"/>
        <v>N/A</v>
      </c>
    </row>
    <row r="269" spans="1:110" ht="64.5" customHeight="1">
      <c r="A269" s="349" t="s">
        <v>454</v>
      </c>
      <c r="B269" s="209" t="s">
        <v>146</v>
      </c>
      <c r="C269" s="209" t="s">
        <v>466</v>
      </c>
      <c r="D269" s="209" t="s">
        <v>467</v>
      </c>
      <c r="E269" s="209" t="s">
        <v>468</v>
      </c>
      <c r="F269" s="349" t="s">
        <v>469</v>
      </c>
      <c r="G269" s="209" t="s">
        <v>157</v>
      </c>
      <c r="H269" s="243">
        <v>2</v>
      </c>
      <c r="I269" s="323">
        <v>2</v>
      </c>
      <c r="J269" s="323">
        <v>2</v>
      </c>
      <c r="K269" s="290">
        <v>1</v>
      </c>
      <c r="L269" s="209" t="s">
        <v>2878</v>
      </c>
      <c r="M269" s="209" t="b">
        <v>0</v>
      </c>
      <c r="O269" s="209" t="s">
        <v>2832</v>
      </c>
      <c r="P269" s="209" t="s">
        <v>159</v>
      </c>
      <c r="Q269" s="209" t="s">
        <v>160</v>
      </c>
      <c r="T269" s="269"/>
      <c r="AE269" s="269"/>
      <c r="AF269" s="269"/>
      <c r="AG269" s="269"/>
      <c r="AH269" s="269"/>
      <c r="AI269" s="269"/>
      <c r="AJ269" s="269"/>
      <c r="AK269" s="270"/>
      <c r="AL269" s="270"/>
      <c r="AM269" s="270"/>
      <c r="AN269" s="270"/>
      <c r="AO269" s="270"/>
      <c r="AP269" s="270"/>
      <c r="AQ269" s="270"/>
      <c r="AR269" s="270"/>
      <c r="AS269" s="270"/>
      <c r="CO269" s="209" t="s">
        <v>454</v>
      </c>
      <c r="CP269" s="209" t="s">
        <v>146</v>
      </c>
      <c r="CQ269" s="209" t="s">
        <v>466</v>
      </c>
      <c r="CR269" s="209" t="s">
        <v>467</v>
      </c>
      <c r="CS269" s="209" t="s">
        <v>2878</v>
      </c>
      <c r="CT269" s="209" t="s">
        <v>466</v>
      </c>
      <c r="CU269" s="211" t="str">
        <f t="shared" si="145"/>
        <v>N/A</v>
      </c>
      <c r="CV269" s="211" t="str">
        <f t="shared" si="146"/>
        <v>N/A</v>
      </c>
      <c r="CW269" s="211" t="str">
        <f t="shared" si="147"/>
        <v>N/A</v>
      </c>
      <c r="CX269" s="211" t="str">
        <f t="shared" si="148"/>
        <v>N/A</v>
      </c>
      <c r="CY269" s="211" t="str">
        <f t="shared" si="149"/>
        <v>N/A</v>
      </c>
      <c r="CZ269" s="211" t="str">
        <f t="shared" si="150"/>
        <v>N/A</v>
      </c>
      <c r="DA269" s="211" t="str">
        <f t="shared" si="151"/>
        <v>N/A</v>
      </c>
      <c r="DB269" s="211" t="str">
        <f t="shared" si="152"/>
        <v>N/A</v>
      </c>
      <c r="DC269" s="211" t="str">
        <f t="shared" si="153"/>
        <v xml:space="preserve">​​Se cumple con la programación de las actividades de acompañamiento a las Direcicones Regionales dado que se realizan actividades de IVC a los Gestores  ETICOS y LOGIFARMA 
</v>
      </c>
      <c r="DD269" s="211" t="str">
        <f t="shared" si="154"/>
        <v>N/A</v>
      </c>
      <c r="DE269" s="211" t="str">
        <f t="shared" si="155"/>
        <v>N/A</v>
      </c>
      <c r="DF269" s="211" t="str">
        <f t="shared" si="156"/>
        <v>N/A</v>
      </c>
    </row>
    <row r="270" spans="1:110" ht="64.5" customHeight="1">
      <c r="A270" s="349" t="s">
        <v>454</v>
      </c>
      <c r="B270" s="209" t="s">
        <v>146</v>
      </c>
      <c r="C270" s="209" t="s">
        <v>223</v>
      </c>
      <c r="D270" s="209" t="s">
        <v>455</v>
      </c>
      <c r="E270" s="209" t="s">
        <v>456</v>
      </c>
      <c r="F270" s="349" t="s">
        <v>457</v>
      </c>
      <c r="G270" s="209" t="s">
        <v>157</v>
      </c>
      <c r="H270" s="243">
        <v>1</v>
      </c>
      <c r="I270" s="323">
        <v>1</v>
      </c>
      <c r="J270" s="323">
        <v>1</v>
      </c>
      <c r="K270" s="290">
        <v>1</v>
      </c>
      <c r="L270" s="209" t="s">
        <v>2879</v>
      </c>
      <c r="M270" s="209" t="b">
        <v>0</v>
      </c>
      <c r="O270" s="209" t="s">
        <v>2832</v>
      </c>
      <c r="P270" s="209" t="s">
        <v>159</v>
      </c>
      <c r="Q270" s="209" t="s">
        <v>160</v>
      </c>
      <c r="T270" s="269"/>
      <c r="AE270" s="269"/>
      <c r="AF270" s="269"/>
      <c r="AG270" s="269"/>
      <c r="AH270" s="269"/>
      <c r="AI270" s="269"/>
      <c r="AJ270" s="269"/>
      <c r="AK270" s="270"/>
      <c r="AL270" s="270"/>
      <c r="AM270" s="270"/>
      <c r="AN270" s="270"/>
      <c r="AO270" s="270"/>
      <c r="AP270" s="270"/>
      <c r="AQ270" s="270"/>
      <c r="AR270" s="270"/>
      <c r="AS270" s="270"/>
      <c r="CO270" s="209" t="s">
        <v>454</v>
      </c>
      <c r="CP270" s="209" t="s">
        <v>146</v>
      </c>
      <c r="CQ270" s="209" t="s">
        <v>223</v>
      </c>
      <c r="CR270" s="209" t="s">
        <v>455</v>
      </c>
      <c r="CS270" s="209" t="s">
        <v>2879</v>
      </c>
      <c r="CT270" s="209" t="s">
        <v>223</v>
      </c>
      <c r="CU270" s="211" t="str">
        <f t="shared" si="145"/>
        <v>N/A</v>
      </c>
      <c r="CV270" s="211" t="str">
        <f t="shared" si="146"/>
        <v>N/A</v>
      </c>
      <c r="CW270" s="211" t="str">
        <f t="shared" si="147"/>
        <v>N/A</v>
      </c>
      <c r="CX270" s="211" t="str">
        <f t="shared" si="148"/>
        <v>N/A</v>
      </c>
      <c r="CY270" s="211" t="str">
        <f t="shared" si="149"/>
        <v>N/A</v>
      </c>
      <c r="CZ270" s="211" t="str">
        <f t="shared" si="150"/>
        <v>N/A</v>
      </c>
      <c r="DA270" s="211" t="str">
        <f t="shared" si="151"/>
        <v>N/A</v>
      </c>
      <c r="DB270" s="211" t="str">
        <f t="shared" si="152"/>
        <v>N/A</v>
      </c>
      <c r="DC270" s="211" t="str">
        <f t="shared" si="153"/>
        <v xml:space="preserve">​​Se cumple con la programación de la actividad, dado que se realiza auditoría al Gestor Farmacéutico MENNAR SAS ordenada mediante Auto No  2025600020001375-7 del 18 de septiembre de 2025
</v>
      </c>
      <c r="DD270" s="211" t="str">
        <f t="shared" si="154"/>
        <v>N/A</v>
      </c>
      <c r="DE270" s="211" t="str">
        <f t="shared" si="155"/>
        <v>N/A</v>
      </c>
      <c r="DF270" s="211" t="str">
        <f t="shared" si="156"/>
        <v>N/A</v>
      </c>
    </row>
    <row r="271" spans="1:110" ht="64.5" customHeight="1">
      <c r="A271" s="349" t="s">
        <v>199</v>
      </c>
      <c r="B271" s="209" t="s">
        <v>146</v>
      </c>
      <c r="C271" s="209" t="s">
        <v>200</v>
      </c>
      <c r="D271" s="209" t="s">
        <v>201</v>
      </c>
      <c r="E271" s="209" t="s">
        <v>202</v>
      </c>
      <c r="F271" s="349" t="s">
        <v>203</v>
      </c>
      <c r="G271" s="209" t="s">
        <v>157</v>
      </c>
      <c r="H271" s="243">
        <v>12</v>
      </c>
      <c r="I271" s="323">
        <v>12</v>
      </c>
      <c r="J271" s="323">
        <v>12</v>
      </c>
      <c r="K271" s="290">
        <v>1</v>
      </c>
      <c r="L271" s="209" t="s">
        <v>3129</v>
      </c>
      <c r="M271" s="209" t="b">
        <v>0</v>
      </c>
      <c r="O271" s="209" t="s">
        <v>2832</v>
      </c>
      <c r="P271" s="209" t="s">
        <v>159</v>
      </c>
      <c r="Q271" s="209" t="s">
        <v>160</v>
      </c>
      <c r="T271" s="269"/>
      <c r="AE271" s="269"/>
      <c r="AF271" s="269"/>
      <c r="AG271" s="269"/>
      <c r="AH271" s="269"/>
      <c r="AI271" s="269"/>
      <c r="AJ271" s="269"/>
      <c r="AK271" s="270"/>
      <c r="AL271" s="270"/>
      <c r="AM271" s="270"/>
      <c r="AN271" s="270"/>
      <c r="AO271" s="270"/>
      <c r="AP271" s="270"/>
      <c r="AQ271" s="270"/>
      <c r="AR271" s="270"/>
      <c r="AS271" s="270"/>
      <c r="CO271" s="209" t="s">
        <v>199</v>
      </c>
      <c r="CP271" s="209" t="s">
        <v>146</v>
      </c>
      <c r="CQ271" s="209" t="s">
        <v>200</v>
      </c>
      <c r="CR271" s="209" t="s">
        <v>201</v>
      </c>
      <c r="CS271" s="209" t="s">
        <v>3129</v>
      </c>
      <c r="CT271" s="209" t="s">
        <v>200</v>
      </c>
      <c r="CU271" s="211" t="str">
        <f t="shared" si="145"/>
        <v>N/A</v>
      </c>
      <c r="CV271" s="211" t="str">
        <f t="shared" si="146"/>
        <v>N/A</v>
      </c>
      <c r="CW271" s="211" t="str">
        <f t="shared" si="147"/>
        <v>N/A</v>
      </c>
      <c r="CX271" s="211" t="str">
        <f t="shared" si="148"/>
        <v>N/A</v>
      </c>
      <c r="CY271" s="211" t="str">
        <f t="shared" si="149"/>
        <v>N/A</v>
      </c>
      <c r="CZ271" s="211" t="str">
        <f t="shared" si="150"/>
        <v>N/A</v>
      </c>
      <c r="DA271" s="211" t="str">
        <f t="shared" si="151"/>
        <v>N/A</v>
      </c>
      <c r="DB271" s="211" t="str">
        <f t="shared" si="152"/>
        <v>N/A</v>
      </c>
      <c r="DC271" s="211" t="str">
        <f t="shared" si="153"/>
        <v xml:space="preserve">Para el tercer trimestre de 2025, la Dirección de Inspección y Vigilancia para Prestadores de Servicios de Salud, programó 12 auditorias, de la siguiente manera:
En el mes de julio, se programaron 2 auditorias de las cuales se ejecutaron 2.
En el mes de agosto se programaron 5 auditorias de las cuales se ejecutaron 5.
En el mes de septiembre, se programaron 5 auditorias, de las cuales se ejecutaron 5. 
Por lo anterior, para el III trimestre de 2025, se presenta un cumplimiento del 100%, correspondiente a la ejecución de 12 auditorías, de 12 programadas para dicho periodo, lo que permite garantizar el cumplimiento del Programa Anual de Auditoría
</v>
      </c>
      <c r="DD271" s="211" t="str">
        <f t="shared" si="154"/>
        <v>N/A</v>
      </c>
      <c r="DE271" s="211" t="str">
        <f t="shared" si="155"/>
        <v>N/A</v>
      </c>
      <c r="DF271" s="211" t="str">
        <f t="shared" si="156"/>
        <v>N/A</v>
      </c>
    </row>
    <row r="272" spans="1:110" ht="64.5" customHeight="1">
      <c r="A272" s="349" t="s">
        <v>199</v>
      </c>
      <c r="B272" s="209" t="s">
        <v>146</v>
      </c>
      <c r="C272" s="209" t="s">
        <v>204</v>
      </c>
      <c r="D272" s="209" t="s">
        <v>205</v>
      </c>
      <c r="E272" s="209" t="s">
        <v>206</v>
      </c>
      <c r="F272" s="349" t="s">
        <v>207</v>
      </c>
      <c r="G272" s="209" t="s">
        <v>178</v>
      </c>
      <c r="H272" s="243">
        <v>1</v>
      </c>
      <c r="I272" s="323">
        <v>73</v>
      </c>
      <c r="J272" s="323">
        <v>73</v>
      </c>
      <c r="K272" s="290">
        <v>1</v>
      </c>
      <c r="L272" s="209" t="s">
        <v>3130</v>
      </c>
      <c r="M272" s="209" t="b">
        <v>0</v>
      </c>
      <c r="O272" s="209" t="s">
        <v>2832</v>
      </c>
      <c r="P272" s="209" t="s">
        <v>159</v>
      </c>
      <c r="Q272" s="209" t="s">
        <v>160</v>
      </c>
      <c r="T272" s="269"/>
      <c r="AE272" s="269"/>
      <c r="AF272" s="269"/>
      <c r="AG272" s="269"/>
      <c r="AH272" s="269"/>
      <c r="AI272" s="269"/>
      <c r="AJ272" s="269"/>
      <c r="AK272" s="270"/>
      <c r="AL272" s="270"/>
      <c r="AM272" s="270"/>
      <c r="AN272" s="270"/>
      <c r="AO272" s="270"/>
      <c r="AP272" s="270"/>
      <c r="AQ272" s="270"/>
      <c r="AR272" s="270"/>
      <c r="AS272" s="270"/>
      <c r="CO272" s="209" t="s">
        <v>199</v>
      </c>
      <c r="CP272" s="209" t="s">
        <v>146</v>
      </c>
      <c r="CQ272" s="209" t="s">
        <v>204</v>
      </c>
      <c r="CR272" s="209" t="s">
        <v>205</v>
      </c>
      <c r="CS272" s="209" t="s">
        <v>3130</v>
      </c>
      <c r="CT272" s="209" t="s">
        <v>204</v>
      </c>
      <c r="CU272" s="211" t="str">
        <f t="shared" si="145"/>
        <v>N/A</v>
      </c>
      <c r="CV272" s="211" t="str">
        <f t="shared" si="146"/>
        <v>N/A</v>
      </c>
      <c r="CW272" s="211" t="str">
        <f t="shared" si="147"/>
        <v>N/A</v>
      </c>
      <c r="CX272" s="211" t="str">
        <f t="shared" si="148"/>
        <v>N/A</v>
      </c>
      <c r="CY272" s="211" t="str">
        <f t="shared" si="149"/>
        <v>N/A</v>
      </c>
      <c r="CZ272" s="211" t="str">
        <f t="shared" si="150"/>
        <v>N/A</v>
      </c>
      <c r="DA272" s="211" t="str">
        <f t="shared" si="151"/>
        <v>N/A</v>
      </c>
      <c r="DB272" s="211" t="str">
        <f t="shared" si="152"/>
        <v>N/A</v>
      </c>
      <c r="DC272" s="211" t="str">
        <f t="shared" si="153"/>
        <v xml:space="preserve">En el tercer trimestre de 2025, la Dirección de Inspección y Vigilancia para Prestadores de Servicios de Salud, evaluó oportunamente 73 planes de mejoramiento de 73 recibidos para trámite en el mismo periodo, de los cuales 8 correspondían a primera revisión de plan de mejoramiento, 16 a segunda revisión y 49 a soportes de ejecución. La totalidad de los radicados recibidos fueron tramitados de manera oportuna, por lo cual el cumplimiento es del 100% respecto a la meta.
Lo anterior permite realiza seguimiento oportunamente a los planes de mejoramiento suscritos por los vigilados, derivados de las auditorías en las cuales se presentaron hallazgos, cuyo propósito es subsanar, corregir y/o prevenir sus causas y gestionar los riesgos  fundamentales sobre aquellas situaciones que afectan su desempeño y cometido institucional, con el fin de contribuir a la mejora de la calidad en la prestación de los servicios de salud
</v>
      </c>
      <c r="DD272" s="211" t="str">
        <f t="shared" si="154"/>
        <v>N/A</v>
      </c>
      <c r="DE272" s="211" t="str">
        <f t="shared" si="155"/>
        <v>N/A</v>
      </c>
      <c r="DF272" s="211" t="str">
        <f t="shared" si="156"/>
        <v>N/A</v>
      </c>
    </row>
    <row r="273" spans="1:110" ht="64.5" customHeight="1">
      <c r="A273" s="349" t="s">
        <v>199</v>
      </c>
      <c r="B273" s="209" t="s">
        <v>146</v>
      </c>
      <c r="C273" s="209" t="s">
        <v>209</v>
      </c>
      <c r="D273" s="209" t="s">
        <v>210</v>
      </c>
      <c r="E273" s="209" t="s">
        <v>211</v>
      </c>
      <c r="F273" s="349" t="s">
        <v>212</v>
      </c>
      <c r="G273" s="209" t="s">
        <v>178</v>
      </c>
      <c r="H273" s="243">
        <v>0.25</v>
      </c>
      <c r="I273" s="323">
        <v>7</v>
      </c>
      <c r="J273" s="323">
        <v>7</v>
      </c>
      <c r="K273" s="290">
        <v>1</v>
      </c>
      <c r="L273" s="209" t="s">
        <v>3131</v>
      </c>
      <c r="M273" s="209" t="b">
        <v>0</v>
      </c>
      <c r="O273" s="209" t="s">
        <v>2832</v>
      </c>
      <c r="P273" s="209" t="s">
        <v>159</v>
      </c>
      <c r="Q273" s="209" t="s">
        <v>160</v>
      </c>
      <c r="T273" s="269"/>
      <c r="AE273" s="269"/>
      <c r="AF273" s="269"/>
      <c r="AG273" s="269"/>
      <c r="AH273" s="269"/>
      <c r="AI273" s="269"/>
      <c r="AJ273" s="269"/>
      <c r="AK273" s="270"/>
      <c r="AL273" s="270"/>
      <c r="AM273" s="270"/>
      <c r="AN273" s="270"/>
      <c r="AO273" s="270"/>
      <c r="AP273" s="270"/>
      <c r="AQ273" s="270"/>
      <c r="AR273" s="270"/>
      <c r="AS273" s="270"/>
      <c r="CO273" s="209" t="s">
        <v>199</v>
      </c>
      <c r="CP273" s="209" t="s">
        <v>146</v>
      </c>
      <c r="CQ273" s="209" t="s">
        <v>209</v>
      </c>
      <c r="CR273" s="209" t="s">
        <v>210</v>
      </c>
      <c r="CS273" s="209" t="s">
        <v>3131</v>
      </c>
      <c r="CT273" s="209" t="s">
        <v>209</v>
      </c>
      <c r="CU273" s="211" t="str">
        <f t="shared" si="145"/>
        <v>N/A</v>
      </c>
      <c r="CV273" s="211" t="str">
        <f t="shared" si="146"/>
        <v>N/A</v>
      </c>
      <c r="CW273" s="211" t="str">
        <f t="shared" si="147"/>
        <v>N/A</v>
      </c>
      <c r="CX273" s="211" t="str">
        <f t="shared" si="148"/>
        <v>N/A</v>
      </c>
      <c r="CY273" s="211" t="str">
        <f t="shared" si="149"/>
        <v>N/A</v>
      </c>
      <c r="CZ273" s="211" t="str">
        <f t="shared" si="150"/>
        <v>N/A</v>
      </c>
      <c r="DA273" s="211" t="str">
        <f t="shared" si="151"/>
        <v>N/A</v>
      </c>
      <c r="DB273" s="211" t="str">
        <f t="shared" si="152"/>
        <v>N/A</v>
      </c>
      <c r="DC273" s="211" t="str">
        <f t="shared" si="153"/>
        <v xml:space="preserve">Para el III trimestre de 2025, la Dirección de Medidas Especiales para Prestadores de Servicios de Salud realizó 7 seguimientos programados a las ESE bajo medida especial, de 7 seguimientos en campo programados para un cumplimiento del 100%.
Lo anterior permite continuar fortaleciendo  los esquemas de seguimiento técnico, jurídico y financiero, integrando herramientas de monitoreo basadas en indicadores, análisis de datos en tiempo real, visitas de verificación y planes de mejora con seguimiento individualizado a las ESE bajo medida especial
</v>
      </c>
      <c r="DD273" s="211" t="str">
        <f t="shared" si="154"/>
        <v>N/A</v>
      </c>
      <c r="DE273" s="211" t="str">
        <f t="shared" si="155"/>
        <v>N/A</v>
      </c>
      <c r="DF273" s="211" t="str">
        <f t="shared" si="156"/>
        <v>N/A</v>
      </c>
    </row>
    <row r="274" spans="1:110" ht="64.5" customHeight="1">
      <c r="A274" s="349" t="s">
        <v>238</v>
      </c>
      <c r="B274" s="209" t="s">
        <v>146</v>
      </c>
      <c r="C274" s="209" t="s">
        <v>252</v>
      </c>
      <c r="D274" s="209" t="s">
        <v>1331</v>
      </c>
      <c r="E274" s="209" t="s">
        <v>1332</v>
      </c>
      <c r="F274" s="349" t="s">
        <v>1333</v>
      </c>
      <c r="G274" s="209" t="s">
        <v>157</v>
      </c>
      <c r="H274" s="243">
        <v>5</v>
      </c>
      <c r="I274" s="323">
        <v>5</v>
      </c>
      <c r="J274" s="323">
        <v>5</v>
      </c>
      <c r="K274" s="290">
        <v>1</v>
      </c>
      <c r="L274" s="209" t="s">
        <v>2946</v>
      </c>
      <c r="M274" s="209" t="b">
        <v>0</v>
      </c>
      <c r="O274" s="209" t="s">
        <v>2832</v>
      </c>
      <c r="P274" s="209" t="s">
        <v>159</v>
      </c>
      <c r="Q274" s="209" t="s">
        <v>160</v>
      </c>
      <c r="T274" s="269"/>
      <c r="AE274" s="269"/>
      <c r="AF274" s="269"/>
      <c r="AG274" s="269"/>
      <c r="AH274" s="269"/>
      <c r="AI274" s="269"/>
      <c r="AJ274" s="269"/>
      <c r="AK274" s="270"/>
      <c r="AL274" s="270"/>
      <c r="AM274" s="270"/>
      <c r="AN274" s="270"/>
      <c r="AO274" s="270"/>
      <c r="AP274" s="270"/>
      <c r="AQ274" s="270"/>
      <c r="AR274" s="270"/>
      <c r="AS274" s="270"/>
      <c r="CO274" s="209" t="s">
        <v>238</v>
      </c>
      <c r="CP274" s="209" t="s">
        <v>146</v>
      </c>
      <c r="CQ274" s="209" t="s">
        <v>252</v>
      </c>
      <c r="CR274" s="209" t="s">
        <v>1331</v>
      </c>
      <c r="CS274" s="209" t="s">
        <v>2946</v>
      </c>
      <c r="CT274" s="209" t="s">
        <v>252</v>
      </c>
      <c r="CU274" s="211" t="str">
        <f t="shared" si="145"/>
        <v>N/A</v>
      </c>
      <c r="CV274" s="211" t="str">
        <f t="shared" si="146"/>
        <v>N/A</v>
      </c>
      <c r="CW274" s="211" t="str">
        <f t="shared" si="147"/>
        <v>N/A</v>
      </c>
      <c r="CX274" s="211" t="str">
        <f t="shared" si="148"/>
        <v>N/A</v>
      </c>
      <c r="CY274" s="211" t="str">
        <f t="shared" si="149"/>
        <v>N/A</v>
      </c>
      <c r="CZ274" s="211" t="str">
        <f t="shared" si="150"/>
        <v>N/A</v>
      </c>
      <c r="DA274" s="211" t="str">
        <f t="shared" si="151"/>
        <v>N/A</v>
      </c>
      <c r="DB274" s="211" t="str">
        <f t="shared" si="152"/>
        <v>N/A</v>
      </c>
      <c r="DC274" s="211" t="str">
        <f t="shared" si="153"/>
        <v xml:space="preserve">​Durante el trimestre se desarrollaron 5 acciones  para el desarrollo de los programas de Gobernanza, inteligencia de negocios y Gestión de Datos y de Información de la SNS consistente en lo siguiente conforme al cronograma:
Base Unica de Vigilados actualizada (1)
Publicación de dos conjuntos de datos abiertos (2)
Informe UIAF (1) se adjuntan soportes de documentación
Tableros (1) se adjunta evidencia de la actualización de un tablero de control, específicamente el de reclamos, lo cual se hace los 25 de cada mes, se aclara que el corte tiene 31 de julio de 2025 pero su actualización se realizó en el presente trimestre debido a unos ajustes en el régimen de Nueva EPS
</v>
      </c>
      <c r="DD274" s="211" t="str">
        <f t="shared" si="154"/>
        <v>N/A</v>
      </c>
      <c r="DE274" s="211" t="str">
        <f t="shared" si="155"/>
        <v>N/A</v>
      </c>
      <c r="DF274" s="211" t="str">
        <f t="shared" si="156"/>
        <v>N/A</v>
      </c>
    </row>
    <row r="275" spans="1:110" ht="64.5" customHeight="1">
      <c r="A275" s="349" t="s">
        <v>238</v>
      </c>
      <c r="B275" s="209" t="s">
        <v>146</v>
      </c>
      <c r="C275" s="209" t="s">
        <v>364</v>
      </c>
      <c r="D275" s="209" t="s">
        <v>730</v>
      </c>
      <c r="E275" s="209" t="s">
        <v>731</v>
      </c>
      <c r="F275" s="349" t="s">
        <v>732</v>
      </c>
      <c r="G275" s="209" t="s">
        <v>157</v>
      </c>
      <c r="H275" s="243">
        <v>1</v>
      </c>
      <c r="I275" s="323">
        <v>0</v>
      </c>
      <c r="J275" s="323">
        <v>1</v>
      </c>
      <c r="K275" s="290">
        <v>0</v>
      </c>
      <c r="L275" s="209" t="s">
        <v>2947</v>
      </c>
      <c r="M275" s="209" t="b">
        <v>1</v>
      </c>
      <c r="N275" s="209" t="s">
        <v>2884</v>
      </c>
      <c r="O275" s="209" t="s">
        <v>2832</v>
      </c>
      <c r="P275" s="209" t="s">
        <v>159</v>
      </c>
      <c r="Q275" s="209" t="s">
        <v>160</v>
      </c>
      <c r="T275" s="269"/>
      <c r="AE275" s="269"/>
      <c r="AF275" s="269"/>
      <c r="AG275" s="269"/>
      <c r="AH275" s="269"/>
      <c r="AI275" s="269"/>
      <c r="AJ275" s="269"/>
      <c r="AK275" s="270"/>
      <c r="AL275" s="270"/>
      <c r="AM275" s="270"/>
      <c r="AN275" s="270"/>
      <c r="AO275" s="270"/>
      <c r="AP275" s="270"/>
      <c r="AQ275" s="270"/>
      <c r="AR275" s="270"/>
      <c r="AS275" s="270"/>
      <c r="CO275" s="209" t="s">
        <v>238</v>
      </c>
      <c r="CP275" s="209" t="s">
        <v>146</v>
      </c>
      <c r="CQ275" s="209" t="s">
        <v>364</v>
      </c>
      <c r="CR275" s="209" t="s">
        <v>730</v>
      </c>
      <c r="CS275" s="209" t="s">
        <v>2947</v>
      </c>
      <c r="CT275" s="209" t="s">
        <v>364</v>
      </c>
      <c r="CU275" s="211" t="str">
        <f t="shared" si="145"/>
        <v>N/A</v>
      </c>
      <c r="CV275" s="211" t="str">
        <f t="shared" si="146"/>
        <v>N/A</v>
      </c>
      <c r="CW275" s="211" t="str">
        <f t="shared" si="147"/>
        <v>N/A</v>
      </c>
      <c r="CX275" s="211" t="str">
        <f t="shared" si="148"/>
        <v>N/A</v>
      </c>
      <c r="CY275" s="211" t="str">
        <f t="shared" si="149"/>
        <v>N/A</v>
      </c>
      <c r="CZ275" s="211" t="str">
        <f t="shared" si="150"/>
        <v>N/A</v>
      </c>
      <c r="DA275" s="211" t="str">
        <f t="shared" si="151"/>
        <v>N/A</v>
      </c>
      <c r="DB275" s="211" t="str">
        <f t="shared" si="152"/>
        <v>N/A</v>
      </c>
      <c r="DC275" s="211" t="str">
        <f t="shared" si="153"/>
        <v xml:space="preserve">​Esta actividad fue   ejecutada durante el mes de agosto 
se realizaron dos socializaciones en la ciudades de Pasto y Cali, en la cuales se aboradron los temas de Marco Integral de Supervisión y SIARC respectivamente
</v>
      </c>
      <c r="DD275" s="211" t="str">
        <f t="shared" si="154"/>
        <v>N/A</v>
      </c>
      <c r="DE275" s="211" t="str">
        <f t="shared" si="155"/>
        <v>N/A</v>
      </c>
      <c r="DF275" s="211" t="str">
        <f t="shared" si="156"/>
        <v>N/A</v>
      </c>
    </row>
    <row r="276" spans="1:110" ht="64.5" customHeight="1">
      <c r="A276" s="349" t="s">
        <v>238</v>
      </c>
      <c r="B276" s="209" t="s">
        <v>146</v>
      </c>
      <c r="C276" s="209" t="s">
        <v>259</v>
      </c>
      <c r="D276" s="209" t="s">
        <v>260</v>
      </c>
      <c r="E276" s="209" t="s">
        <v>261</v>
      </c>
      <c r="F276" s="349" t="s">
        <v>262</v>
      </c>
      <c r="G276" s="209" t="s">
        <v>178</v>
      </c>
      <c r="H276" s="243">
        <v>1</v>
      </c>
      <c r="I276" s="323">
        <v>2</v>
      </c>
      <c r="J276" s="323">
        <v>2</v>
      </c>
      <c r="K276" s="290">
        <v>1</v>
      </c>
      <c r="L276" s="209" t="s">
        <v>3132</v>
      </c>
      <c r="M276" s="209" t="b">
        <v>1</v>
      </c>
      <c r="N276" s="209" t="s">
        <v>2885</v>
      </c>
      <c r="O276" s="209" t="s">
        <v>2832</v>
      </c>
      <c r="P276" s="209" t="s">
        <v>159</v>
      </c>
      <c r="Q276" s="209" t="s">
        <v>160</v>
      </c>
      <c r="T276" s="269"/>
      <c r="AE276" s="269"/>
      <c r="AF276" s="269"/>
      <c r="AG276" s="269"/>
      <c r="AH276" s="269"/>
      <c r="AI276" s="269"/>
      <c r="AJ276" s="269"/>
      <c r="AK276" s="270"/>
      <c r="AL276" s="270"/>
      <c r="AM276" s="270"/>
      <c r="AN276" s="270"/>
      <c r="AO276" s="270"/>
      <c r="AP276" s="270"/>
      <c r="AQ276" s="270"/>
      <c r="AR276" s="270"/>
      <c r="AS276" s="270"/>
      <c r="CO276" s="209" t="s">
        <v>238</v>
      </c>
      <c r="CP276" s="209" t="s">
        <v>146</v>
      </c>
      <c r="CQ276" s="209" t="s">
        <v>259</v>
      </c>
      <c r="CR276" s="209" t="s">
        <v>260</v>
      </c>
      <c r="CS276" s="209" t="s">
        <v>3132</v>
      </c>
      <c r="CT276" s="209" t="s">
        <v>259</v>
      </c>
      <c r="CU276" s="211" t="str">
        <f t="shared" si="145"/>
        <v>N/A</v>
      </c>
      <c r="CV276" s="211" t="str">
        <f t="shared" si="146"/>
        <v>N/A</v>
      </c>
      <c r="CW276" s="211" t="str">
        <f t="shared" si="147"/>
        <v>N/A</v>
      </c>
      <c r="CX276" s="211" t="str">
        <f t="shared" si="148"/>
        <v>N/A</v>
      </c>
      <c r="CY276" s="211" t="str">
        <f t="shared" si="149"/>
        <v>N/A</v>
      </c>
      <c r="CZ276" s="211" t="str">
        <f t="shared" si="150"/>
        <v>N/A</v>
      </c>
      <c r="DA276" s="211" t="str">
        <f t="shared" si="151"/>
        <v>N/A</v>
      </c>
      <c r="DB276" s="211" t="str">
        <f t="shared" si="152"/>
        <v>N/A</v>
      </c>
      <c r="DC276" s="211" t="str">
        <f t="shared" si="153"/>
        <v xml:space="preserve">Para este trimestre Se gestionaron  2 solicitudes mediante el DIFT33  de las cuales se gestionaron las 2 cumpliendo el  100 %, se anexa los respectivos soportes en elenlace
</v>
      </c>
      <c r="DD276" s="211" t="str">
        <f t="shared" si="154"/>
        <v>N/A</v>
      </c>
      <c r="DE276" s="211" t="str">
        <f t="shared" si="155"/>
        <v>N/A</v>
      </c>
      <c r="DF276" s="211" t="str">
        <f t="shared" si="156"/>
        <v>N/A</v>
      </c>
    </row>
    <row r="277" spans="1:110" ht="64.5" customHeight="1">
      <c r="A277" s="349" t="s">
        <v>238</v>
      </c>
      <c r="B277" s="209" t="s">
        <v>146</v>
      </c>
      <c r="C277" s="209" t="s">
        <v>239</v>
      </c>
      <c r="D277" s="209" t="s">
        <v>240</v>
      </c>
      <c r="E277" s="209" t="s">
        <v>241</v>
      </c>
      <c r="F277" s="349" t="s">
        <v>242</v>
      </c>
      <c r="G277" s="209" t="s">
        <v>178</v>
      </c>
      <c r="H277" s="243">
        <v>0.75</v>
      </c>
      <c r="I277" s="323">
        <v>75</v>
      </c>
      <c r="J277" s="323">
        <v>100</v>
      </c>
      <c r="K277" s="290">
        <v>0.75</v>
      </c>
      <c r="L277" s="209" t="s">
        <v>2948</v>
      </c>
      <c r="M277" s="209" t="b">
        <v>1</v>
      </c>
      <c r="N277" s="209" t="s">
        <v>2886</v>
      </c>
      <c r="O277" s="209" t="s">
        <v>2832</v>
      </c>
      <c r="P277" s="209" t="s">
        <v>159</v>
      </c>
      <c r="Q277" s="209" t="s">
        <v>160</v>
      </c>
      <c r="T277" s="269"/>
      <c r="AE277" s="269"/>
      <c r="AF277" s="269"/>
      <c r="AG277" s="269"/>
      <c r="AH277" s="269"/>
      <c r="AI277" s="269"/>
      <c r="AJ277" s="269"/>
      <c r="AK277" s="270"/>
      <c r="AL277" s="270"/>
      <c r="AM277" s="270"/>
      <c r="AN277" s="270"/>
      <c r="AO277" s="270"/>
      <c r="AP277" s="270"/>
      <c r="AQ277" s="270"/>
      <c r="AR277" s="270"/>
      <c r="AS277" s="270"/>
      <c r="CO277" s="209" t="s">
        <v>238</v>
      </c>
      <c r="CP277" s="209" t="s">
        <v>146</v>
      </c>
      <c r="CQ277" s="209" t="s">
        <v>239</v>
      </c>
      <c r="CR277" s="209" t="s">
        <v>240</v>
      </c>
      <c r="CS277" s="209" t="s">
        <v>2948</v>
      </c>
      <c r="CT277" s="209" t="s">
        <v>239</v>
      </c>
      <c r="CU277" s="211" t="str">
        <f t="shared" si="145"/>
        <v>N/A</v>
      </c>
      <c r="CV277" s="211" t="str">
        <f t="shared" si="146"/>
        <v>N/A</v>
      </c>
      <c r="CW277" s="211" t="str">
        <f t="shared" si="147"/>
        <v>N/A</v>
      </c>
      <c r="CX277" s="211" t="str">
        <f t="shared" si="148"/>
        <v>N/A</v>
      </c>
      <c r="CY277" s="211" t="str">
        <f t="shared" si="149"/>
        <v>N/A</v>
      </c>
      <c r="CZ277" s="211" t="str">
        <f t="shared" si="150"/>
        <v>N/A</v>
      </c>
      <c r="DA277" s="211" t="str">
        <f t="shared" si="151"/>
        <v>N/A</v>
      </c>
      <c r="DB277" s="211" t="str">
        <f t="shared" si="152"/>
        <v>N/A</v>
      </c>
      <c r="DC277" s="211" t="str">
        <f t="shared" si="153"/>
        <v xml:space="preserve">​Para el periodo de tiempo evaluado, se adelantaron las siguientes actividades: 
1. Se gestionó alianza con SENATIC, como iniciativa para formación de los funcionarios de la Supersalud en temas de tecnologías, analítica de datos, inteligencia artificial y habilidades blandas. Esta colaboración se gestionó con el MINTIC, OIT y el SENA. 
2. Se celebró la tercera sesión del Equipo Técnico de Apoyo a la Gestión de Innovación y del Conocimiento, en la cual se presentaron proyectos para continuar con la ejecución de los mismos (SENATIC, Presentación resultados workshop en territorio, Estrategia de Gestión de Proyectos, Adquisición del Sello de Buenas Prácticas), los cuales fueron aprobados y avalados para contiuar con su ejecución. 
3. Se diseñó el Programa de Gestión del Conocimiento.
4. Se generó documento final en compañía con la Oficina Asesora de Planeación relacionado con las brechas del FURAG.
</v>
      </c>
      <c r="DD277" s="211" t="str">
        <f t="shared" si="154"/>
        <v>N/A</v>
      </c>
      <c r="DE277" s="211" t="str">
        <f t="shared" si="155"/>
        <v>N/A</v>
      </c>
      <c r="DF277" s="211" t="str">
        <f t="shared" si="156"/>
        <v>N/A</v>
      </c>
    </row>
    <row r="278" spans="1:110" ht="64.5" customHeight="1">
      <c r="A278" s="349" t="s">
        <v>238</v>
      </c>
      <c r="B278" s="209" t="s">
        <v>146</v>
      </c>
      <c r="C278" s="209" t="s">
        <v>1306</v>
      </c>
      <c r="D278" s="209" t="s">
        <v>1307</v>
      </c>
      <c r="E278" s="209" t="s">
        <v>1308</v>
      </c>
      <c r="F278" s="349" t="s">
        <v>2887</v>
      </c>
      <c r="G278" s="209" t="s">
        <v>178</v>
      </c>
      <c r="H278" s="243">
        <v>0.5</v>
      </c>
      <c r="I278" s="323">
        <v>0.5</v>
      </c>
      <c r="J278" s="323">
        <v>1</v>
      </c>
      <c r="K278" s="290">
        <v>0.5</v>
      </c>
      <c r="L278" s="209" t="s">
        <v>2888</v>
      </c>
      <c r="M278" s="209" t="b">
        <v>0</v>
      </c>
      <c r="O278" s="209" t="s">
        <v>2832</v>
      </c>
      <c r="P278" s="209" t="s">
        <v>159</v>
      </c>
      <c r="Q278" s="209" t="s">
        <v>160</v>
      </c>
      <c r="T278" s="269"/>
      <c r="AE278" s="269"/>
      <c r="AF278" s="269"/>
      <c r="AG278" s="269"/>
      <c r="AH278" s="269"/>
      <c r="AI278" s="269"/>
      <c r="AJ278" s="269"/>
      <c r="AK278" s="270"/>
      <c r="AL278" s="270"/>
      <c r="AM278" s="270"/>
      <c r="AN278" s="270"/>
      <c r="AO278" s="270"/>
      <c r="AP278" s="270"/>
      <c r="AQ278" s="270"/>
      <c r="AR278" s="270"/>
      <c r="AS278" s="270"/>
      <c r="CO278" s="209" t="s">
        <v>238</v>
      </c>
      <c r="CP278" s="209" t="s">
        <v>146</v>
      </c>
      <c r="CQ278" s="209" t="s">
        <v>1306</v>
      </c>
      <c r="CR278" s="209" t="s">
        <v>1307</v>
      </c>
      <c r="CS278" s="209" t="s">
        <v>2888</v>
      </c>
      <c r="CT278" s="209" t="s">
        <v>1306</v>
      </c>
      <c r="CU278" s="211" t="str">
        <f t="shared" si="145"/>
        <v>N/A</v>
      </c>
      <c r="CV278" s="211" t="str">
        <f t="shared" si="146"/>
        <v>N/A</v>
      </c>
      <c r="CW278" s="211" t="str">
        <f t="shared" si="147"/>
        <v>N/A</v>
      </c>
      <c r="CX278" s="211" t="str">
        <f t="shared" si="148"/>
        <v>N/A</v>
      </c>
      <c r="CY278" s="211" t="str">
        <f t="shared" si="149"/>
        <v>N/A</v>
      </c>
      <c r="CZ278" s="211" t="str">
        <f t="shared" si="150"/>
        <v>N/A</v>
      </c>
      <c r="DA278" s="211" t="str">
        <f t="shared" si="151"/>
        <v>N/A</v>
      </c>
      <c r="DB278" s="211" t="str">
        <f t="shared" si="152"/>
        <v>N/A</v>
      </c>
      <c r="DC278" s="211" t="str">
        <f t="shared" si="153"/>
        <v xml:space="preserve">​Para la implementación del Programa de Gestión del Conocimiento, se avanzó en el envío a la Oficina Asesora de Planeación de una serie de documentos para formalizar este proceso. En el correo adjunto se puede evidenciar las solicitudes y documentos anexados.
</v>
      </c>
      <c r="DD278" s="211" t="str">
        <f t="shared" si="154"/>
        <v>N/A</v>
      </c>
      <c r="DE278" s="211" t="str">
        <f t="shared" si="155"/>
        <v>N/A</v>
      </c>
      <c r="DF278" s="211" t="str">
        <f t="shared" si="156"/>
        <v>N/A</v>
      </c>
    </row>
    <row r="279" spans="1:110" ht="64.5" customHeight="1">
      <c r="A279" s="349" t="s">
        <v>238</v>
      </c>
      <c r="B279" s="209" t="s">
        <v>146</v>
      </c>
      <c r="C279" s="209" t="s">
        <v>371</v>
      </c>
      <c r="D279" s="209" t="s">
        <v>521</v>
      </c>
      <c r="E279" s="209" t="s">
        <v>817</v>
      </c>
      <c r="F279" s="349" t="s">
        <v>523</v>
      </c>
      <c r="G279" s="209" t="s">
        <v>178</v>
      </c>
      <c r="H279" s="243">
        <v>8</v>
      </c>
      <c r="I279" s="323">
        <v>7</v>
      </c>
      <c r="J279" s="323">
        <v>8</v>
      </c>
      <c r="K279" s="290">
        <v>0.875</v>
      </c>
      <c r="L279" s="209" t="s">
        <v>3133</v>
      </c>
      <c r="M279" s="209" t="b">
        <v>1</v>
      </c>
      <c r="N279" s="209" t="s">
        <v>2932</v>
      </c>
      <c r="O279" s="209" t="s">
        <v>2832</v>
      </c>
      <c r="P279" s="209" t="s">
        <v>159</v>
      </c>
      <c r="Q279" s="209" t="s">
        <v>160</v>
      </c>
      <c r="T279" s="269"/>
      <c r="AE279" s="269"/>
      <c r="AF279" s="269"/>
      <c r="AG279" s="269"/>
      <c r="AH279" s="269"/>
      <c r="AI279" s="269"/>
      <c r="AJ279" s="269"/>
      <c r="AK279" s="270"/>
      <c r="AL279" s="270"/>
      <c r="AM279" s="270"/>
      <c r="AN279" s="270"/>
      <c r="AO279" s="270"/>
      <c r="AP279" s="270"/>
      <c r="AQ279" s="270"/>
      <c r="AR279" s="270"/>
      <c r="AS279" s="270"/>
      <c r="CO279" s="209" t="s">
        <v>238</v>
      </c>
      <c r="CP279" s="209" t="s">
        <v>146</v>
      </c>
      <c r="CQ279" s="209" t="s">
        <v>371</v>
      </c>
      <c r="CR279" s="209" t="s">
        <v>521</v>
      </c>
      <c r="CS279" s="209" t="s">
        <v>3133</v>
      </c>
      <c r="CT279" s="209" t="s">
        <v>371</v>
      </c>
      <c r="CU279" s="211" t="str">
        <f t="shared" si="145"/>
        <v>N/A</v>
      </c>
      <c r="CV279" s="211" t="str">
        <f t="shared" si="146"/>
        <v>N/A</v>
      </c>
      <c r="CW279" s="211" t="str">
        <f t="shared" si="147"/>
        <v>N/A</v>
      </c>
      <c r="CX279" s="211" t="str">
        <f t="shared" si="148"/>
        <v>N/A</v>
      </c>
      <c r="CY279" s="211" t="str">
        <f t="shared" si="149"/>
        <v>N/A</v>
      </c>
      <c r="CZ279" s="211" t="str">
        <f t="shared" si="150"/>
        <v>N/A</v>
      </c>
      <c r="DA279" s="211" t="str">
        <f t="shared" si="151"/>
        <v>N/A</v>
      </c>
      <c r="DB279" s="211" t="str">
        <f t="shared" si="152"/>
        <v>N/A</v>
      </c>
      <c r="DC279" s="211" t="str">
        <f t="shared" si="153"/>
        <v xml:space="preserve">Para el tercer trimestre de 2025, se realizaron siete actividades de ocho programdas, con un cumplimiento del trimestre del 86,49%, en la ejecución de los diferentes proyectos. No se logró la meta debido a diferentes motivos, entre los cuales se destacan como los principales; el cambio intempestivo del personal directivo y de planta, así como la demora en la contratación del personal que estaba proyectado para la gestión de algunos proyectos, motivo por el cual no se logró la meta propuesta tanto en trimestres anteriores como en el actual. Por lo anterior, se contempla la posibilidad de modifcar el PAG. 
Se lleva un  acumulado de 32 actividades de las 58 programadas para la vigencia 2025, con un avance del 55,17%, con respecto a la meta anual del 100% establecida para la implementación del PETI, por lo que se tomaran las acciones pertinentes para reducir el rezago antes de la finalización del año.
</v>
      </c>
      <c r="DD279" s="211" t="str">
        <f t="shared" si="154"/>
        <v>N/A</v>
      </c>
      <c r="DE279" s="211" t="str">
        <f t="shared" si="155"/>
        <v>N/A</v>
      </c>
      <c r="DF279" s="211" t="str">
        <f t="shared" si="156"/>
        <v>N/A</v>
      </c>
    </row>
    <row r="280" spans="1:110" ht="64.5" customHeight="1">
      <c r="A280" s="349" t="s">
        <v>238</v>
      </c>
      <c r="B280" s="209" t="s">
        <v>146</v>
      </c>
      <c r="C280" s="209" t="s">
        <v>380</v>
      </c>
      <c r="D280" s="209" t="s">
        <v>521</v>
      </c>
      <c r="E280" s="209" t="s">
        <v>530</v>
      </c>
      <c r="F280" s="349" t="s">
        <v>531</v>
      </c>
      <c r="G280" s="209" t="s">
        <v>178</v>
      </c>
      <c r="H280" s="243">
        <v>1</v>
      </c>
      <c r="I280" s="323">
        <v>4</v>
      </c>
      <c r="J280" s="323">
        <v>8</v>
      </c>
      <c r="K280" s="290">
        <v>0.5</v>
      </c>
      <c r="L280" s="209" t="s">
        <v>3134</v>
      </c>
      <c r="M280" s="209" t="b">
        <v>1</v>
      </c>
      <c r="N280" s="209" t="s">
        <v>2933</v>
      </c>
      <c r="O280" s="209" t="s">
        <v>2832</v>
      </c>
      <c r="P280" s="209" t="s">
        <v>159</v>
      </c>
      <c r="Q280" s="209" t="s">
        <v>160</v>
      </c>
      <c r="T280" s="269"/>
      <c r="AE280" s="269"/>
      <c r="AF280" s="269"/>
      <c r="AG280" s="269"/>
      <c r="AH280" s="269"/>
      <c r="AI280" s="269"/>
      <c r="AJ280" s="269"/>
      <c r="AK280" s="270"/>
      <c r="AL280" s="270"/>
      <c r="AM280" s="270"/>
      <c r="AN280" s="270"/>
      <c r="AO280" s="270"/>
      <c r="AP280" s="270"/>
      <c r="AQ280" s="270"/>
      <c r="AR280" s="270"/>
      <c r="AS280" s="270"/>
      <c r="CO280" s="209" t="s">
        <v>238</v>
      </c>
      <c r="CP280" s="209" t="s">
        <v>146</v>
      </c>
      <c r="CQ280" s="209" t="s">
        <v>380</v>
      </c>
      <c r="CR280" s="209" t="s">
        <v>521</v>
      </c>
      <c r="CS280" s="209" t="s">
        <v>3134</v>
      </c>
      <c r="CT280" s="209" t="s">
        <v>380</v>
      </c>
      <c r="CU280" s="211" t="str">
        <f t="shared" si="145"/>
        <v>N/A</v>
      </c>
      <c r="CV280" s="211" t="str">
        <f t="shared" si="146"/>
        <v>N/A</v>
      </c>
      <c r="CW280" s="211" t="str">
        <f t="shared" si="147"/>
        <v>N/A</v>
      </c>
      <c r="CX280" s="211" t="str">
        <f t="shared" si="148"/>
        <v>N/A</v>
      </c>
      <c r="CY280" s="211" t="str">
        <f t="shared" si="149"/>
        <v>N/A</v>
      </c>
      <c r="CZ280" s="211" t="str">
        <f t="shared" si="150"/>
        <v>N/A</v>
      </c>
      <c r="DA280" s="211" t="str">
        <f t="shared" si="151"/>
        <v>N/A</v>
      </c>
      <c r="DB280" s="211" t="str">
        <f t="shared" si="152"/>
        <v>N/A</v>
      </c>
      <c r="DC280" s="211" t="str">
        <f t="shared" si="153"/>
        <v xml:space="preserve">Se realiza la actividad progrmada para el periodo de seguimiento, con lo cual se lleva un avance del 50% con respecto a la meta establecida para la vigencia, cumpliendo con la totalidad​ de las actividades establecidas en el cronograma hasta el mes de septiembre, esto se logró a través de:
Sensibilización para la interiorización claves de seguridad, uso seguro de la VPN, seguridad digital y ciberseguridad, protección de la información, cumplimiento de la normativa y tendencias en ciberseguridad. Sensibilización para la interiorización claves de seguridad, uso seguro de la VPN, seguridad digital y ciberseguridad, protección de la información, cumplimiento de la normativa y tendencias en ciberseguridadDesde el Grupo de Seguridad Digital, se adelantas las acciones pertinentes para avanzar en el diseño e implementación de la arquitectura de seguridad de la Superintednecia Nacional de Salud
</v>
      </c>
      <c r="DD280" s="211" t="str">
        <f t="shared" si="154"/>
        <v>N/A</v>
      </c>
      <c r="DE280" s="211" t="str">
        <f t="shared" si="155"/>
        <v>N/A</v>
      </c>
      <c r="DF280" s="211" t="str">
        <f t="shared" si="156"/>
        <v>N/A</v>
      </c>
    </row>
    <row r="281" spans="1:110" ht="64.5" customHeight="1">
      <c r="A281" s="349" t="s">
        <v>238</v>
      </c>
      <c r="B281" s="209" t="s">
        <v>146</v>
      </c>
      <c r="C281" s="209" t="s">
        <v>375</v>
      </c>
      <c r="D281" s="209" t="s">
        <v>521</v>
      </c>
      <c r="E281" s="209" t="s">
        <v>526</v>
      </c>
      <c r="F281" s="349" t="s">
        <v>527</v>
      </c>
      <c r="G281" s="209" t="s">
        <v>178</v>
      </c>
      <c r="H281" s="243">
        <v>1</v>
      </c>
      <c r="I281" s="433">
        <v>1</v>
      </c>
      <c r="J281" s="433">
        <v>1</v>
      </c>
      <c r="K281" s="290">
        <v>0.5</v>
      </c>
      <c r="L281" s="209" t="s">
        <v>3135</v>
      </c>
      <c r="M281" s="209" t="b">
        <v>1</v>
      </c>
      <c r="N281" s="209" t="s">
        <v>2934</v>
      </c>
      <c r="O281" s="209" t="s">
        <v>2832</v>
      </c>
      <c r="P281" s="209" t="s">
        <v>159</v>
      </c>
      <c r="Q281" s="209" t="s">
        <v>160</v>
      </c>
      <c r="T281" s="269"/>
      <c r="AE281" s="269"/>
      <c r="AF281" s="269"/>
      <c r="AG281" s="269"/>
      <c r="AH281" s="269"/>
      <c r="AI281" s="269"/>
      <c r="AJ281" s="269"/>
      <c r="AK281" s="270"/>
      <c r="AL281" s="270"/>
      <c r="AM281" s="270"/>
      <c r="AN281" s="270"/>
      <c r="AO281" s="270"/>
      <c r="AP281" s="270"/>
      <c r="AQ281" s="270"/>
      <c r="AR281" s="270"/>
      <c r="AS281" s="270"/>
      <c r="CO281" s="209" t="s">
        <v>238</v>
      </c>
      <c r="CP281" s="209" t="s">
        <v>146</v>
      </c>
      <c r="CQ281" s="209" t="s">
        <v>375</v>
      </c>
      <c r="CR281" s="209" t="s">
        <v>521</v>
      </c>
      <c r="CS281" s="209" t="s">
        <v>3135</v>
      </c>
      <c r="CT281" s="209" t="s">
        <v>375</v>
      </c>
      <c r="CU281" s="211" t="str">
        <f t="shared" si="145"/>
        <v>N/A</v>
      </c>
      <c r="CV281" s="211" t="str">
        <f t="shared" si="146"/>
        <v>N/A</v>
      </c>
      <c r="CW281" s="211" t="str">
        <f t="shared" si="147"/>
        <v>N/A</v>
      </c>
      <c r="CX281" s="211" t="str">
        <f t="shared" si="148"/>
        <v>N/A</v>
      </c>
      <c r="CY281" s="211" t="str">
        <f t="shared" si="149"/>
        <v>N/A</v>
      </c>
      <c r="CZ281" s="211" t="str">
        <f t="shared" si="150"/>
        <v>N/A</v>
      </c>
      <c r="DA281" s="211" t="str">
        <f t="shared" si="151"/>
        <v>N/A</v>
      </c>
      <c r="DB281" s="211" t="str">
        <f t="shared" si="152"/>
        <v>N/A</v>
      </c>
      <c r="DC281" s="211" t="str">
        <f t="shared" si="153"/>
        <v xml:space="preserve">Para el periodo de seguimiento se realizó la actividasd prevista en cronograma, co la cual se busca avanzar en la Arquitectura de seguridad de la información documentada. Desde el Grupo de Seguridad Digital, se adelantas las acciones pertinentes para el diseño e implementación de la arquitectura de seguridad de la Superintednecia Nacional de Salud.
Resumen de los logros más importantes: 
- Del ejercicio realizado se identificó filtración de credenciales en estado vigente. 
- Propuestas de mejora o acciones a implementar en futuras actividades. 
- Priorización en la corrección de las debilidades evidenciadas y aún más cuando se encuentran accesos comprometidos. 
- Posibles impactos a largo plazo de la actividad. 
- Subsanación oportuna de las brechas identificadas reduciendo la posible materialización de incidentes de seguridad. 
Sin embargo, a la fecha se han realizado un total de 6 actividades de las 12 programdas para la vigencia 2025, con lo cual el Grupo buscará completar la actividad que no s epudo realizar durante el mes de junio antes que finalice el año. 
</v>
      </c>
      <c r="DD281" s="211" t="str">
        <f t="shared" si="154"/>
        <v>N/A</v>
      </c>
      <c r="DE281" s="211" t="str">
        <f t="shared" si="155"/>
        <v>N/A</v>
      </c>
      <c r="DF281" s="211" t="str">
        <f t="shared" si="156"/>
        <v>N/A</v>
      </c>
    </row>
    <row r="282" spans="1:110" ht="64.5" customHeight="1">
      <c r="A282" s="349" t="s">
        <v>317</v>
      </c>
      <c r="B282" s="209" t="s">
        <v>146</v>
      </c>
      <c r="C282" s="209" t="s">
        <v>330</v>
      </c>
      <c r="D282" s="209" t="s">
        <v>331</v>
      </c>
      <c r="E282" s="209" t="s">
        <v>332</v>
      </c>
      <c r="F282" s="349" t="s">
        <v>333</v>
      </c>
      <c r="G282" s="209" t="s">
        <v>157</v>
      </c>
      <c r="H282" s="243">
        <v>6</v>
      </c>
      <c r="I282" s="323">
        <v>6</v>
      </c>
      <c r="J282" s="323">
        <v>6</v>
      </c>
      <c r="K282" s="288">
        <f>+I282/J282</f>
        <v>1</v>
      </c>
      <c r="L282" s="209" t="s">
        <v>2891</v>
      </c>
      <c r="M282" s="209" t="b">
        <v>0</v>
      </c>
      <c r="O282" s="209" t="s">
        <v>2832</v>
      </c>
      <c r="P282" s="209" t="s">
        <v>159</v>
      </c>
      <c r="Q282" s="209" t="s">
        <v>160</v>
      </c>
      <c r="T282" s="269"/>
      <c r="AJ282" s="269"/>
      <c r="AK282" s="270"/>
      <c r="AL282" s="270"/>
      <c r="AM282" s="270"/>
      <c r="AN282" s="270"/>
      <c r="AO282" s="270"/>
      <c r="AP282" s="270"/>
      <c r="AQ282" s="270"/>
      <c r="AR282" s="270"/>
      <c r="AS282" s="270"/>
      <c r="CO282" s="209" t="s">
        <v>317</v>
      </c>
      <c r="CP282" s="209" t="s">
        <v>146</v>
      </c>
      <c r="CQ282" s="209" t="s">
        <v>330</v>
      </c>
      <c r="CR282" s="209" t="s">
        <v>331</v>
      </c>
      <c r="CS282" s="209" t="s">
        <v>2891</v>
      </c>
      <c r="CT282" s="209" t="s">
        <v>330</v>
      </c>
      <c r="CU282" s="211" t="str">
        <f t="shared" si="145"/>
        <v>N/A</v>
      </c>
      <c r="CV282" s="211" t="str">
        <f t="shared" si="146"/>
        <v>N/A</v>
      </c>
      <c r="CW282" s="211" t="str">
        <f t="shared" si="147"/>
        <v>N/A</v>
      </c>
      <c r="CX282" s="211" t="str">
        <f t="shared" si="148"/>
        <v>N/A</v>
      </c>
      <c r="CY282" s="211" t="str">
        <f t="shared" si="149"/>
        <v>N/A</v>
      </c>
      <c r="CZ282" s="211" t="str">
        <f t="shared" si="150"/>
        <v>N/A</v>
      </c>
      <c r="DA282" s="211" t="str">
        <f t="shared" si="151"/>
        <v>N/A</v>
      </c>
      <c r="DB282" s="211" t="str">
        <f t="shared" si="152"/>
        <v>N/A</v>
      </c>
      <c r="DC282" s="211" t="str">
        <f t="shared" si="153"/>
        <v xml:space="preserve">​Se ejecutaron las 6 actividades programadas para el mes de septiembre conforme al cronograma de implementación y sostenibilidad de la Política de Mejora Normativa.  Con estas actividades se busca la expedición del Manual de mejor Normativa y demás compromisos adquiridos en la implementación y sostenibilidad de la política de mejora normativa.
</v>
      </c>
      <c r="DD282" s="211" t="str">
        <f t="shared" si="154"/>
        <v>N/A</v>
      </c>
      <c r="DE282" s="211" t="str">
        <f t="shared" si="155"/>
        <v>N/A</v>
      </c>
      <c r="DF282" s="211" t="str">
        <f t="shared" si="156"/>
        <v>N/A</v>
      </c>
    </row>
    <row r="283" spans="1:110" ht="64.5" customHeight="1">
      <c r="A283" s="349" t="s">
        <v>317</v>
      </c>
      <c r="B283" s="209" t="s">
        <v>146</v>
      </c>
      <c r="C283" s="209" t="s">
        <v>336</v>
      </c>
      <c r="D283" s="209" t="s">
        <v>337</v>
      </c>
      <c r="E283" s="209" t="s">
        <v>338</v>
      </c>
      <c r="F283" s="349" t="s">
        <v>339</v>
      </c>
      <c r="G283" s="209" t="s">
        <v>178</v>
      </c>
      <c r="H283" s="243">
        <v>1</v>
      </c>
      <c r="I283" s="323">
        <v>123</v>
      </c>
      <c r="J283" s="323">
        <v>123</v>
      </c>
      <c r="K283" s="290">
        <v>1</v>
      </c>
      <c r="L283" s="209" t="s">
        <v>2892</v>
      </c>
      <c r="M283" s="209" t="b">
        <v>0</v>
      </c>
      <c r="O283" s="209" t="s">
        <v>2832</v>
      </c>
      <c r="P283" s="209" t="s">
        <v>159</v>
      </c>
      <c r="Q283" s="209" t="s">
        <v>160</v>
      </c>
      <c r="T283" s="269"/>
      <c r="AJ283" s="269"/>
      <c r="CO283" s="209" t="s">
        <v>317</v>
      </c>
      <c r="CP283" s="209" t="s">
        <v>146</v>
      </c>
      <c r="CQ283" s="209" t="s">
        <v>336</v>
      </c>
      <c r="CR283" s="209" t="s">
        <v>337</v>
      </c>
      <c r="CS283" s="209" t="s">
        <v>2892</v>
      </c>
      <c r="CT283" s="209" t="s">
        <v>336</v>
      </c>
      <c r="CU283" s="211" t="str">
        <f t="shared" si="145"/>
        <v>N/A</v>
      </c>
      <c r="CV283" s="211" t="str">
        <f t="shared" si="146"/>
        <v>N/A</v>
      </c>
      <c r="CW283" s="211" t="str">
        <f t="shared" si="147"/>
        <v>N/A</v>
      </c>
      <c r="CX283" s="211" t="str">
        <f t="shared" si="148"/>
        <v>N/A</v>
      </c>
      <c r="CY283" s="211" t="str">
        <f t="shared" si="149"/>
        <v>N/A</v>
      </c>
      <c r="CZ283" s="211" t="str">
        <f t="shared" si="150"/>
        <v>N/A</v>
      </c>
      <c r="DA283" s="211" t="str">
        <f t="shared" si="151"/>
        <v>N/A</v>
      </c>
      <c r="DB283" s="211" t="str">
        <f t="shared" si="152"/>
        <v>N/A</v>
      </c>
      <c r="DC283" s="211" t="str">
        <f t="shared" si="153"/>
        <v xml:space="preserve">​En el tercer trimestre del año 2025, se recibieron en total 123 traslados de demanda de procesos contenciosos administrativos, procesos ordinarios y de otros asuntos; de la totalidad de demandas radicadas, se informa que, en este trimestre, casi el 80% corresponden a medios de control de reparación directa y nulidad y restablecimiento del derecho. Respecto a los 123 asuntos de demandas recibidos , se notificaron 31 autos admisorios de la demanda de los cuales fueron contestadas 22 demandas y recursos de insistencia, se encuentran en proyecto 8 contestaciones de demanda y 1 admisorio de la demanda se encuentra en recurso de apelación, y 90 asuntos judiciales están en trámite de proyección por no haberse notificado a la fecha el auto admisorio de estas demandas, 1 asunto judicial con rechazo de la demanda y en 1 asunto judicial no hace parte la SNS; en conclusión se tiene un total de 123  procesos judiciales y un cumplimiento del 100% respecto de las demandas notificadas y contestadas dentro del término legal.
</v>
      </c>
      <c r="DD283" s="211" t="str">
        <f t="shared" si="154"/>
        <v>N/A</v>
      </c>
      <c r="DE283" s="211" t="str">
        <f t="shared" si="155"/>
        <v>N/A</v>
      </c>
      <c r="DF283" s="211" t="str">
        <f t="shared" si="156"/>
        <v>N/A</v>
      </c>
    </row>
    <row r="284" spans="1:110" ht="64.5" customHeight="1">
      <c r="A284" s="349" t="s">
        <v>317</v>
      </c>
      <c r="B284" s="209" t="s">
        <v>146</v>
      </c>
      <c r="C284" s="209" t="s">
        <v>342</v>
      </c>
      <c r="D284" s="209" t="s">
        <v>343</v>
      </c>
      <c r="E284" s="209" t="s">
        <v>1403</v>
      </c>
      <c r="F284" s="349" t="s">
        <v>1404</v>
      </c>
      <c r="G284" s="209" t="s">
        <v>178</v>
      </c>
      <c r="H284" s="243">
        <v>1</v>
      </c>
      <c r="I284" s="323">
        <v>36</v>
      </c>
      <c r="J284" s="323">
        <v>36</v>
      </c>
      <c r="K284" s="290">
        <v>1</v>
      </c>
      <c r="L284" s="209" t="s">
        <v>2893</v>
      </c>
      <c r="M284" s="209" t="b">
        <v>0</v>
      </c>
      <c r="O284" s="209" t="s">
        <v>2832</v>
      </c>
      <c r="P284" s="209" t="s">
        <v>159</v>
      </c>
      <c r="Q284" s="209" t="s">
        <v>160</v>
      </c>
      <c r="T284" s="269"/>
      <c r="AJ284" s="269"/>
      <c r="CO284" s="209" t="s">
        <v>317</v>
      </c>
      <c r="CP284" s="209" t="s">
        <v>146</v>
      </c>
      <c r="CQ284" s="209" t="s">
        <v>342</v>
      </c>
      <c r="CR284" s="209" t="s">
        <v>343</v>
      </c>
      <c r="CS284" s="209" t="s">
        <v>2893</v>
      </c>
      <c r="CT284" s="209" t="s">
        <v>342</v>
      </c>
      <c r="CU284" s="211" t="str">
        <f t="shared" si="145"/>
        <v>N/A</v>
      </c>
      <c r="CV284" s="211" t="str">
        <f t="shared" si="146"/>
        <v>N/A</v>
      </c>
      <c r="CW284" s="211" t="str">
        <f t="shared" si="147"/>
        <v>N/A</v>
      </c>
      <c r="CX284" s="211" t="str">
        <f t="shared" si="148"/>
        <v>N/A</v>
      </c>
      <c r="CY284" s="211" t="str">
        <f t="shared" si="149"/>
        <v>N/A</v>
      </c>
      <c r="CZ284" s="211" t="str">
        <f t="shared" si="150"/>
        <v>N/A</v>
      </c>
      <c r="DA284" s="211" t="str">
        <f t="shared" si="151"/>
        <v>N/A</v>
      </c>
      <c r="DB284" s="211" t="str">
        <f t="shared" si="152"/>
        <v>N/A</v>
      </c>
      <c r="DC284" s="211" t="str">
        <f t="shared" si="153"/>
        <v xml:space="preserve">​En el tercer trimestre del año 2025, se recibieron 39 solicitudes de conciliación extrajudicial; de las cuales 36 fueron presentadas y decididas por el Comité de Conciliación, 2 no cumplen con los requisitos de ley establecidos para su presentación, y en 1 solicitud de conciliación la SNS no es parte; para un total de 39 solicitudes, cumpliéndose este indicador en un 100%.
</v>
      </c>
      <c r="DD284" s="211" t="str">
        <f t="shared" si="154"/>
        <v>N/A</v>
      </c>
      <c r="DE284" s="211" t="str">
        <f t="shared" si="155"/>
        <v>N/A</v>
      </c>
      <c r="DF284" s="211" t="str">
        <f t="shared" si="156"/>
        <v>N/A</v>
      </c>
    </row>
    <row r="285" spans="1:110" ht="64.5" customHeight="1">
      <c r="A285" s="349" t="s">
        <v>265</v>
      </c>
      <c r="B285" s="209" t="s">
        <v>146</v>
      </c>
      <c r="C285" s="209" t="s">
        <v>266</v>
      </c>
      <c r="D285" s="209" t="s">
        <v>267</v>
      </c>
      <c r="E285" s="209" t="s">
        <v>268</v>
      </c>
      <c r="F285" s="349" t="s">
        <v>269</v>
      </c>
      <c r="G285" s="209" t="s">
        <v>157</v>
      </c>
      <c r="H285" s="243">
        <v>1</v>
      </c>
      <c r="I285" s="323">
        <v>1</v>
      </c>
      <c r="J285" s="323">
        <v>1</v>
      </c>
      <c r="K285" s="290">
        <v>1</v>
      </c>
      <c r="L285" s="209" t="s">
        <v>2899</v>
      </c>
      <c r="M285" s="209" t="b">
        <v>0</v>
      </c>
      <c r="O285" s="209" t="s">
        <v>2832</v>
      </c>
      <c r="P285" s="209" t="s">
        <v>159</v>
      </c>
      <c r="Q285" s="209" t="s">
        <v>160</v>
      </c>
      <c r="T285" s="269"/>
      <c r="AJ285" s="269"/>
      <c r="CO285" s="209" t="s">
        <v>265</v>
      </c>
      <c r="CP285" s="209" t="s">
        <v>146</v>
      </c>
      <c r="CQ285" s="209" t="s">
        <v>266</v>
      </c>
      <c r="CR285" s="209" t="s">
        <v>267</v>
      </c>
      <c r="CS285" s="209" t="s">
        <v>2899</v>
      </c>
      <c r="CT285" s="209" t="s">
        <v>266</v>
      </c>
      <c r="CU285" s="211" t="str">
        <f t="shared" si="145"/>
        <v>N/A</v>
      </c>
      <c r="CV285" s="211" t="str">
        <f t="shared" si="146"/>
        <v>N/A</v>
      </c>
      <c r="CW285" s="211" t="str">
        <f t="shared" si="147"/>
        <v>N/A</v>
      </c>
      <c r="CX285" s="211" t="str">
        <f t="shared" si="148"/>
        <v>N/A</v>
      </c>
      <c r="CY285" s="211" t="str">
        <f t="shared" si="149"/>
        <v>N/A</v>
      </c>
      <c r="CZ285" s="211" t="str">
        <f t="shared" si="150"/>
        <v>N/A</v>
      </c>
      <c r="DA285" s="211" t="str">
        <f t="shared" si="151"/>
        <v>N/A</v>
      </c>
      <c r="DB285" s="211" t="str">
        <f t="shared" si="152"/>
        <v>N/A</v>
      </c>
      <c r="DC285" s="211" t="str">
        <f t="shared" si="153"/>
        <v xml:space="preserve">El informe presenta un resultado positivo al señalar que el indicador alcanza un cumplimiento del 100%, lo cual refleja la ejecución total de la meta propuesta. La referencia al archivo INF-GESTION-DIGITAL-SEP2025.xlsx aporta soporte documental y evidencia cuantitativa del logro alcanzado, permitiendo la trazabilidad del cumplimiento.
Asimismo, se destaca el aumento de seguidores e interacción en las redes sociales institucionales, lo que puede interpretarse como un crecimiento en el alcance, la visibilidad y el posicionamiento digital de la entidad. Este comportamiento sugiere una efectiva implementación de las estrategias de comunicación digital, coherente con los objetivos misionales de transparencia, participación y cercanía con la ciudadanía.
</v>
      </c>
      <c r="DD285" s="211" t="str">
        <f t="shared" si="154"/>
        <v>N/A</v>
      </c>
      <c r="DE285" s="211" t="str">
        <f t="shared" si="155"/>
        <v>N/A</v>
      </c>
      <c r="DF285" s="211" t="str">
        <f t="shared" si="156"/>
        <v>N/A</v>
      </c>
    </row>
    <row r="286" spans="1:110" ht="64.5" customHeight="1">
      <c r="A286" s="349" t="s">
        <v>265</v>
      </c>
      <c r="B286" s="209" t="s">
        <v>146</v>
      </c>
      <c r="C286" s="209" t="s">
        <v>1245</v>
      </c>
      <c r="D286" s="209" t="s">
        <v>2381</v>
      </c>
      <c r="E286" s="209" t="s">
        <v>2900</v>
      </c>
      <c r="F286" s="349" t="s">
        <v>1248</v>
      </c>
      <c r="G286" s="209" t="s">
        <v>157</v>
      </c>
      <c r="H286" s="243">
        <v>1</v>
      </c>
      <c r="I286" s="323">
        <v>1</v>
      </c>
      <c r="J286" s="323">
        <v>1</v>
      </c>
      <c r="K286" s="290">
        <v>1</v>
      </c>
      <c r="L286" s="209" t="s">
        <v>2901</v>
      </c>
      <c r="M286" s="209" t="b">
        <v>0</v>
      </c>
      <c r="O286" s="209" t="s">
        <v>2832</v>
      </c>
      <c r="P286" s="209" t="s">
        <v>159</v>
      </c>
      <c r="Q286" s="209" t="s">
        <v>160</v>
      </c>
      <c r="T286" s="269"/>
      <c r="AJ286" s="269"/>
      <c r="CO286" s="209" t="s">
        <v>265</v>
      </c>
      <c r="CP286" s="209" t="s">
        <v>146</v>
      </c>
      <c r="CQ286" s="209" t="s">
        <v>1245</v>
      </c>
      <c r="CR286" s="209" t="s">
        <v>2381</v>
      </c>
      <c r="CS286" s="209" t="s">
        <v>2901</v>
      </c>
      <c r="CT286" s="209" t="s">
        <v>1245</v>
      </c>
      <c r="CU286" s="211" t="str">
        <f t="shared" si="145"/>
        <v>N/A</v>
      </c>
      <c r="CV286" s="211" t="str">
        <f t="shared" si="146"/>
        <v>N/A</v>
      </c>
      <c r="CW286" s="211" t="str">
        <f t="shared" si="147"/>
        <v>N/A</v>
      </c>
      <c r="CX286" s="211" t="str">
        <f t="shared" si="148"/>
        <v>N/A</v>
      </c>
      <c r="CY286" s="211" t="str">
        <f t="shared" si="149"/>
        <v>N/A</v>
      </c>
      <c r="CZ286" s="211" t="str">
        <f t="shared" si="150"/>
        <v>N/A</v>
      </c>
      <c r="DA286" s="211" t="str">
        <f t="shared" si="151"/>
        <v>N/A</v>
      </c>
      <c r="DB286" s="211" t="str">
        <f t="shared" si="152"/>
        <v>N/A</v>
      </c>
      <c r="DC286" s="211" t="str">
        <f t="shared" si="153"/>
        <v xml:space="preserve">En cumplimiento de las disposiciones establecidas en la Ley 489 de 1998, el Decreto 1081 de 2015 y la Directiva Presidencial 02 de 2022 sobre rendición de cuentas a la ciudadanía, la Superintendencia Nacional de Salud, a través de la Oficina Asesora de Comunicaciones Estratégicas e Imagen Institucional, adelanta el proceso de planeación, producción y difusión de la Audiencia Pública de Rendición de Cuentas correspondiente a la vigencia julio 2024 – junio 2025.
El presente informe consolida los avances en la fase de preparación y divulgación del proceso institucional, destacando las acciones ejecutadas, los productos elaborados y las estrategias implementadas para garantizar la participación ciudadana y la transparencia en la gestión de la Entidad.
</v>
      </c>
      <c r="DD286" s="211" t="str">
        <f t="shared" si="154"/>
        <v>N/A</v>
      </c>
      <c r="DE286" s="211" t="str">
        <f t="shared" si="155"/>
        <v>N/A</v>
      </c>
      <c r="DF286" s="211" t="str">
        <f t="shared" si="156"/>
        <v>N/A</v>
      </c>
    </row>
    <row r="287" spans="1:110" ht="64.5" customHeight="1">
      <c r="A287" s="349" t="s">
        <v>607</v>
      </c>
      <c r="B287" s="209" t="s">
        <v>146</v>
      </c>
      <c r="C287" s="209" t="s">
        <v>1218</v>
      </c>
      <c r="D287" s="209" t="s">
        <v>1219</v>
      </c>
      <c r="E287" s="209" t="s">
        <v>1220</v>
      </c>
      <c r="F287" s="349" t="s">
        <v>1221</v>
      </c>
      <c r="G287" s="209" t="s">
        <v>178</v>
      </c>
      <c r="H287" s="243">
        <v>0.3</v>
      </c>
      <c r="I287" s="323">
        <v>13</v>
      </c>
      <c r="J287" s="433">
        <v>77</v>
      </c>
      <c r="K287" s="290">
        <v>0.141304347826087</v>
      </c>
      <c r="L287" s="209" t="s">
        <v>2937</v>
      </c>
      <c r="M287" s="209" t="b">
        <v>0</v>
      </c>
      <c r="O287" s="209" t="s">
        <v>2832</v>
      </c>
      <c r="P287" s="209" t="s">
        <v>159</v>
      </c>
      <c r="Q287" s="209" t="s">
        <v>160</v>
      </c>
      <c r="T287" s="269"/>
      <c r="AJ287" s="269"/>
      <c r="CO287" s="209" t="s">
        <v>607</v>
      </c>
      <c r="CP287" s="209" t="s">
        <v>146</v>
      </c>
      <c r="CQ287" s="209" t="s">
        <v>1218</v>
      </c>
      <c r="CR287" s="209" t="s">
        <v>1219</v>
      </c>
      <c r="CS287" s="209" t="s">
        <v>2937</v>
      </c>
      <c r="CT287" s="209" t="s">
        <v>1218</v>
      </c>
      <c r="CU287" s="211" t="str">
        <f t="shared" si="145"/>
        <v>N/A</v>
      </c>
      <c r="CV287" s="211" t="str">
        <f t="shared" si="146"/>
        <v>N/A</v>
      </c>
      <c r="CW287" s="211" t="str">
        <f t="shared" si="147"/>
        <v>N/A</v>
      </c>
      <c r="CX287" s="211" t="str">
        <f t="shared" si="148"/>
        <v>N/A</v>
      </c>
      <c r="CY287" s="211" t="str">
        <f t="shared" si="149"/>
        <v>N/A</v>
      </c>
      <c r="CZ287" s="211" t="str">
        <f t="shared" si="150"/>
        <v>N/A</v>
      </c>
      <c r="DA287" s="211" t="str">
        <f t="shared" si="151"/>
        <v>N/A</v>
      </c>
      <c r="DB287" s="211" t="str">
        <f t="shared" si="152"/>
        <v>N/A</v>
      </c>
      <c r="DC287" s="211" t="str">
        <f t="shared" si="153"/>
        <v>El plan de cierre de brechas contempla un total de 92 acciones, si bien se tenía previsto un 30% de avance para septiembre, se realizó un reajuste en el plan de trabajo que se remite a las áreas desde agosto el cual obtuvo respuesta hasta el mes de septiembre, con el subsecuente ajuste de fechas, por lo que no se pudo actualizar dentro de los términos el valor porcentual en el mes de agosto; El porcentaje real de compromisos para el cierre de brechas para el periodo de septiembre fue de 4.2% (4 actividades) que se cumplieron dentro del término, además se cerraron 9 brechas cuya fecha de cumplimiento es posterior al periodo de seguimiento, para un total de 13 cierres con un avance del 14,13% del total del plan. Cumpliendo con lo programado.</v>
      </c>
      <c r="DD287" s="211" t="str">
        <f t="shared" si="154"/>
        <v>N/A</v>
      </c>
      <c r="DE287" s="211" t="str">
        <f t="shared" si="155"/>
        <v>N/A</v>
      </c>
      <c r="DF287" s="211" t="str">
        <f t="shared" si="156"/>
        <v>N/A</v>
      </c>
    </row>
    <row r="288" spans="1:110" ht="64.5" customHeight="1">
      <c r="A288" s="349" t="s">
        <v>607</v>
      </c>
      <c r="B288" s="209" t="s">
        <v>146</v>
      </c>
      <c r="C288" s="209" t="s">
        <v>335</v>
      </c>
      <c r="D288" s="209" t="s">
        <v>617</v>
      </c>
      <c r="E288" s="209" t="s">
        <v>618</v>
      </c>
      <c r="F288" s="349" t="s">
        <v>619</v>
      </c>
      <c r="G288" s="209" t="s">
        <v>178</v>
      </c>
      <c r="H288" s="243">
        <v>0.4</v>
      </c>
      <c r="I288" s="323">
        <v>67</v>
      </c>
      <c r="J288" s="323">
        <v>67</v>
      </c>
      <c r="K288" s="290">
        <v>1</v>
      </c>
      <c r="L288" s="209" t="s">
        <v>2949</v>
      </c>
      <c r="M288" s="209" t="b">
        <v>0</v>
      </c>
      <c r="O288" s="209" t="s">
        <v>2832</v>
      </c>
      <c r="P288" s="209" t="s">
        <v>159</v>
      </c>
      <c r="Q288" s="209" t="s">
        <v>160</v>
      </c>
      <c r="T288" s="269"/>
      <c r="AJ288" s="269"/>
      <c r="CO288" s="209" t="s">
        <v>607</v>
      </c>
      <c r="CP288" s="209" t="s">
        <v>146</v>
      </c>
      <c r="CQ288" s="209" t="s">
        <v>335</v>
      </c>
      <c r="CR288" s="209" t="s">
        <v>617</v>
      </c>
      <c r="CS288" s="209" t="s">
        <v>2949</v>
      </c>
      <c r="CT288" s="209" t="s">
        <v>335</v>
      </c>
      <c r="CU288" s="211" t="str">
        <f t="shared" si="145"/>
        <v>N/A</v>
      </c>
      <c r="CV288" s="211" t="str">
        <f t="shared" si="146"/>
        <v>N/A</v>
      </c>
      <c r="CW288" s="211" t="str">
        <f t="shared" si="147"/>
        <v>N/A</v>
      </c>
      <c r="CX288" s="211" t="str">
        <f t="shared" si="148"/>
        <v>N/A</v>
      </c>
      <c r="CY288" s="211" t="str">
        <f t="shared" si="149"/>
        <v>N/A</v>
      </c>
      <c r="CZ288" s="211" t="str">
        <f t="shared" si="150"/>
        <v>N/A</v>
      </c>
      <c r="DA288" s="211" t="str">
        <f t="shared" si="151"/>
        <v>N/A</v>
      </c>
      <c r="DB288" s="211" t="str">
        <f t="shared" si="152"/>
        <v>N/A</v>
      </c>
      <c r="DC288" s="211" t="str">
        <f t="shared" si="153"/>
        <v xml:space="preserve">Durante el periodo comprendido entre junio y septiembre de 2025 se atendieron 67 solicitudes de oficialización de documentos en los procesos institucionales de la Superintendencia Nacional de Salud. De éstas, 44 correspondieron a actualización de documentos, 17 solicitudes fueron de creación y 6 solicitudes de anulación.
Estas solicitudes fueron tramitadas en los siguientes procesos: Gestión estratégica de personas: 19 documentos, Gobierno y gestión de datos e información: 12 documentos, Relacionamiento con la ciudadanía y grupos de valor: 9 documentos, Gestión de bienes y servicios: 7 documentos, Gestión de mejora: 6 documentos, Seguimiento y evaluación al vigilado: 4 documentos, Direccionamiento estratégico: 4 documentos, Actuaciones disciplinarias: 2 documentos, Gestión de trámites: 2 documentos, y Gestión Financiera: 2 documentos.
Finalmente, y de acuerdo con el tipo documental, durante el periodo se tramitaron oficializaciones asociadas a los tipos documentales: 47 Formatos, 7 Manuales, 5 Procesos, 2 Caracterizaciones de proceso, 2 Metodologías, 2 Políticas institucionales, 1 Procedimiento, y 1 Guía.
A partir de lo anterior, se da cumplimiento al 100% de lo establecido para el periodo.
</v>
      </c>
      <c r="DD288" s="211" t="str">
        <f t="shared" si="154"/>
        <v>N/A</v>
      </c>
      <c r="DE288" s="211" t="str">
        <f t="shared" si="155"/>
        <v>N/A</v>
      </c>
      <c r="DF288" s="211" t="str">
        <f t="shared" si="156"/>
        <v>N/A</v>
      </c>
    </row>
    <row r="289" spans="1:110" ht="64.5" customHeight="1">
      <c r="A289" s="349" t="s">
        <v>359</v>
      </c>
      <c r="B289" s="209" t="s">
        <v>146</v>
      </c>
      <c r="C289" s="209" t="s">
        <v>360</v>
      </c>
      <c r="D289" s="209" t="s">
        <v>361</v>
      </c>
      <c r="E289" s="209" t="s">
        <v>362</v>
      </c>
      <c r="F289" s="349" t="s">
        <v>363</v>
      </c>
      <c r="G289" s="209" t="s">
        <v>157</v>
      </c>
      <c r="H289" s="243">
        <v>13</v>
      </c>
      <c r="I289" s="323">
        <v>11</v>
      </c>
      <c r="J289" s="323">
        <v>13</v>
      </c>
      <c r="K289" s="290">
        <v>0.84615384615384603</v>
      </c>
      <c r="L289" s="209" t="s">
        <v>2950</v>
      </c>
      <c r="M289" s="209" t="b">
        <v>0</v>
      </c>
      <c r="O289" s="209" t="s">
        <v>2832</v>
      </c>
      <c r="P289" s="209" t="s">
        <v>159</v>
      </c>
      <c r="Q289" s="209" t="s">
        <v>160</v>
      </c>
      <c r="T289" s="269"/>
      <c r="AJ289" s="269"/>
      <c r="CO289" s="209" t="s">
        <v>359</v>
      </c>
      <c r="CP289" s="209" t="s">
        <v>146</v>
      </c>
      <c r="CQ289" s="209" t="s">
        <v>360</v>
      </c>
      <c r="CR289" s="209" t="s">
        <v>361</v>
      </c>
      <c r="CS289" s="209" t="s">
        <v>2950</v>
      </c>
      <c r="CT289" s="209" t="s">
        <v>360</v>
      </c>
      <c r="CU289" s="211" t="str">
        <f t="shared" si="145"/>
        <v>N/A</v>
      </c>
      <c r="CV289" s="211" t="str">
        <f t="shared" si="146"/>
        <v>N/A</v>
      </c>
      <c r="CW289" s="211" t="str">
        <f t="shared" si="147"/>
        <v>N/A</v>
      </c>
      <c r="CX289" s="211" t="str">
        <f t="shared" si="148"/>
        <v>N/A</v>
      </c>
      <c r="CY289" s="211" t="str">
        <f t="shared" si="149"/>
        <v>N/A</v>
      </c>
      <c r="CZ289" s="211" t="str">
        <f t="shared" si="150"/>
        <v>N/A</v>
      </c>
      <c r="DA289" s="211" t="str">
        <f t="shared" si="151"/>
        <v>N/A</v>
      </c>
      <c r="DB289" s="211" t="str">
        <f t="shared" si="152"/>
        <v>N/A</v>
      </c>
      <c r="DC289" s="211" t="str">
        <f t="shared" si="153"/>
        <v xml:space="preserve">De conformidad con la programación establecida en el Plan Anual de Seguimiento a la Gestión Institucional (PAAS) para la vigencia 2025, y en atención a la actividad "Ejecutar Programa Anual de Seguimiento a la Gestión Institucional", correspondiente al indicador "Seguimientos y evaluaciones efectuadas al control institucional", la Oficina de Control Interno reporta el cumplimiento del tercer trimestre de la presente anualidad.
Durante este periodo se ejecutaron un total de once (11) actividades, de las cuales cuatro (4) correspondían a acciones rezagadas del segundo trimestre, producto de situaciones administrativas relacionadas con el concurso de mérito. Por lo anteriormente señalado, el porcentaje de cumplimiento para el período reportado corresponde al 85% de ejecución. En la primera semana de octubre se radicaron dos (2) actividades, correspondientes al tercer trimestre, las cuales se verán reflejados en el siguiente trimestre evaluado.
Con este avance, al cierre de septiembre se han realizado treinta y siete (37) actividades de las cuarenta y una (41) programadas, lo que representa un cumplimiento del 90% en la ejecución del PAAS.
Adicionalmente, en el transcurso del trimestre se llevaron a cabo actividades complementarias no previstas en el plan, derivadas de requerimientos formulados por entes de control, atención de derechos de petición, actividades de gestores, entre otros.
</v>
      </c>
      <c r="DD289" s="211" t="str">
        <f t="shared" si="154"/>
        <v>N/A</v>
      </c>
      <c r="DE289" s="211" t="str">
        <f t="shared" si="155"/>
        <v>N/A</v>
      </c>
      <c r="DF289" s="211" t="str">
        <f t="shared" si="156"/>
        <v>N/A</v>
      </c>
    </row>
    <row r="290" spans="1:110" ht="64.5" customHeight="1">
      <c r="A290" s="349" t="s">
        <v>190</v>
      </c>
      <c r="B290" s="209" t="s">
        <v>146</v>
      </c>
      <c r="C290" s="209" t="s">
        <v>251</v>
      </c>
      <c r="D290" s="209" t="s">
        <v>472</v>
      </c>
      <c r="E290" s="209" t="s">
        <v>473</v>
      </c>
      <c r="F290" s="349" t="s">
        <v>474</v>
      </c>
      <c r="G290" s="209" t="s">
        <v>157</v>
      </c>
      <c r="H290" s="243">
        <v>3</v>
      </c>
      <c r="I290" s="433">
        <v>3</v>
      </c>
      <c r="J290" s="433">
        <v>3</v>
      </c>
      <c r="K290" s="290">
        <v>1</v>
      </c>
      <c r="L290" s="209" t="s">
        <v>2917</v>
      </c>
      <c r="M290" s="209" t="b">
        <v>0</v>
      </c>
      <c r="O290" s="209" t="s">
        <v>2832</v>
      </c>
      <c r="P290" s="209" t="s">
        <v>159</v>
      </c>
      <c r="Q290" s="209" t="s">
        <v>160</v>
      </c>
      <c r="T290" s="269"/>
      <c r="AJ290" s="269"/>
      <c r="CO290" s="209" t="s">
        <v>190</v>
      </c>
      <c r="CP290" s="209" t="s">
        <v>146</v>
      </c>
      <c r="CQ290" s="209" t="s">
        <v>251</v>
      </c>
      <c r="CR290" s="209" t="s">
        <v>472</v>
      </c>
      <c r="CS290" s="209" t="s">
        <v>2917</v>
      </c>
      <c r="CT290" s="209" t="s">
        <v>251</v>
      </c>
      <c r="CU290" s="211" t="str">
        <f t="shared" si="145"/>
        <v>N/A</v>
      </c>
      <c r="CV290" s="211" t="str">
        <f t="shared" si="146"/>
        <v>N/A</v>
      </c>
      <c r="CW290" s="211" t="str">
        <f t="shared" si="147"/>
        <v>N/A</v>
      </c>
      <c r="CX290" s="211" t="str">
        <f t="shared" si="148"/>
        <v>N/A</v>
      </c>
      <c r="CY290" s="211" t="str">
        <f t="shared" si="149"/>
        <v>N/A</v>
      </c>
      <c r="CZ290" s="211" t="str">
        <f t="shared" si="150"/>
        <v>N/A</v>
      </c>
      <c r="DA290" s="211" t="str">
        <f t="shared" si="151"/>
        <v>N/A</v>
      </c>
      <c r="DB290" s="211" t="str">
        <f t="shared" si="152"/>
        <v>N/A</v>
      </c>
      <c r="DC290" s="211" t="str">
        <f t="shared" si="153"/>
        <v xml:space="preserve">​Durante el tercer trimestre de 2025, la Superintendencia Nacional de Salud realizó seguimiento a la ejecución del Plan Anual de Adquisiciones, alcanzando un avance del 61,53% en inversión y 52,10% en funcionamiento. Se publicaron 20 versiones del PAA en SECOP II, con múltiples actualizaciones derivadas de solicitudes de las dependencias. Al corte de 30 septiembre, se habían programado 389 líneas y quedaban 06 procesos contractuales pendientes por radicar.
</v>
      </c>
      <c r="DD290" s="211" t="str">
        <f t="shared" si="154"/>
        <v>N/A</v>
      </c>
      <c r="DE290" s="211" t="str">
        <f t="shared" si="155"/>
        <v>N/A</v>
      </c>
      <c r="DF290" s="211" t="str">
        <f t="shared" si="156"/>
        <v>N/A</v>
      </c>
    </row>
    <row r="291" spans="1:110" ht="64.5" customHeight="1">
      <c r="A291" s="349" t="s">
        <v>190</v>
      </c>
      <c r="B291" s="209" t="s">
        <v>146</v>
      </c>
      <c r="C291" s="209" t="s">
        <v>236</v>
      </c>
      <c r="D291" s="209" t="s">
        <v>372</v>
      </c>
      <c r="E291" s="209" t="s">
        <v>373</v>
      </c>
      <c r="F291" s="349" t="s">
        <v>374</v>
      </c>
      <c r="G291" s="209" t="s">
        <v>2806</v>
      </c>
      <c r="H291" s="243">
        <v>2</v>
      </c>
      <c r="I291" s="323">
        <v>6</v>
      </c>
      <c r="J291" s="323">
        <v>6</v>
      </c>
      <c r="K291" s="290">
        <v>0.75</v>
      </c>
      <c r="L291" s="209" t="s">
        <v>3136</v>
      </c>
      <c r="M291" s="209" t="b">
        <v>0</v>
      </c>
      <c r="O291" s="209" t="s">
        <v>2832</v>
      </c>
      <c r="P291" s="209" t="s">
        <v>159</v>
      </c>
      <c r="Q291" s="209" t="s">
        <v>160</v>
      </c>
      <c r="T291" s="269"/>
      <c r="AJ291" s="269"/>
      <c r="CO291" s="209" t="s">
        <v>190</v>
      </c>
      <c r="CP291" s="209" t="s">
        <v>146</v>
      </c>
      <c r="CQ291" s="209" t="s">
        <v>236</v>
      </c>
      <c r="CR291" s="209" t="s">
        <v>372</v>
      </c>
      <c r="CS291" s="209" t="s">
        <v>3136</v>
      </c>
      <c r="CT291" s="209" t="s">
        <v>236</v>
      </c>
      <c r="CU291" s="211" t="str">
        <f t="shared" si="145"/>
        <v>N/A</v>
      </c>
      <c r="CV291" s="211" t="str">
        <f t="shared" si="146"/>
        <v>N/A</v>
      </c>
      <c r="CW291" s="211" t="str">
        <f t="shared" si="147"/>
        <v>N/A</v>
      </c>
      <c r="CX291" s="211" t="str">
        <f t="shared" si="148"/>
        <v>N/A</v>
      </c>
      <c r="CY291" s="211" t="str">
        <f t="shared" si="149"/>
        <v>N/A</v>
      </c>
      <c r="CZ291" s="211" t="str">
        <f t="shared" si="150"/>
        <v>N/A</v>
      </c>
      <c r="DA291" s="211" t="str">
        <f t="shared" si="151"/>
        <v>N/A</v>
      </c>
      <c r="DB291" s="211" t="str">
        <f t="shared" si="152"/>
        <v>N/A</v>
      </c>
      <c r="DC291" s="211" t="str">
        <f t="shared" si="153"/>
        <v xml:space="preserve">Durante el tercer trimestre, el grupo de Recursos de la Dirección Administrativa, adscrito a la Secretaría General, adelantó las siguientes acciones orientadas al fortalecimiento del cuidado y control de los bienes públicos:
Socialización institucional: Se realizó una socialización mediante correo electrónico, a todos los funcionarios de la Superintendencia Nacional de Salud, enfocada en la promoción del cuidado de los bienes públicos y la responsabilidad que implica su uso adecuado.
 Adjunto: “Cuidemos los bienes públicos.pdf”
Sensibilización específica: Se llevaron a cabo sesiones de capacitación dirigidas a funcionarios y contratistas con bienes asignados por la entidad, abordando el uso responsable de estos activos y el manejo del aplicativo “Aplica”.
 Adjunto: “Capacitación a funcionarios de Almacén y Funcionarios SNS.pdf”
Estas actividades contribuyen al fortalecimiento de la cultura institucional en torno al uso responsable de los bienes públicos, promoviendo el conocimiento y cumplimiento de las obligaciones por parte de los servidores públicos y contratistas.
</v>
      </c>
      <c r="DD291" s="211" t="str">
        <f t="shared" si="154"/>
        <v>N/A</v>
      </c>
      <c r="DE291" s="211" t="str">
        <f t="shared" si="155"/>
        <v>N/A</v>
      </c>
      <c r="DF291" s="211" t="str">
        <f t="shared" si="156"/>
        <v>N/A</v>
      </c>
    </row>
    <row r="292" spans="1:110" ht="64.5" customHeight="1">
      <c r="A292" s="349" t="s">
        <v>190</v>
      </c>
      <c r="B292" s="209" t="s">
        <v>146</v>
      </c>
      <c r="C292" s="209" t="s">
        <v>498</v>
      </c>
      <c r="D292" s="209" t="s">
        <v>499</v>
      </c>
      <c r="E292" s="209" t="s">
        <v>500</v>
      </c>
      <c r="F292" s="349" t="s">
        <v>501</v>
      </c>
      <c r="G292" s="209" t="s">
        <v>178</v>
      </c>
      <c r="H292" s="243">
        <v>14</v>
      </c>
      <c r="I292" s="323">
        <v>10</v>
      </c>
      <c r="J292" s="323">
        <v>12</v>
      </c>
      <c r="K292" s="290">
        <v>0.83333333333333304</v>
      </c>
      <c r="L292" s="209" t="s">
        <v>3137</v>
      </c>
      <c r="M292" s="209" t="b">
        <v>0</v>
      </c>
      <c r="O292" s="209" t="s">
        <v>2832</v>
      </c>
      <c r="P292" s="209" t="s">
        <v>159</v>
      </c>
      <c r="Q292" s="209" t="s">
        <v>160</v>
      </c>
      <c r="T292" s="269"/>
      <c r="AJ292" s="269"/>
      <c r="CO292" s="209" t="s">
        <v>190</v>
      </c>
      <c r="CP292" s="209" t="s">
        <v>146</v>
      </c>
      <c r="CQ292" s="209" t="s">
        <v>498</v>
      </c>
      <c r="CR292" s="209" t="s">
        <v>499</v>
      </c>
      <c r="CS292" s="209" t="s">
        <v>3137</v>
      </c>
      <c r="CT292" s="209" t="s">
        <v>498</v>
      </c>
      <c r="CU292" s="211" t="str">
        <f t="shared" si="145"/>
        <v>N/A</v>
      </c>
      <c r="CV292" s="211" t="str">
        <f t="shared" si="146"/>
        <v>N/A</v>
      </c>
      <c r="CW292" s="211" t="str">
        <f t="shared" si="147"/>
        <v>N/A</v>
      </c>
      <c r="CX292" s="211" t="str">
        <f t="shared" si="148"/>
        <v>N/A</v>
      </c>
      <c r="CY292" s="211" t="str">
        <f t="shared" si="149"/>
        <v>N/A</v>
      </c>
      <c r="CZ292" s="211" t="str">
        <f t="shared" si="150"/>
        <v>N/A</v>
      </c>
      <c r="DA292" s="211" t="str">
        <f t="shared" si="151"/>
        <v>N/A</v>
      </c>
      <c r="DB292" s="211" t="str">
        <f t="shared" si="152"/>
        <v>N/A</v>
      </c>
      <c r="DC292" s="211" t="str">
        <f t="shared" si="153"/>
        <v xml:space="preserve">La Dirección de Talento Humano informa que, durante el tercer trimestre del año, se tenía programada la ejecución de 12 actividades. Sin embargo, se llevaron a cabo únicamente 10, lo que representa un avance del 83,33% frente a la meta establecida.
El incumplimiento del 100% de la programación se debió a la no ejecucion de las siguentes actividades:
Simulacro de evacuación: No fue posible realizar esta actividad debido a la contingencia generada por el proceso de provisión de empleos, derivado de la conformación de listas de elegibles. Esta situación impidió contar con el equipo de brigadistas necesario para su desarrollo.Mediciones higiénicas (iluminación, temperatura y ruido): No se ejecutaron las mediciones en la sede central ni en las regionales, conforme a la Matriz IPVRDC, ya que no se logró contratar el proveedor por parte de la ARL para realizar dichas mediciones en las sedes regionales.
En consecuencia, se informa que el 16,67% restante de las actividades programadas será ejecutado durante el último trimestre del año 2025.
</v>
      </c>
      <c r="DD292" s="211" t="str">
        <f t="shared" si="154"/>
        <v>N/A</v>
      </c>
      <c r="DE292" s="211" t="str">
        <f t="shared" si="155"/>
        <v>N/A</v>
      </c>
      <c r="DF292" s="211" t="str">
        <f t="shared" si="156"/>
        <v>N/A</v>
      </c>
    </row>
    <row r="293" spans="1:110" ht="64.5" customHeight="1">
      <c r="A293" s="349" t="s">
        <v>190</v>
      </c>
      <c r="B293" s="209" t="s">
        <v>146</v>
      </c>
      <c r="C293" s="209" t="s">
        <v>486</v>
      </c>
      <c r="D293" s="209" t="s">
        <v>487</v>
      </c>
      <c r="E293" s="209" t="s">
        <v>488</v>
      </c>
      <c r="F293" s="349" t="s">
        <v>489</v>
      </c>
      <c r="G293" s="209" t="s">
        <v>178</v>
      </c>
      <c r="H293" s="243">
        <v>1</v>
      </c>
      <c r="I293" s="323">
        <v>1</v>
      </c>
      <c r="J293" s="323">
        <v>1</v>
      </c>
      <c r="K293" s="290">
        <v>1</v>
      </c>
      <c r="L293" s="209" t="s">
        <v>2918</v>
      </c>
      <c r="M293" s="209" t="b">
        <v>0</v>
      </c>
      <c r="O293" s="209" t="s">
        <v>2832</v>
      </c>
      <c r="P293" s="209" t="s">
        <v>159</v>
      </c>
      <c r="Q293" s="209" t="s">
        <v>160</v>
      </c>
      <c r="T293" s="269"/>
      <c r="AJ293" s="269"/>
      <c r="CO293" s="209" t="s">
        <v>190</v>
      </c>
      <c r="CP293" s="209" t="s">
        <v>146</v>
      </c>
      <c r="CQ293" s="209" t="s">
        <v>486</v>
      </c>
      <c r="CR293" s="209" t="s">
        <v>487</v>
      </c>
      <c r="CS293" s="209" t="s">
        <v>2918</v>
      </c>
      <c r="CT293" s="209" t="s">
        <v>486</v>
      </c>
      <c r="CU293" s="211" t="str">
        <f t="shared" si="145"/>
        <v>N/A</v>
      </c>
      <c r="CV293" s="211" t="str">
        <f t="shared" si="146"/>
        <v>N/A</v>
      </c>
      <c r="CW293" s="211" t="str">
        <f t="shared" si="147"/>
        <v>N/A</v>
      </c>
      <c r="CX293" s="211" t="str">
        <f t="shared" si="148"/>
        <v>N/A</v>
      </c>
      <c r="CY293" s="211" t="str">
        <f t="shared" si="149"/>
        <v>N/A</v>
      </c>
      <c r="CZ293" s="211" t="str">
        <f t="shared" si="150"/>
        <v>N/A</v>
      </c>
      <c r="DA293" s="211" t="str">
        <f t="shared" si="151"/>
        <v>N/A</v>
      </c>
      <c r="DB293" s="211" t="str">
        <f t="shared" si="152"/>
        <v>N/A</v>
      </c>
      <c r="DC293" s="211" t="str">
        <f t="shared" si="153"/>
        <v xml:space="preserve">La Dirección de Talento Humano informa que, durante el tercer trimestre del año, se tenía programada una actividad en el Plan Institucional de Capacitación, la cual fue ejecutada. Esto representa un avance del 100% respecto a la meta establecida para el periodo.
</v>
      </c>
      <c r="DD293" s="211" t="str">
        <f t="shared" si="154"/>
        <v>N/A</v>
      </c>
      <c r="DE293" s="211" t="str">
        <f t="shared" si="155"/>
        <v>N/A</v>
      </c>
      <c r="DF293" s="211" t="str">
        <f t="shared" si="156"/>
        <v>N/A</v>
      </c>
    </row>
    <row r="294" spans="1:110" ht="64.5" customHeight="1">
      <c r="A294" s="349" t="s">
        <v>190</v>
      </c>
      <c r="B294" s="209" t="s">
        <v>146</v>
      </c>
      <c r="C294" s="209" t="s">
        <v>503</v>
      </c>
      <c r="D294" s="209" t="s">
        <v>504</v>
      </c>
      <c r="E294" s="209" t="s">
        <v>505</v>
      </c>
      <c r="F294" s="349" t="s">
        <v>506</v>
      </c>
      <c r="G294" s="209" t="s">
        <v>178</v>
      </c>
      <c r="H294" s="243">
        <v>2</v>
      </c>
      <c r="I294" s="323">
        <v>2</v>
      </c>
      <c r="J294" s="323">
        <v>2</v>
      </c>
      <c r="K294" s="288">
        <v>1</v>
      </c>
      <c r="L294" s="209" t="s">
        <v>2951</v>
      </c>
      <c r="M294" s="209" t="b">
        <v>0</v>
      </c>
      <c r="O294" s="209" t="s">
        <v>2832</v>
      </c>
      <c r="P294" s="209" t="s">
        <v>159</v>
      </c>
      <c r="Q294" s="209" t="s">
        <v>160</v>
      </c>
      <c r="T294" s="269"/>
      <c r="AJ294" s="269"/>
      <c r="CO294" s="209" t="s">
        <v>190</v>
      </c>
      <c r="CP294" s="209" t="s">
        <v>146</v>
      </c>
      <c r="CQ294" s="209" t="s">
        <v>503</v>
      </c>
      <c r="CR294" s="209" t="s">
        <v>504</v>
      </c>
      <c r="CS294" s="209" t="s">
        <v>2951</v>
      </c>
      <c r="CT294" s="209" t="s">
        <v>503</v>
      </c>
      <c r="CU294" s="211" t="str">
        <f t="shared" si="145"/>
        <v>N/A</v>
      </c>
      <c r="CV294" s="211" t="str">
        <f t="shared" si="146"/>
        <v>N/A</v>
      </c>
      <c r="CW294" s="211" t="str">
        <f t="shared" si="147"/>
        <v>N/A</v>
      </c>
      <c r="CX294" s="211" t="str">
        <f t="shared" si="148"/>
        <v>N/A</v>
      </c>
      <c r="CY294" s="211" t="str">
        <f t="shared" si="149"/>
        <v>N/A</v>
      </c>
      <c r="CZ294" s="211" t="str">
        <f t="shared" si="150"/>
        <v>N/A</v>
      </c>
      <c r="DA294" s="211" t="str">
        <f t="shared" si="151"/>
        <v>N/A</v>
      </c>
      <c r="DB294" s="211" t="str">
        <f t="shared" si="152"/>
        <v>N/A</v>
      </c>
      <c r="DC294" s="211" t="str">
        <f t="shared" si="153"/>
        <v xml:space="preserve">​La Dirección de Talento Humano informa que, durante el tercer trimestre del año, se tenía programada la ejecución de 2 actividades en el PAG, relacionadas con el tema de integridad. Sin embargo, en el Cronograma del Programa de Transparencia y Ética Publica se observan 3 actividades. Por ende; se ejecutaron 2 actividades totalmente y 1 parcialmente, lo que representa una sobre ejecución del 125% frente a la meta establecida.
La actividad que se ejecutó parcialmente se cumplirá al 100% en el cuatro trimestre, en motivo a que el día 18 de septiembre de 2025, se realizó el envío de una comunicación oficial bajo el radicado número 20259100002132961 al Departamento Administrativo de la Función Pública, con el fin de solicitar el acceso a las declaraciones de bienes y rentas de los servidores públicos vinculados a la Superintendencia Nacional de Salud. Sin embargo, y a la fecha la DTH no ha recibido respuesta por parte del DAFP para realizar el informe compilatorio de la información contenida en las declaraciones de bienes y rentas de los funcionarios de la entidad.
</v>
      </c>
      <c r="DD294" s="211" t="str">
        <f t="shared" si="154"/>
        <v>N/A</v>
      </c>
      <c r="DE294" s="211" t="str">
        <f t="shared" si="155"/>
        <v>N/A</v>
      </c>
      <c r="DF294" s="211" t="str">
        <f t="shared" si="156"/>
        <v>N/A</v>
      </c>
    </row>
    <row r="295" spans="1:110" ht="64.5" customHeight="1">
      <c r="A295" s="349" t="s">
        <v>190</v>
      </c>
      <c r="B295" s="209" t="s">
        <v>146</v>
      </c>
      <c r="C295" s="209" t="s">
        <v>492</v>
      </c>
      <c r="D295" s="209" t="s">
        <v>493</v>
      </c>
      <c r="E295" s="209" t="s">
        <v>494</v>
      </c>
      <c r="F295" s="349" t="s">
        <v>495</v>
      </c>
      <c r="G295" s="209" t="s">
        <v>178</v>
      </c>
      <c r="H295" s="243">
        <v>23</v>
      </c>
      <c r="I295" s="323">
        <v>11</v>
      </c>
      <c r="J295" s="323">
        <v>11</v>
      </c>
      <c r="K295" s="290">
        <v>1</v>
      </c>
      <c r="L295" s="209" t="s">
        <v>2919</v>
      </c>
      <c r="M295" s="209" t="b">
        <v>0</v>
      </c>
      <c r="O295" s="209" t="s">
        <v>2832</v>
      </c>
      <c r="P295" s="209" t="s">
        <v>159</v>
      </c>
      <c r="Q295" s="209" t="s">
        <v>160</v>
      </c>
      <c r="T295" s="269"/>
      <c r="AJ295" s="269"/>
      <c r="CO295" s="209" t="s">
        <v>190</v>
      </c>
      <c r="CP295" s="209" t="s">
        <v>146</v>
      </c>
      <c r="CQ295" s="209" t="s">
        <v>492</v>
      </c>
      <c r="CR295" s="209" t="s">
        <v>493</v>
      </c>
      <c r="CS295" s="209" t="s">
        <v>2919</v>
      </c>
      <c r="CT295" s="209" t="s">
        <v>492</v>
      </c>
      <c r="CU295" s="211" t="str">
        <f t="shared" si="145"/>
        <v>N/A</v>
      </c>
      <c r="CV295" s="211" t="str">
        <f t="shared" si="146"/>
        <v>N/A</v>
      </c>
      <c r="CW295" s="211" t="str">
        <f t="shared" si="147"/>
        <v>N/A</v>
      </c>
      <c r="CX295" s="211" t="str">
        <f t="shared" si="148"/>
        <v>N/A</v>
      </c>
      <c r="CY295" s="211" t="str">
        <f t="shared" si="149"/>
        <v>N/A</v>
      </c>
      <c r="CZ295" s="211" t="str">
        <f t="shared" si="150"/>
        <v>N/A</v>
      </c>
      <c r="DA295" s="211" t="str">
        <f t="shared" si="151"/>
        <v>N/A</v>
      </c>
      <c r="DB295" s="211" t="str">
        <f t="shared" si="152"/>
        <v>N/A</v>
      </c>
      <c r="DC295" s="211" t="str">
        <f t="shared" si="153"/>
        <v xml:space="preserve">​La Dirección de Talento Humano informa que, durante el tercer trimestre del año, se tenían programadas once actividades en el Plan Institucional de Capacitación, las cuales fueron ejecutadas. Esto representa un avance del 100% respecto a la meta establecida para el periodo.
</v>
      </c>
      <c r="DD295" s="211" t="str">
        <f t="shared" si="154"/>
        <v>N/A</v>
      </c>
      <c r="DE295" s="211" t="str">
        <f t="shared" si="155"/>
        <v>N/A</v>
      </c>
      <c r="DF295" s="211" t="str">
        <f t="shared" si="156"/>
        <v>N/A</v>
      </c>
    </row>
    <row r="296" spans="1:110" ht="64.5" customHeight="1">
      <c r="A296" s="349" t="s">
        <v>190</v>
      </c>
      <c r="B296" s="209" t="s">
        <v>146</v>
      </c>
      <c r="C296" s="209" t="s">
        <v>480</v>
      </c>
      <c r="D296" s="209" t="s">
        <v>481</v>
      </c>
      <c r="E296" s="209" t="s">
        <v>482</v>
      </c>
      <c r="F296" s="349" t="s">
        <v>483</v>
      </c>
      <c r="G296" s="209" t="s">
        <v>178</v>
      </c>
      <c r="H296" s="243">
        <v>11</v>
      </c>
      <c r="I296" s="323">
        <v>11</v>
      </c>
      <c r="J296" s="323">
        <v>11</v>
      </c>
      <c r="K296" s="290">
        <v>1</v>
      </c>
      <c r="L296" s="209" t="s">
        <v>2920</v>
      </c>
      <c r="M296" s="209" t="b">
        <v>0</v>
      </c>
      <c r="O296" s="209" t="s">
        <v>2832</v>
      </c>
      <c r="P296" s="209" t="s">
        <v>159</v>
      </c>
      <c r="Q296" s="209" t="s">
        <v>160</v>
      </c>
      <c r="T296" s="269"/>
      <c r="AJ296" s="269"/>
      <c r="CO296" s="209" t="s">
        <v>190</v>
      </c>
      <c r="CP296" s="209" t="s">
        <v>146</v>
      </c>
      <c r="CQ296" s="209" t="s">
        <v>480</v>
      </c>
      <c r="CR296" s="209" t="s">
        <v>481</v>
      </c>
      <c r="CS296" s="209" t="s">
        <v>2920</v>
      </c>
      <c r="CT296" s="209" t="s">
        <v>480</v>
      </c>
      <c r="CU296" s="211" t="str">
        <f t="shared" si="145"/>
        <v>N/A</v>
      </c>
      <c r="CV296" s="211" t="str">
        <f t="shared" si="146"/>
        <v>N/A</v>
      </c>
      <c r="CW296" s="211" t="str">
        <f t="shared" si="147"/>
        <v>N/A</v>
      </c>
      <c r="CX296" s="211" t="str">
        <f t="shared" si="148"/>
        <v>N/A</v>
      </c>
      <c r="CY296" s="211" t="str">
        <f t="shared" si="149"/>
        <v>N/A</v>
      </c>
      <c r="CZ296" s="211" t="str">
        <f t="shared" si="150"/>
        <v>N/A</v>
      </c>
      <c r="DA296" s="211" t="str">
        <f t="shared" si="151"/>
        <v>N/A</v>
      </c>
      <c r="DB296" s="211" t="str">
        <f t="shared" si="152"/>
        <v>N/A</v>
      </c>
      <c r="DC296" s="211" t="str">
        <f t="shared" si="153"/>
        <v xml:space="preserve">​La Dirección de Talento Humano informa que, durante el tercer trimestre del año, se tenían programadas once actividades en el Plan Estrataegico de Talento Humano, las cuales fueron ejecutadas. Esto representa un avance del 100% respecto a la meta establecida para el periodo.
</v>
      </c>
      <c r="DD296" s="211" t="str">
        <f t="shared" si="154"/>
        <v>N/A</v>
      </c>
      <c r="DE296" s="211" t="str">
        <f t="shared" si="155"/>
        <v>N/A</v>
      </c>
      <c r="DF296" s="211" t="str">
        <f t="shared" si="156"/>
        <v>N/A</v>
      </c>
    </row>
    <row r="297" spans="1:110" ht="64.5" customHeight="1">
      <c r="A297" s="349" t="s">
        <v>190</v>
      </c>
      <c r="B297" s="209" t="s">
        <v>146</v>
      </c>
      <c r="C297" s="209" t="s">
        <v>398</v>
      </c>
      <c r="D297" s="209" t="s">
        <v>399</v>
      </c>
      <c r="E297" s="209" t="s">
        <v>400</v>
      </c>
      <c r="F297" s="349" t="s">
        <v>401</v>
      </c>
      <c r="G297" s="209" t="s">
        <v>178</v>
      </c>
      <c r="H297" s="243">
        <v>0.98</v>
      </c>
      <c r="I297" s="323">
        <v>151444</v>
      </c>
      <c r="J297" s="323">
        <v>153689</v>
      </c>
      <c r="K297" s="290">
        <v>0.98539257851895701</v>
      </c>
      <c r="L297" s="209" t="s">
        <v>2921</v>
      </c>
      <c r="M297" s="209" t="b">
        <v>0</v>
      </c>
      <c r="O297" s="209" t="s">
        <v>2832</v>
      </c>
      <c r="P297" s="209" t="s">
        <v>159</v>
      </c>
      <c r="Q297" s="209" t="s">
        <v>160</v>
      </c>
      <c r="T297" s="269"/>
      <c r="AJ297" s="269"/>
      <c r="CO297" s="209" t="s">
        <v>190</v>
      </c>
      <c r="CP297" s="209" t="s">
        <v>146</v>
      </c>
      <c r="CQ297" s="209" t="s">
        <v>398</v>
      </c>
      <c r="CR297" s="209" t="s">
        <v>399</v>
      </c>
      <c r="CS297" s="209" t="s">
        <v>2921</v>
      </c>
      <c r="CT297" s="209" t="s">
        <v>398</v>
      </c>
      <c r="CU297" s="211" t="str">
        <f t="shared" si="145"/>
        <v>N/A</v>
      </c>
      <c r="CV297" s="211" t="str">
        <f t="shared" si="146"/>
        <v>N/A</v>
      </c>
      <c r="CW297" s="211" t="str">
        <f t="shared" si="147"/>
        <v>N/A</v>
      </c>
      <c r="CX297" s="211" t="str">
        <f t="shared" si="148"/>
        <v>N/A</v>
      </c>
      <c r="CY297" s="211" t="str">
        <f t="shared" si="149"/>
        <v>N/A</v>
      </c>
      <c r="CZ297" s="211" t="str">
        <f t="shared" si="150"/>
        <v>N/A</v>
      </c>
      <c r="DA297" s="211" t="str">
        <f t="shared" si="151"/>
        <v>N/A</v>
      </c>
      <c r="DB297" s="211" t="str">
        <f t="shared" si="152"/>
        <v>N/A</v>
      </c>
      <c r="DC297" s="211" t="str">
        <f t="shared" si="153"/>
        <v xml:space="preserve">​En el trimestre se mantuvieron los siguientes valores en cantidades base (Denominador) Julio 56.222, Agosto 44.397 y Septiembre 53.070, para un total de153.689 con los correspondientes hallazgos: julio: 1471, Agosto: 71, Septiembre 703, estos representan un 1.47% del total procesado, sin embargo se generó un plan de calidad basado en el análisis de los hallazgos, el cual se aplicará en el tercer trimestre con el objetivo de mitigar la cantidad de hallazgos. Se aclara que los valores son calculados sobre validación de una muestra y cuyos resultados son proyectados al total del universo. Cumplimiento final 98.54%
</v>
      </c>
      <c r="DD297" s="211" t="str">
        <f t="shared" si="154"/>
        <v>N/A</v>
      </c>
      <c r="DE297" s="211" t="str">
        <f t="shared" si="155"/>
        <v>N/A</v>
      </c>
      <c r="DF297" s="211" t="str">
        <f t="shared" si="156"/>
        <v>N/A</v>
      </c>
    </row>
    <row r="298" spans="1:110" ht="64.5" customHeight="1">
      <c r="A298" s="349" t="s">
        <v>190</v>
      </c>
      <c r="B298" s="209" t="s">
        <v>146</v>
      </c>
      <c r="C298" s="209" t="s">
        <v>403</v>
      </c>
      <c r="D298" s="209" t="s">
        <v>404</v>
      </c>
      <c r="E298" s="209" t="s">
        <v>405</v>
      </c>
      <c r="F298" s="349" t="s">
        <v>406</v>
      </c>
      <c r="G298" s="209" t="s">
        <v>2807</v>
      </c>
      <c r="H298" s="243">
        <v>0.99870000000000003</v>
      </c>
      <c r="I298" s="323">
        <v>153650</v>
      </c>
      <c r="J298" s="323">
        <v>153689</v>
      </c>
      <c r="K298" s="290">
        <v>0.99974624078496199</v>
      </c>
      <c r="L298" s="209" t="s">
        <v>2922</v>
      </c>
      <c r="M298" s="209" t="b">
        <v>0</v>
      </c>
      <c r="O298" s="209" t="s">
        <v>2832</v>
      </c>
      <c r="P298" s="209" t="s">
        <v>159</v>
      </c>
      <c r="Q298" s="209" t="s">
        <v>160</v>
      </c>
      <c r="T298" s="269"/>
      <c r="AJ298" s="269"/>
      <c r="CO298" s="209" t="s">
        <v>190</v>
      </c>
      <c r="CP298" s="209" t="s">
        <v>146</v>
      </c>
      <c r="CQ298" s="209" t="s">
        <v>403</v>
      </c>
      <c r="CR298" s="209" t="s">
        <v>404</v>
      </c>
      <c r="CS298" s="209" t="s">
        <v>2922</v>
      </c>
      <c r="CT298" s="209" t="s">
        <v>403</v>
      </c>
      <c r="CU298" s="211" t="str">
        <f t="shared" si="145"/>
        <v>N/A</v>
      </c>
      <c r="CV298" s="211" t="str">
        <f t="shared" si="146"/>
        <v>N/A</v>
      </c>
      <c r="CW298" s="211" t="str">
        <f t="shared" si="147"/>
        <v>N/A</v>
      </c>
      <c r="CX298" s="211" t="str">
        <f t="shared" si="148"/>
        <v>N/A</v>
      </c>
      <c r="CY298" s="211" t="str">
        <f t="shared" si="149"/>
        <v>N/A</v>
      </c>
      <c r="CZ298" s="211" t="str">
        <f t="shared" si="150"/>
        <v>N/A</v>
      </c>
      <c r="DA298" s="211" t="str">
        <f t="shared" si="151"/>
        <v>N/A</v>
      </c>
      <c r="DB298" s="211" t="str">
        <f t="shared" si="152"/>
        <v>N/A</v>
      </c>
      <c r="DC298" s="211" t="str">
        <f t="shared" si="153"/>
        <v xml:space="preserve">En el trimestre se mantuvieron los siguientes valores en cantidades base (Denominador) Julio 56.222, Agosto 44.397 y Septiembre 53.070, para un total de 153.689 con los correspondientes hallazgos: julio: 17, Agosto: 6, Septiembre 16, estos representan un 0.03% del total procesado, sin embargo se realizó el análisis de los hallazgos, y se elaborará un plan de calidad específico, el cual se aplicará en el tercer trimestre con el objetivo de mitigar la cantidad de hallazgos. Se evidencia cumplimiento final de 99.97%
</v>
      </c>
      <c r="DD298" s="211" t="str">
        <f t="shared" si="154"/>
        <v>N/A</v>
      </c>
      <c r="DE298" s="211" t="str">
        <f t="shared" si="155"/>
        <v>N/A</v>
      </c>
      <c r="DF298" s="211" t="str">
        <f t="shared" si="156"/>
        <v>N/A</v>
      </c>
    </row>
    <row r="299" spans="1:110" ht="64.5" customHeight="1">
      <c r="A299" s="349" t="s">
        <v>190</v>
      </c>
      <c r="B299" s="209" t="s">
        <v>146</v>
      </c>
      <c r="C299" s="209" t="s">
        <v>408</v>
      </c>
      <c r="D299" s="209" t="s">
        <v>409</v>
      </c>
      <c r="E299" s="209" t="s">
        <v>410</v>
      </c>
      <c r="F299" s="349" t="s">
        <v>411</v>
      </c>
      <c r="G299" s="209" t="s">
        <v>157</v>
      </c>
      <c r="H299" s="243">
        <v>3</v>
      </c>
      <c r="I299" s="323">
        <v>3</v>
      </c>
      <c r="J299" s="323">
        <v>3</v>
      </c>
      <c r="K299" s="290">
        <v>1</v>
      </c>
      <c r="L299" s="209" t="s">
        <v>2923</v>
      </c>
      <c r="M299" s="209" t="b">
        <v>0</v>
      </c>
      <c r="O299" s="209" t="s">
        <v>2832</v>
      </c>
      <c r="P299" s="209" t="s">
        <v>159</v>
      </c>
      <c r="Q299" s="209" t="s">
        <v>160</v>
      </c>
      <c r="T299" s="269"/>
      <c r="AJ299" s="269"/>
      <c r="CO299" s="209" t="s">
        <v>190</v>
      </c>
      <c r="CP299" s="209" t="s">
        <v>146</v>
      </c>
      <c r="CQ299" s="209" t="s">
        <v>408</v>
      </c>
      <c r="CR299" s="209" t="s">
        <v>409</v>
      </c>
      <c r="CS299" s="209" t="s">
        <v>2923</v>
      </c>
      <c r="CT299" s="209" t="s">
        <v>408</v>
      </c>
      <c r="CU299" s="211" t="str">
        <f t="shared" si="145"/>
        <v>N/A</v>
      </c>
      <c r="CV299" s="211" t="str">
        <f t="shared" si="146"/>
        <v>N/A</v>
      </c>
      <c r="CW299" s="211" t="str">
        <f t="shared" si="147"/>
        <v>N/A</v>
      </c>
      <c r="CX299" s="211" t="str">
        <f t="shared" si="148"/>
        <v>N/A</v>
      </c>
      <c r="CY299" s="211" t="str">
        <f t="shared" si="149"/>
        <v>N/A</v>
      </c>
      <c r="CZ299" s="211" t="str">
        <f t="shared" si="150"/>
        <v>N/A</v>
      </c>
      <c r="DA299" s="211" t="str">
        <f t="shared" si="151"/>
        <v>N/A</v>
      </c>
      <c r="DB299" s="211" t="str">
        <f t="shared" si="152"/>
        <v>N/A</v>
      </c>
      <c r="DC299" s="211" t="str">
        <f t="shared" si="153"/>
        <v xml:space="preserve">​Para el trimestre reportado (Julio a Septiembre de 2025) se publicaron a través de los canales oficiales de Supersalud 3 piezas de comunicación con temáticas propias de los procesos del Grupo Interno de Trabajo de Correspondencia, los cuales mostraron un impacto positivo. Cumplimiento final 100%
</v>
      </c>
      <c r="DD299" s="211" t="str">
        <f t="shared" si="154"/>
        <v>N/A</v>
      </c>
      <c r="DE299" s="211" t="str">
        <f t="shared" si="155"/>
        <v>N/A</v>
      </c>
      <c r="DF299" s="211" t="str">
        <f t="shared" si="156"/>
        <v>N/A</v>
      </c>
    </row>
    <row r="300" spans="1:110" ht="64.5" customHeight="1">
      <c r="A300" s="349" t="s">
        <v>190</v>
      </c>
      <c r="B300" s="209" t="s">
        <v>146</v>
      </c>
      <c r="C300" s="209" t="s">
        <v>381</v>
      </c>
      <c r="D300" s="209" t="s">
        <v>382</v>
      </c>
      <c r="E300" s="209" t="s">
        <v>383</v>
      </c>
      <c r="F300" s="349" t="s">
        <v>384</v>
      </c>
      <c r="G300" s="209" t="s">
        <v>178</v>
      </c>
      <c r="H300" s="243">
        <v>14</v>
      </c>
      <c r="I300" s="323">
        <v>13</v>
      </c>
      <c r="J300" s="323">
        <v>13</v>
      </c>
      <c r="K300" s="290">
        <v>1</v>
      </c>
      <c r="L300" s="209" t="s">
        <v>2924</v>
      </c>
      <c r="M300" s="209" t="b">
        <v>1</v>
      </c>
      <c r="N300" s="209" t="s">
        <v>2925</v>
      </c>
      <c r="O300" s="209" t="s">
        <v>2832</v>
      </c>
      <c r="P300" s="209" t="s">
        <v>159</v>
      </c>
      <c r="Q300" s="209" t="s">
        <v>160</v>
      </c>
      <c r="T300" s="269"/>
      <c r="AJ300" s="269"/>
      <c r="CO300" s="209" t="s">
        <v>190</v>
      </c>
      <c r="CP300" s="209" t="s">
        <v>146</v>
      </c>
      <c r="CQ300" s="209" t="s">
        <v>381</v>
      </c>
      <c r="CR300" s="209" t="s">
        <v>382</v>
      </c>
      <c r="CS300" s="209" t="s">
        <v>2924</v>
      </c>
      <c r="CT300" s="209" t="s">
        <v>381</v>
      </c>
      <c r="CU300" s="211" t="str">
        <f t="shared" si="145"/>
        <v>N/A</v>
      </c>
      <c r="CV300" s="211" t="str">
        <f t="shared" si="146"/>
        <v>N/A</v>
      </c>
      <c r="CW300" s="211" t="str">
        <f t="shared" si="147"/>
        <v>N/A</v>
      </c>
      <c r="CX300" s="211" t="str">
        <f t="shared" si="148"/>
        <v>N/A</v>
      </c>
      <c r="CY300" s="211" t="str">
        <f t="shared" si="149"/>
        <v>N/A</v>
      </c>
      <c r="CZ300" s="211" t="str">
        <f t="shared" si="150"/>
        <v>N/A</v>
      </c>
      <c r="DA300" s="211" t="str">
        <f t="shared" si="151"/>
        <v>N/A</v>
      </c>
      <c r="DB300" s="211" t="str">
        <f t="shared" si="152"/>
        <v>N/A</v>
      </c>
      <c r="DC300" s="211" t="str">
        <f t="shared" si="153"/>
        <v xml:space="preserve">​Observamos que, para el tercer trimestre de 2025, el Indicador DI28 Nivel de madurez de acuerdo con la matriz de cumplimiento del MGDA, alcanzó un cumplimiento satisfactorio del 100% con la ejecución de 13 actividades, llegando a un avance consolidado del 77%, con un total acumulado de 40 actividades cumplidas. Las actividades desarrolladas han contribuido al fortalecimiento en el desarrollo de la política de gestión documental y en el incremento de la aplicación de los componentes del Modelo de Gestión Documental y Administración de Archivos, alineándolos con el Ciclo Vital del Documento.
</v>
      </c>
      <c r="DD300" s="211" t="str">
        <f t="shared" si="154"/>
        <v>N/A</v>
      </c>
      <c r="DE300" s="211" t="str">
        <f t="shared" si="155"/>
        <v>N/A</v>
      </c>
      <c r="DF300" s="211" t="str">
        <f t="shared" si="156"/>
        <v>N/A</v>
      </c>
    </row>
    <row r="301" spans="1:110" ht="64.5" customHeight="1">
      <c r="A301" s="349" t="s">
        <v>190</v>
      </c>
      <c r="B301" s="209" t="s">
        <v>146</v>
      </c>
      <c r="C301" s="209" t="s">
        <v>216</v>
      </c>
      <c r="D301" s="209" t="s">
        <v>217</v>
      </c>
      <c r="E301" s="209" t="s">
        <v>218</v>
      </c>
      <c r="F301" s="349" t="s">
        <v>219</v>
      </c>
      <c r="G301" s="209" t="s">
        <v>178</v>
      </c>
      <c r="H301" s="243">
        <v>1</v>
      </c>
      <c r="I301" s="324">
        <v>436</v>
      </c>
      <c r="J301" s="325">
        <v>436</v>
      </c>
      <c r="K301" s="290">
        <v>1</v>
      </c>
      <c r="L301" s="209" t="s">
        <v>2926</v>
      </c>
      <c r="M301" s="209" t="b">
        <v>0</v>
      </c>
      <c r="O301" s="209" t="s">
        <v>2832</v>
      </c>
      <c r="P301" s="209" t="s">
        <v>159</v>
      </c>
      <c r="Q301" s="209" t="s">
        <v>160</v>
      </c>
      <c r="T301" s="269"/>
      <c r="AJ301" s="269"/>
      <c r="CO301" s="209" t="s">
        <v>190</v>
      </c>
      <c r="CP301" s="209" t="s">
        <v>146</v>
      </c>
      <c r="CQ301" s="209" t="s">
        <v>216</v>
      </c>
      <c r="CR301" s="209" t="s">
        <v>217</v>
      </c>
      <c r="CS301" s="209" t="s">
        <v>2926</v>
      </c>
      <c r="CT301" s="209" t="s">
        <v>216</v>
      </c>
      <c r="CU301" s="211" t="str">
        <f t="shared" si="145"/>
        <v>N/A</v>
      </c>
      <c r="CV301" s="211" t="str">
        <f t="shared" si="146"/>
        <v>N/A</v>
      </c>
      <c r="CW301" s="211" t="str">
        <f t="shared" si="147"/>
        <v>N/A</v>
      </c>
      <c r="CX301" s="211" t="str">
        <f t="shared" si="148"/>
        <v>N/A</v>
      </c>
      <c r="CY301" s="211" t="str">
        <f t="shared" si="149"/>
        <v>N/A</v>
      </c>
      <c r="CZ301" s="211" t="str">
        <f t="shared" si="150"/>
        <v>N/A</v>
      </c>
      <c r="DA301" s="211" t="str">
        <f t="shared" si="151"/>
        <v>N/A</v>
      </c>
      <c r="DB301" s="211" t="str">
        <f t="shared" si="152"/>
        <v>N/A</v>
      </c>
      <c r="DC301" s="211" t="str">
        <f t="shared" si="153"/>
        <v xml:space="preserve">​Durante el mes de Septiembre, se gestionaron  436 cuentas que fueron radicadas en los tiempos estipulados de acuerdo con la Circular Interna 2022920020000026-4 de 2022,asi mismo, los documentos radicados despues del dia 25 calendario se tramitaron en el siguiente mes. Por lo cual, se cumplió con la meta del indicador del 100%, (436/436) habiendo gestionado la totalidad de las cuentas radicadas con un tiempo de gestión de 1,9 dias hábiles. Se adjunta base con relación de cuentas radicadas y gestionadas, asi como el reporte del indicador con la correspondiente gráfica.
</v>
      </c>
      <c r="DD301" s="211" t="str">
        <f t="shared" si="154"/>
        <v>N/A</v>
      </c>
      <c r="DE301" s="211" t="str">
        <f t="shared" si="155"/>
        <v>N/A</v>
      </c>
      <c r="DF301" s="211" t="str">
        <f t="shared" si="156"/>
        <v>N/A</v>
      </c>
    </row>
    <row r="302" spans="1:110" ht="64.5" customHeight="1">
      <c r="A302" s="349" t="s">
        <v>190</v>
      </c>
      <c r="B302" s="209" t="s">
        <v>146</v>
      </c>
      <c r="C302" s="209" t="s">
        <v>231</v>
      </c>
      <c r="D302" s="209" t="s">
        <v>232</v>
      </c>
      <c r="E302" s="209" t="s">
        <v>233</v>
      </c>
      <c r="F302" s="349" t="s">
        <v>234</v>
      </c>
      <c r="G302" s="209" t="s">
        <v>178</v>
      </c>
      <c r="H302" s="243">
        <v>0.6</v>
      </c>
      <c r="I302" s="436">
        <v>229777018957</v>
      </c>
      <c r="J302" s="436">
        <v>326211744691</v>
      </c>
      <c r="K302" s="290">
        <v>0.70437997005488995</v>
      </c>
      <c r="L302" s="209" t="s">
        <v>3138</v>
      </c>
      <c r="M302" s="209" t="b">
        <v>0</v>
      </c>
      <c r="O302" s="209" t="s">
        <v>2832</v>
      </c>
      <c r="P302" s="209" t="s">
        <v>159</v>
      </c>
      <c r="Q302" s="209" t="s">
        <v>160</v>
      </c>
      <c r="T302" s="269"/>
      <c r="AJ302" s="269"/>
      <c r="CO302" s="209" t="s">
        <v>190</v>
      </c>
      <c r="CP302" s="209" t="s">
        <v>146</v>
      </c>
      <c r="CQ302" s="209" t="s">
        <v>231</v>
      </c>
      <c r="CR302" s="209" t="s">
        <v>232</v>
      </c>
      <c r="CS302" s="209" t="s">
        <v>3138</v>
      </c>
      <c r="CT302" s="209" t="s">
        <v>231</v>
      </c>
      <c r="CU302" s="211" t="str">
        <f t="shared" si="145"/>
        <v>N/A</v>
      </c>
      <c r="CV302" s="211" t="str">
        <f t="shared" si="146"/>
        <v>N/A</v>
      </c>
      <c r="CW302" s="211" t="str">
        <f t="shared" si="147"/>
        <v>N/A</v>
      </c>
      <c r="CX302" s="211" t="str">
        <f t="shared" si="148"/>
        <v>N/A</v>
      </c>
      <c r="CY302" s="211" t="str">
        <f t="shared" si="149"/>
        <v>N/A</v>
      </c>
      <c r="CZ302" s="211" t="str">
        <f t="shared" si="150"/>
        <v>N/A</v>
      </c>
      <c r="DA302" s="211" t="str">
        <f t="shared" si="151"/>
        <v>N/A</v>
      </c>
      <c r="DB302" s="211" t="str">
        <f t="shared" si="152"/>
        <v>N/A</v>
      </c>
      <c r="DC302" s="211" t="str">
        <f t="shared" si="153"/>
        <v xml:space="preserve">​La apropiación asignada a la Superintendencia Nacional de Salud (SNS) para la vigencia 2025 ascendió a $ 326.211.744.691. De este total, se ejecutaron compromisos por la suma de $ 229.777.018.957, lo que representa el 70,4% de la apropiación. Alcanzando la meta programada para el tercer trimestre del 70% en el indicador de gestión, significa que se cumple a satisfacción.
En cuanto a la ejecución presupuestal de los recursos de funcionamiento e inversión, se presenta lo siguiente:
- Recursos de funcionamiento: $163.021.262.623, lo que representa el 68,2% de la apropiación vigente de $ 239.012.900.000.
- Recursos de inversión: $ 66.755.756.334, equivalente al 76,6% de la apropiación vigente de $87.198.844.691.
Es importante resaltar que la ejecución por obligaciones alcanzó los $ 188.032.726.316 lo que representa el 57,6%, y la ejecución por pagos fue de $ 187.918.550.863 equivalente al 58%.
</v>
      </c>
      <c r="DD302" s="211" t="str">
        <f t="shared" si="154"/>
        <v>N/A</v>
      </c>
      <c r="DE302" s="211" t="str">
        <f t="shared" si="155"/>
        <v>N/A</v>
      </c>
      <c r="DF302" s="211" t="str">
        <f t="shared" si="156"/>
        <v>N/A</v>
      </c>
    </row>
    <row r="303" spans="1:110" ht="64.5" customHeight="1">
      <c r="A303" s="349" t="s">
        <v>190</v>
      </c>
      <c r="B303" s="209" t="s">
        <v>146</v>
      </c>
      <c r="C303" s="209" t="s">
        <v>226</v>
      </c>
      <c r="D303" s="209" t="s">
        <v>227</v>
      </c>
      <c r="E303" s="209" t="s">
        <v>228</v>
      </c>
      <c r="F303" s="349" t="s">
        <v>229</v>
      </c>
      <c r="G303" s="209" t="s">
        <v>157</v>
      </c>
      <c r="H303" s="243">
        <v>3</v>
      </c>
      <c r="I303" s="323">
        <v>3</v>
      </c>
      <c r="J303" s="323">
        <v>3</v>
      </c>
      <c r="K303" s="290">
        <v>1</v>
      </c>
      <c r="L303" s="209" t="s">
        <v>3139</v>
      </c>
      <c r="M303" s="209" t="b">
        <v>0</v>
      </c>
      <c r="O303" s="209" t="s">
        <v>2832</v>
      </c>
      <c r="P303" s="209" t="s">
        <v>159</v>
      </c>
      <c r="Q303" s="209" t="s">
        <v>160</v>
      </c>
      <c r="T303" s="269"/>
      <c r="AJ303" s="269"/>
      <c r="CO303" s="209" t="s">
        <v>190</v>
      </c>
      <c r="CP303" s="209" t="s">
        <v>146</v>
      </c>
      <c r="CQ303" s="209" t="s">
        <v>226</v>
      </c>
      <c r="CR303" s="209" t="s">
        <v>227</v>
      </c>
      <c r="CS303" s="209" t="s">
        <v>3139</v>
      </c>
      <c r="CT303" s="209" t="s">
        <v>226</v>
      </c>
      <c r="CU303" s="211" t="str">
        <f t="shared" si="145"/>
        <v>N/A</v>
      </c>
      <c r="CV303" s="211" t="str">
        <f t="shared" si="146"/>
        <v>N/A</v>
      </c>
      <c r="CW303" s="211" t="str">
        <f t="shared" si="147"/>
        <v>N/A</v>
      </c>
      <c r="CX303" s="211" t="str">
        <f t="shared" si="148"/>
        <v>N/A</v>
      </c>
      <c r="CY303" s="211" t="str">
        <f t="shared" si="149"/>
        <v>N/A</v>
      </c>
      <c r="CZ303" s="211" t="str">
        <f t="shared" si="150"/>
        <v>N/A</v>
      </c>
      <c r="DA303" s="211" t="str">
        <f t="shared" si="151"/>
        <v>N/A</v>
      </c>
      <c r="DB303" s="211" t="str">
        <f t="shared" si="152"/>
        <v>N/A</v>
      </c>
      <c r="DC303" s="211" t="str">
        <f t="shared" si="153"/>
        <v xml:space="preserve">​Se realizaron las 3 actividades programadas durante el tercer trimestre de la vigencia, las cuales corresponden a la elaboración de informes de seguimiento a la ejecución presupuestal (mensual): 
Cierre Julio:
*Se realizó mesa de trabajo el 8 de Agosto de 2025 con todas las dependencias, en el marco del seguimiento a la ejecución presupuestal y la socialización por parte de la Dirección Financiera y la Secretaría General. El objetivo de esta sesión fue abordar los siguientes temas:
1.Informar la Ejecución Presupuestal de la entidad y de las dependencias al 31 de Julio 2025
2.Reservas Presupuestales al 31 de Diciembre de 2024 (Ejecutadas en 2025)
3.Lineamientos frente a trámites presupuestales
De la mesa de trabajo se generó el acta GE-11798 del 8 de agosto de 2025 por ITS Gestión, aplicativo de la entidad.
Cierre Agosto:
*Se envió el 2 y el 3 de septiembre de 2025 a través de correo electrónico institucional el Informe de la Ejecución Presupuestal a cada una de las Dependencias junto con los saldos de RP al corte de agosto de 2025.
*Se realizó Mesa de trabajo el 9 de septiembre de 2025 con los enlaces de las dependencias que tienen asignado recursos de funcionamiento e inversión en la vigencia 2025 abordar los siguientes temas:
1. Informar la Ejecución Presupuestal de la entidad y de las dependencias al 31 de agosto 2025
2. Reservas Presupuestales al 31 de diciembre de 2024 (ejecutadas en 2025)
3. Lineamientos frente a trámites presupuestales
De la mesa de trabajo se generó el acta GE-11948 del 9 de septiembre de 2025 por ITS Gestión, aplicativo de la entidad.
Cierre Septiembre:
*Se envió el 3 y el 6 de Octubre de 2025 a través de correo electrónico institucional el Informe de la Ejecución Presupuestal a cada una de las Dependencias junto con los saldos de RP al corte de Septiembre de 2025.
*Se realizó Mesa de trabajo el 8 de Octubre de 2025 con los enlaces de las dependencias que tienen asignado recursos de funcionamiento e inversión en la vigencia 2025 abordar los siguientes temas:
1. Informar la Ejecución Presupuestal de la entidad y de las dependencias al 30 de septiembre 2025
2. Reservas Presupuestales al 31 de diciembre de 2024 (Ejecutadas en 2025)
3. Lineamientos y recomendaciones para las áreas en Octubre.
De la mesa de trabajo se generó el acta GE-12073 del 8 de Octubre de 2025 por ITS Gestión, aplicativo de la entidad.
Es importante informar a las áreas sobre la ejecución presupuestal para que la corroboren contra el control que maneja cada uno de los enlaces y aclarar todas las dudas que puedan presentar sobre los trámites presupuestales.
</v>
      </c>
      <c r="DD303" s="211" t="str">
        <f t="shared" si="154"/>
        <v>N/A</v>
      </c>
      <c r="DE303" s="211" t="str">
        <f t="shared" si="155"/>
        <v>N/A</v>
      </c>
      <c r="DF303" s="211" t="str">
        <f t="shared" si="156"/>
        <v>N/A</v>
      </c>
    </row>
    <row r="304" spans="1:110" ht="64.5" customHeight="1">
      <c r="A304" s="349" t="s">
        <v>190</v>
      </c>
      <c r="B304" s="209" t="s">
        <v>146</v>
      </c>
      <c r="C304" s="209" t="s">
        <v>191</v>
      </c>
      <c r="D304" s="209" t="s">
        <v>192</v>
      </c>
      <c r="E304" s="209" t="s">
        <v>193</v>
      </c>
      <c r="F304" s="349" t="s">
        <v>194</v>
      </c>
      <c r="G304" s="209" t="s">
        <v>178</v>
      </c>
      <c r="H304" s="243">
        <v>0.95</v>
      </c>
      <c r="I304" s="323">
        <v>8246</v>
      </c>
      <c r="J304" s="323">
        <v>9640</v>
      </c>
      <c r="K304" s="290">
        <v>0.85539419087136903</v>
      </c>
      <c r="L304" s="209" t="s">
        <v>2927</v>
      </c>
      <c r="M304" s="209" t="b">
        <v>0</v>
      </c>
      <c r="O304" s="209" t="s">
        <v>2832</v>
      </c>
      <c r="P304" s="209" t="s">
        <v>159</v>
      </c>
      <c r="Q304" s="209" t="s">
        <v>160</v>
      </c>
      <c r="T304" s="269"/>
      <c r="AJ304" s="269"/>
      <c r="CO304" s="209" t="s">
        <v>190</v>
      </c>
      <c r="CP304" s="209" t="s">
        <v>146</v>
      </c>
      <c r="CQ304" s="209" t="s">
        <v>191</v>
      </c>
      <c r="CR304" s="209" t="s">
        <v>192</v>
      </c>
      <c r="CS304" s="209" t="s">
        <v>2927</v>
      </c>
      <c r="CT304" s="209" t="s">
        <v>191</v>
      </c>
      <c r="CU304" s="211" t="str">
        <f t="shared" si="145"/>
        <v>N/A</v>
      </c>
      <c r="CV304" s="211" t="str">
        <f t="shared" si="146"/>
        <v>N/A</v>
      </c>
      <c r="CW304" s="211" t="str">
        <f t="shared" si="147"/>
        <v>N/A</v>
      </c>
      <c r="CX304" s="211" t="str">
        <f t="shared" si="148"/>
        <v>N/A</v>
      </c>
      <c r="CY304" s="211" t="str">
        <f t="shared" si="149"/>
        <v>N/A</v>
      </c>
      <c r="CZ304" s="211" t="str">
        <f t="shared" si="150"/>
        <v>N/A</v>
      </c>
      <c r="DA304" s="211" t="str">
        <f t="shared" si="151"/>
        <v>N/A</v>
      </c>
      <c r="DB304" s="211" t="str">
        <f t="shared" si="152"/>
        <v>N/A</v>
      </c>
      <c r="DC304" s="211" t="str">
        <f t="shared" si="153"/>
        <v xml:space="preserve">Al corte del 30 de Septiembre de 2025 en la entidad se expidieron 9640 resoluciones las cuales ingresaron en su totalidad al Grupo de Gestión de Notificaciones y Comunicaciones, de las cuales 1325 fueron Expedidas por el Grupo de Contribución y Apoyo Técnico a finales de mes y estas deben ser corregidas por la dependencia que las expidió por lo cual no se han gestionado, de los demás Actos administrativos se gestionaron 8246, dejando en trámite 69 actos administrativos en su gran mayoría expedidos en los últimos días del mes y los cuales por distintos tramites se encuentra en gestión al corte del mes de este reporte.
</v>
      </c>
      <c r="DD304" s="211" t="str">
        <f t="shared" si="154"/>
        <v>N/A</v>
      </c>
      <c r="DE304" s="211" t="str">
        <f t="shared" si="155"/>
        <v>N/A</v>
      </c>
      <c r="DF304" s="211" t="str">
        <f t="shared" si="156"/>
        <v>N/A</v>
      </c>
    </row>
    <row r="305" spans="1:110" ht="64.5" customHeight="1">
      <c r="A305" s="349" t="s">
        <v>190</v>
      </c>
      <c r="B305" s="209" t="s">
        <v>146</v>
      </c>
      <c r="C305" s="209" t="s">
        <v>244</v>
      </c>
      <c r="D305" s="209" t="s">
        <v>376</v>
      </c>
      <c r="E305" s="209" t="s">
        <v>377</v>
      </c>
      <c r="F305" s="349" t="s">
        <v>378</v>
      </c>
      <c r="G305" s="209" t="s">
        <v>178</v>
      </c>
      <c r="H305" s="243">
        <v>50</v>
      </c>
      <c r="I305" s="323">
        <v>50</v>
      </c>
      <c r="J305" s="323">
        <v>63</v>
      </c>
      <c r="K305" s="290">
        <v>0.79365079365079405</v>
      </c>
      <c r="L305" s="209" t="s">
        <v>3021</v>
      </c>
      <c r="M305" s="209" t="b">
        <v>0</v>
      </c>
      <c r="O305" s="209" t="s">
        <v>2832</v>
      </c>
      <c r="P305" s="209" t="s">
        <v>159</v>
      </c>
      <c r="Q305" s="209" t="s">
        <v>160</v>
      </c>
      <c r="T305" s="269"/>
      <c r="AJ305" s="269"/>
      <c r="CO305" s="209" t="s">
        <v>190</v>
      </c>
      <c r="CP305" s="209" t="s">
        <v>146</v>
      </c>
      <c r="CQ305" s="209" t="s">
        <v>244</v>
      </c>
      <c r="CR305" s="209" t="s">
        <v>376</v>
      </c>
      <c r="CS305" s="209" t="s">
        <v>3021</v>
      </c>
      <c r="CT305" s="209" t="s">
        <v>244</v>
      </c>
      <c r="CU305" s="211" t="str">
        <f t="shared" si="145"/>
        <v>N/A</v>
      </c>
      <c r="CV305" s="211" t="str">
        <f t="shared" si="146"/>
        <v>N/A</v>
      </c>
      <c r="CW305" s="211" t="str">
        <f t="shared" si="147"/>
        <v>N/A</v>
      </c>
      <c r="CX305" s="211" t="str">
        <f t="shared" si="148"/>
        <v>N/A</v>
      </c>
      <c r="CY305" s="211" t="str">
        <f t="shared" si="149"/>
        <v>N/A</v>
      </c>
      <c r="CZ305" s="211" t="str">
        <f t="shared" si="150"/>
        <v>N/A</v>
      </c>
      <c r="DA305" s="211" t="str">
        <f t="shared" si="151"/>
        <v>N/A</v>
      </c>
      <c r="DB305" s="211" t="str">
        <f t="shared" si="152"/>
        <v>N/A</v>
      </c>
      <c r="DC305" s="211" t="str">
        <f t="shared" si="153"/>
        <v xml:space="preserve">​De 63 actividades programadas se realizaron 15 en el trimestre, lo que da un cumplimiento acumulado del 79% frente a la meta programada de 50 en total.
</v>
      </c>
      <c r="DD305" s="211" t="str">
        <f t="shared" si="154"/>
        <v>N/A</v>
      </c>
      <c r="DE305" s="211" t="str">
        <f t="shared" si="155"/>
        <v>N/A</v>
      </c>
      <c r="DF305" s="211" t="str">
        <f t="shared" si="156"/>
        <v>N/A</v>
      </c>
    </row>
    <row r="306" spans="1:110" ht="64.5" customHeight="1">
      <c r="A306" s="347" t="s">
        <v>271</v>
      </c>
      <c r="B306" s="209" t="s">
        <v>147</v>
      </c>
      <c r="C306" s="209" t="s">
        <v>225</v>
      </c>
      <c r="D306" s="209" t="s">
        <v>293</v>
      </c>
      <c r="E306" s="209" t="s">
        <v>294</v>
      </c>
      <c r="F306" s="349" t="s">
        <v>295</v>
      </c>
      <c r="G306" s="209" t="s">
        <v>157</v>
      </c>
      <c r="H306" s="243">
        <v>6</v>
      </c>
      <c r="I306" s="323">
        <v>12</v>
      </c>
      <c r="J306" s="323">
        <v>6</v>
      </c>
      <c r="K306" s="290">
        <v>2</v>
      </c>
      <c r="L306" s="209" t="s">
        <v>3161</v>
      </c>
      <c r="M306" s="209" t="b">
        <v>1</v>
      </c>
      <c r="N306" s="209" t="s">
        <v>3162</v>
      </c>
      <c r="O306" s="209" t="s">
        <v>2832</v>
      </c>
      <c r="P306" s="209" t="s">
        <v>159</v>
      </c>
      <c r="Q306" s="269" t="s">
        <v>160</v>
      </c>
      <c r="R306" s="243"/>
      <c r="S306" s="243"/>
      <c r="Z306" s="209"/>
      <c r="AA306" s="209"/>
      <c r="AB306" s="269"/>
      <c r="AC306" s="269"/>
      <c r="AD306" s="269"/>
      <c r="AE306" s="269"/>
      <c r="AF306" s="269"/>
      <c r="AG306" s="269"/>
      <c r="AH306" s="270"/>
      <c r="AI306" s="270"/>
      <c r="AJ306" s="270"/>
      <c r="AK306" s="270"/>
      <c r="AL306" s="270"/>
      <c r="AM306" s="270"/>
      <c r="AN306" s="270"/>
      <c r="AO306" s="270"/>
      <c r="AP306" s="270"/>
      <c r="AQ306" s="209"/>
      <c r="AR306" s="209"/>
      <c r="AS306" s="209"/>
      <c r="BX306" s="274"/>
      <c r="CA306" s="209"/>
      <c r="CO306" s="209" t="s">
        <v>607</v>
      </c>
      <c r="CP306" s="209" t="s">
        <v>148</v>
      </c>
      <c r="CQ306" s="209" t="s">
        <v>520</v>
      </c>
      <c r="CR306" s="209" t="s">
        <v>608</v>
      </c>
      <c r="CS306" s="209" t="s">
        <v>3143</v>
      </c>
      <c r="CT306" s="209" t="s">
        <v>520</v>
      </c>
      <c r="CU306" s="211" t="str">
        <f t="shared" si="145"/>
        <v>N/A</v>
      </c>
      <c r="CV306" s="211" t="str">
        <f t="shared" si="146"/>
        <v>N/A</v>
      </c>
      <c r="CW306" s="211" t="str">
        <f t="shared" si="147"/>
        <v>N/A</v>
      </c>
      <c r="CX306" s="211" t="str">
        <f t="shared" si="148"/>
        <v>N/A</v>
      </c>
      <c r="CY306" s="211" t="str">
        <f t="shared" si="149"/>
        <v>N/A</v>
      </c>
      <c r="CZ306" s="211" t="str">
        <f t="shared" si="150"/>
        <v>N/A</v>
      </c>
      <c r="DA306" s="211" t="str">
        <f t="shared" si="151"/>
        <v>N/A</v>
      </c>
      <c r="DB306" s="211" t="str">
        <f t="shared" si="152"/>
        <v>N/A</v>
      </c>
      <c r="DC306" s="211" t="str">
        <f t="shared" si="153"/>
        <v>N/A</v>
      </c>
      <c r="DD306" s="211" t="str">
        <f t="shared" si="154"/>
        <v>N/A</v>
      </c>
      <c r="DE306" s="211" t="str">
        <f t="shared" si="155"/>
        <v xml:space="preserve">De los 89 indicadores suceptibes de reporte en el tercer trimestre de 2025, 84 de ellos cumplieron la meta a la superaron para el periodo, lo que indica un cumplimiento del 94.4%. 
Es importante indicar que durante este periodo se presento la transición de personal, con el ingreso de los funcionarios de concurso, lo que por curva de aprendizaje impacto directamente en los resultados, sin embargo se vienen adelantando capacitaciones para concientizar al personal de la importancia del reporte oportuno de las actividades realizadas para el logro de los objetivos propuestos en el PAG 2025.
</v>
      </c>
      <c r="DF306" s="211" t="str">
        <f t="shared" si="156"/>
        <v>N/A</v>
      </c>
    </row>
    <row r="307" spans="1:110" ht="64.5" customHeight="1">
      <c r="A307" s="347" t="s">
        <v>454</v>
      </c>
      <c r="B307" s="209" t="s">
        <v>147</v>
      </c>
      <c r="C307" s="209" t="s">
        <v>602</v>
      </c>
      <c r="D307" s="209" t="s">
        <v>603</v>
      </c>
      <c r="E307" s="209" t="s">
        <v>604</v>
      </c>
      <c r="F307" s="349" t="s">
        <v>605</v>
      </c>
      <c r="G307" s="209" t="s">
        <v>157</v>
      </c>
      <c r="H307" s="243">
        <v>2</v>
      </c>
      <c r="I307" s="323">
        <v>2</v>
      </c>
      <c r="J307" s="323">
        <v>2</v>
      </c>
      <c r="K307" s="290">
        <v>1</v>
      </c>
      <c r="L307" s="209" t="s">
        <v>3214</v>
      </c>
      <c r="M307" s="209" t="b">
        <v>0</v>
      </c>
      <c r="O307" s="209" t="s">
        <v>2832</v>
      </c>
      <c r="P307" s="209" t="s">
        <v>159</v>
      </c>
      <c r="Q307" s="269" t="s">
        <v>160</v>
      </c>
      <c r="R307" s="243"/>
      <c r="S307" s="243"/>
      <c r="Z307" s="209"/>
      <c r="AA307" s="209"/>
      <c r="AB307" s="209"/>
      <c r="AG307" s="269"/>
      <c r="AH307" s="244"/>
      <c r="AI307" s="244"/>
      <c r="AJ307" s="244"/>
      <c r="AQ307" s="209"/>
      <c r="AR307" s="209"/>
      <c r="AS307" s="209"/>
      <c r="BX307" s="274"/>
      <c r="CA307" s="209"/>
      <c r="CO307" s="285" t="s">
        <v>190</v>
      </c>
      <c r="CP307" s="209" t="s">
        <v>147</v>
      </c>
      <c r="CQ307" s="209" t="s">
        <v>182</v>
      </c>
      <c r="CR307" s="209" t="s">
        <v>620</v>
      </c>
      <c r="CS307" s="209" t="s">
        <v>3295</v>
      </c>
      <c r="CT307" s="209" t="s">
        <v>182</v>
      </c>
      <c r="CU307" s="211" t="str">
        <f t="shared" si="145"/>
        <v>N/A</v>
      </c>
      <c r="CV307" s="211" t="str">
        <f t="shared" si="146"/>
        <v>N/A</v>
      </c>
      <c r="CW307" s="211" t="str">
        <f t="shared" si="147"/>
        <v>N/A</v>
      </c>
      <c r="CX307" s="211" t="str">
        <f t="shared" si="148"/>
        <v>N/A</v>
      </c>
      <c r="CY307" s="211" t="str">
        <f t="shared" si="149"/>
        <v>N/A</v>
      </c>
      <c r="CZ307" s="211" t="str">
        <f t="shared" si="150"/>
        <v>N/A</v>
      </c>
      <c r="DA307" s="211" t="str">
        <f t="shared" si="151"/>
        <v>N/A</v>
      </c>
      <c r="DB307" s="211" t="str">
        <f t="shared" si="152"/>
        <v>N/A</v>
      </c>
      <c r="DC307" s="211" t="str">
        <f t="shared" si="153"/>
        <v>N/A</v>
      </c>
      <c r="DD307" s="211" t="str">
        <f t="shared" si="154"/>
        <v>De las (29) noticias disciplinarias (Quejas, informe de servidor público o de oficio) recibidas en el quinto bimestre de 2025 (septiembre – octubre de 2025), se adelantaron las siguientes actuaciones: 10 (34,5%) Aperturas de Indagación Previa; 10 (34,5%) Autos Inhibitorios; 5 (17,2%) Traslados por competencia; 3 (10,3%) Aperturas de Investigación Disciplinaria y 1 (3,4%) Autos de Archivo, profiriendo igual número de autos por el Coordinador del Grupo de Instrucción Disciplinaria en el periodo:
Tipo Noticia/ Auto
De Oficio
 Informe de Servidor PúblicoQuejaTotal, Noticias V Bimestre 2025Auto de Indagación Previa 6410Auto Inhibitorio15410Auto Apertura de Investigación 213Auto Traslado por Competencia 325Auto de Archivo 1 4V Bimestre (septiembre – octubre) 2025, Total1171129</v>
      </c>
      <c r="DE307" s="211" t="str">
        <f t="shared" si="155"/>
        <v>N/A</v>
      </c>
      <c r="DF307" s="211" t="str">
        <f t="shared" si="156"/>
        <v>N/A</v>
      </c>
    </row>
    <row r="308" spans="1:110" ht="64.5" customHeight="1">
      <c r="A308" s="347" t="s">
        <v>454</v>
      </c>
      <c r="B308" s="209" t="s">
        <v>147</v>
      </c>
      <c r="C308" s="209" t="s">
        <v>460</v>
      </c>
      <c r="D308" s="209" t="s">
        <v>461</v>
      </c>
      <c r="E308" s="209" t="s">
        <v>462</v>
      </c>
      <c r="F308" s="349" t="s">
        <v>463</v>
      </c>
      <c r="G308" s="209" t="s">
        <v>157</v>
      </c>
      <c r="H308" s="243">
        <v>1</v>
      </c>
      <c r="I308" s="323">
        <v>1</v>
      </c>
      <c r="J308" s="323">
        <v>1</v>
      </c>
      <c r="K308" s="290">
        <v>1</v>
      </c>
      <c r="L308" s="209" t="s">
        <v>3212</v>
      </c>
      <c r="M308" s="209" t="b">
        <v>0</v>
      </c>
      <c r="O308" s="209" t="s">
        <v>2832</v>
      </c>
      <c r="P308" s="209" t="s">
        <v>159</v>
      </c>
      <c r="Q308" s="269" t="s">
        <v>160</v>
      </c>
      <c r="R308" s="243"/>
      <c r="S308" s="243"/>
      <c r="Z308" s="209"/>
      <c r="AA308" s="209"/>
      <c r="AB308" s="209"/>
      <c r="AG308" s="269"/>
      <c r="AH308" s="244"/>
      <c r="AI308" s="244"/>
      <c r="AJ308" s="244"/>
      <c r="AQ308" s="209"/>
      <c r="AR308" s="209"/>
      <c r="AS308" s="209"/>
      <c r="BX308" s="274"/>
      <c r="CA308" s="209"/>
      <c r="CO308" s="285" t="s">
        <v>454</v>
      </c>
      <c r="CP308" s="209" t="s">
        <v>147</v>
      </c>
      <c r="CQ308" s="209" t="s">
        <v>223</v>
      </c>
      <c r="CR308" s="209" t="s">
        <v>455</v>
      </c>
      <c r="CS308" s="209" t="s">
        <v>3211</v>
      </c>
      <c r="CT308" s="209" t="s">
        <v>223</v>
      </c>
      <c r="CU308" s="211" t="str">
        <f t="shared" si="145"/>
        <v>N/A</v>
      </c>
      <c r="CV308" s="211" t="str">
        <f t="shared" si="146"/>
        <v>N/A</v>
      </c>
      <c r="CW308" s="211" t="str">
        <f t="shared" si="147"/>
        <v>N/A</v>
      </c>
      <c r="CX308" s="211" t="str">
        <f t="shared" si="148"/>
        <v>N/A</v>
      </c>
      <c r="CY308" s="211" t="str">
        <f t="shared" si="149"/>
        <v>N/A</v>
      </c>
      <c r="CZ308" s="211" t="str">
        <f t="shared" si="150"/>
        <v>N/A</v>
      </c>
      <c r="DA308" s="211" t="str">
        <f t="shared" si="151"/>
        <v>N/A</v>
      </c>
      <c r="DB308" s="211" t="str">
        <f t="shared" si="152"/>
        <v>N/A</v>
      </c>
      <c r="DC308" s="211" t="str">
        <f t="shared" si="153"/>
        <v>N/A</v>
      </c>
      <c r="DD308" s="211" t="str">
        <f t="shared" si="154"/>
        <v xml:space="preserve">​​Se cumple con la programación de la actividad, dado que se realiza auditoría al Gestor Farmacéutico MARCAZSALUD ordenada mediante Auto No  2025600020001573-7 del 27 de octubre de 2025
</v>
      </c>
      <c r="DE308" s="211" t="str">
        <f t="shared" si="155"/>
        <v>N/A</v>
      </c>
      <c r="DF308" s="211" t="str">
        <f t="shared" si="156"/>
        <v>N/A</v>
      </c>
    </row>
    <row r="309" spans="1:110" ht="64.5" customHeight="1">
      <c r="A309" s="347" t="s">
        <v>454</v>
      </c>
      <c r="B309" s="209" t="s">
        <v>147</v>
      </c>
      <c r="C309" s="209" t="s">
        <v>466</v>
      </c>
      <c r="D309" s="209" t="s">
        <v>467</v>
      </c>
      <c r="E309" s="209" t="s">
        <v>468</v>
      </c>
      <c r="F309" s="349" t="s">
        <v>469</v>
      </c>
      <c r="G309" s="209" t="s">
        <v>157</v>
      </c>
      <c r="H309" s="243">
        <v>2</v>
      </c>
      <c r="I309" s="323">
        <v>2</v>
      </c>
      <c r="J309" s="323">
        <v>2</v>
      </c>
      <c r="K309" s="290">
        <v>1</v>
      </c>
      <c r="L309" s="209" t="s">
        <v>3213</v>
      </c>
      <c r="M309" s="209" t="b">
        <v>0</v>
      </c>
      <c r="O309" s="209" t="s">
        <v>2832</v>
      </c>
      <c r="P309" s="209" t="s">
        <v>159</v>
      </c>
      <c r="Q309" s="269" t="s">
        <v>160</v>
      </c>
      <c r="R309" s="243"/>
      <c r="S309" s="243"/>
      <c r="Z309" s="209"/>
      <c r="AA309" s="209"/>
      <c r="AB309" s="209"/>
      <c r="AG309" s="269"/>
      <c r="AH309" s="244"/>
      <c r="AI309" s="244"/>
      <c r="AJ309" s="244"/>
      <c r="AQ309" s="209"/>
      <c r="AR309" s="209"/>
      <c r="AS309" s="209"/>
      <c r="BX309" s="274"/>
      <c r="CA309" s="209"/>
      <c r="CO309" s="285" t="s">
        <v>271</v>
      </c>
      <c r="CP309" s="209" t="s">
        <v>147</v>
      </c>
      <c r="CQ309" s="209" t="s">
        <v>225</v>
      </c>
      <c r="CR309" s="209" t="s">
        <v>293</v>
      </c>
      <c r="CS309" s="209" t="s">
        <v>3161</v>
      </c>
      <c r="CT309" s="209" t="s">
        <v>225</v>
      </c>
      <c r="CU309" s="211" t="str">
        <f t="shared" si="145"/>
        <v>N/A</v>
      </c>
      <c r="CV309" s="211" t="str">
        <f t="shared" si="146"/>
        <v>N/A</v>
      </c>
      <c r="CW309" s="211" t="str">
        <f t="shared" si="147"/>
        <v>N/A</v>
      </c>
      <c r="CX309" s="211" t="str">
        <f t="shared" si="148"/>
        <v>N/A</v>
      </c>
      <c r="CY309" s="211" t="str">
        <f t="shared" si="149"/>
        <v>N/A</v>
      </c>
      <c r="CZ309" s="211" t="str">
        <f t="shared" si="150"/>
        <v>N/A</v>
      </c>
      <c r="DA309" s="211" t="str">
        <f t="shared" si="151"/>
        <v>N/A</v>
      </c>
      <c r="DB309" s="211" t="str">
        <f t="shared" si="152"/>
        <v>N/A</v>
      </c>
      <c r="DC309" s="211" t="str">
        <f t="shared" si="153"/>
        <v>N/A</v>
      </c>
      <c r="DD309" s="211" t="str">
        <f t="shared" si="154"/>
        <v xml:space="preserve">Durante el periodo se realizaron 12 seguimientos a auditorías, superando la meta establecida de 6. Este resultado obedece a la optimización del cronograma operativo y la disponibilidad de equipos técnicos en territorio, lo que permitió desarrollar más actividades a las previstas y dar continuidad a los compromisos de mejora.
La ejecución superior a la meta refleja eficiencia en la gestión del proceso y una mayor capacidad de respuesta frente a las necesidades de seguimiento. 
Los seguimientos se realizaron a las siguientes Entidades Territoriales:  El Piñón (Magdalena), Gamarra (Cesar) y Barrancas (La Guajira), Departamento del Atlántico, Morales (Bolívar), Mitú (Vaupes)  , Prado (Tolima), Florida (Valle del Cauca), Puerto Santander (Noste de Santander), Viracacha (Boyacá), Apía y Dosquebradas (Risaralda)
</v>
      </c>
      <c r="DE309" s="211" t="str">
        <f t="shared" si="155"/>
        <v>N/A</v>
      </c>
      <c r="DF309" s="211" t="str">
        <f t="shared" si="156"/>
        <v>N/A</v>
      </c>
    </row>
    <row r="310" spans="1:110" ht="64.5" customHeight="1">
      <c r="A310" s="349" t="s">
        <v>454</v>
      </c>
      <c r="B310" s="209" t="s">
        <v>147</v>
      </c>
      <c r="C310" s="209" t="s">
        <v>223</v>
      </c>
      <c r="D310" s="209" t="s">
        <v>455</v>
      </c>
      <c r="E310" s="209" t="s">
        <v>456</v>
      </c>
      <c r="F310" s="349" t="s">
        <v>457</v>
      </c>
      <c r="G310" s="209" t="s">
        <v>157</v>
      </c>
      <c r="H310" s="243">
        <v>1</v>
      </c>
      <c r="I310" s="323">
        <v>1</v>
      </c>
      <c r="J310" s="323">
        <v>1</v>
      </c>
      <c r="K310" s="290">
        <v>1</v>
      </c>
      <c r="L310" s="209" t="s">
        <v>3211</v>
      </c>
      <c r="M310" s="209" t="b">
        <v>0</v>
      </c>
      <c r="O310" s="209" t="s">
        <v>2832</v>
      </c>
      <c r="P310" s="209" t="s">
        <v>159</v>
      </c>
      <c r="Q310" s="269" t="s">
        <v>160</v>
      </c>
      <c r="R310" s="243"/>
      <c r="S310" s="243"/>
      <c r="Z310" s="209"/>
      <c r="AA310" s="209"/>
      <c r="AB310" s="209"/>
      <c r="AG310" s="269"/>
      <c r="AH310" s="244"/>
      <c r="AI310" s="244"/>
      <c r="AJ310" s="244"/>
      <c r="AQ310" s="209"/>
      <c r="AR310" s="209"/>
      <c r="AS310" s="209"/>
      <c r="BX310" s="274"/>
      <c r="CA310" s="209"/>
      <c r="CO310" s="285" t="s">
        <v>238</v>
      </c>
      <c r="CP310" s="209" t="s">
        <v>147</v>
      </c>
      <c r="CQ310" s="209" t="s">
        <v>364</v>
      </c>
      <c r="CR310" s="209" t="s">
        <v>730</v>
      </c>
      <c r="CS310" s="209" t="s">
        <v>3254</v>
      </c>
      <c r="CT310" s="209" t="s">
        <v>364</v>
      </c>
      <c r="CU310" s="211" t="str">
        <f t="shared" si="145"/>
        <v>N/A</v>
      </c>
      <c r="CV310" s="211" t="str">
        <f t="shared" si="146"/>
        <v>N/A</v>
      </c>
      <c r="CW310" s="211" t="str">
        <f t="shared" si="147"/>
        <v>N/A</v>
      </c>
      <c r="CX310" s="211" t="str">
        <f t="shared" si="148"/>
        <v>N/A</v>
      </c>
      <c r="CY310" s="211" t="str">
        <f t="shared" si="149"/>
        <v>N/A</v>
      </c>
      <c r="CZ310" s="211" t="str">
        <f t="shared" si="150"/>
        <v>N/A</v>
      </c>
      <c r="DA310" s="211" t="str">
        <f t="shared" si="151"/>
        <v>N/A</v>
      </c>
      <c r="DB310" s="211" t="str">
        <f t="shared" si="152"/>
        <v>N/A</v>
      </c>
      <c r="DC310" s="211" t="str">
        <f t="shared" si="153"/>
        <v>N/A</v>
      </c>
      <c r="DD310" s="211" t="str">
        <f t="shared" si="154"/>
        <v xml:space="preserve">​Durante el mes de octubre se realizo visita tecnica a la  regional  Norte ( Barranquilla ) para realizar socializacion  del marco y de los modelos de supervision, en el marco del Plan de Fortalecimiento Institucional de la Estrategia  Territorial de la Dirección de Innovación y Desarrollo.
</v>
      </c>
      <c r="DE310" s="211" t="str">
        <f t="shared" si="155"/>
        <v>N/A</v>
      </c>
      <c r="DF310" s="211" t="str">
        <f t="shared" si="156"/>
        <v>N/A</v>
      </c>
    </row>
    <row r="311" spans="1:110" ht="64.5" customHeight="1">
      <c r="A311" s="349" t="s">
        <v>238</v>
      </c>
      <c r="B311" s="209" t="s">
        <v>147</v>
      </c>
      <c r="C311" s="209" t="s">
        <v>364</v>
      </c>
      <c r="D311" s="209" t="s">
        <v>730</v>
      </c>
      <c r="E311" s="209" t="s">
        <v>731</v>
      </c>
      <c r="F311" s="349" t="s">
        <v>732</v>
      </c>
      <c r="G311" s="209" t="s">
        <v>157</v>
      </c>
      <c r="H311" s="243">
        <v>1</v>
      </c>
      <c r="I311" s="323">
        <v>1</v>
      </c>
      <c r="J311" s="323">
        <v>1</v>
      </c>
      <c r="K311" s="290">
        <v>1</v>
      </c>
      <c r="L311" s="209" t="s">
        <v>3254</v>
      </c>
      <c r="M311" s="209" t="b">
        <v>1</v>
      </c>
      <c r="N311" s="209" t="s">
        <v>3255</v>
      </c>
      <c r="O311" s="209" t="s">
        <v>2832</v>
      </c>
      <c r="P311" s="209" t="s">
        <v>159</v>
      </c>
      <c r="Q311" s="269" t="s">
        <v>160</v>
      </c>
      <c r="R311" s="243"/>
      <c r="S311" s="243"/>
      <c r="Z311" s="209"/>
      <c r="AA311" s="209"/>
      <c r="AB311" s="209"/>
      <c r="AG311" s="269"/>
      <c r="AH311" s="244"/>
      <c r="AI311" s="244"/>
      <c r="AJ311" s="244"/>
      <c r="AQ311" s="209"/>
      <c r="AR311" s="209"/>
      <c r="AS311" s="209"/>
      <c r="BX311" s="274"/>
      <c r="CA311" s="209"/>
      <c r="CO311" s="209" t="s">
        <v>190</v>
      </c>
      <c r="CP311" s="209" t="s">
        <v>147</v>
      </c>
      <c r="CQ311" s="209" t="s">
        <v>216</v>
      </c>
      <c r="CR311" s="209" t="s">
        <v>217</v>
      </c>
      <c r="CS311" s="209" t="s">
        <v>3297</v>
      </c>
      <c r="CT311" s="209" t="s">
        <v>216</v>
      </c>
      <c r="CU311" s="211" t="str">
        <f t="shared" si="145"/>
        <v>N/A</v>
      </c>
      <c r="CV311" s="211" t="str">
        <f t="shared" si="146"/>
        <v>N/A</v>
      </c>
      <c r="CW311" s="211" t="str">
        <f t="shared" si="147"/>
        <v>N/A</v>
      </c>
      <c r="CX311" s="211" t="str">
        <f t="shared" si="148"/>
        <v>N/A</v>
      </c>
      <c r="CY311" s="211" t="str">
        <f t="shared" si="149"/>
        <v>N/A</v>
      </c>
      <c r="CZ311" s="211" t="str">
        <f t="shared" si="150"/>
        <v>N/A</v>
      </c>
      <c r="DA311" s="211" t="str">
        <f t="shared" si="151"/>
        <v>N/A</v>
      </c>
      <c r="DB311" s="211" t="str">
        <f t="shared" si="152"/>
        <v>N/A</v>
      </c>
      <c r="DC311" s="211" t="str">
        <f t="shared" si="153"/>
        <v>N/A</v>
      </c>
      <c r="DD311" s="211" t="str">
        <f t="shared" si="154"/>
        <v xml:space="preserve">​Durante el mes de Octubre, se gestionaron  259 cuentas que fueron radicadas en los tiempos estipulados de acuerdo con la Circular Interna 2022920020000026-4 de 2022,asi mismo, los documentos radicados despues del dia 25 calendario se tramitaron en el siguiente mes. Por lo cual, se cumplió con la meta del indicador del 100%, (259/259) habiendo gestionado la totalidad de las cuentas radicadas con un tiempo de gestión de 2,2 dias hábiles. Se adjunta base con relación de cuentas radicadas y gestionadas, asi como el reporte del indicador con la correspondiente gráfica.
</v>
      </c>
      <c r="DE311" s="211" t="str">
        <f t="shared" si="155"/>
        <v>N/A</v>
      </c>
      <c r="DF311" s="211" t="str">
        <f t="shared" si="156"/>
        <v>N/A</v>
      </c>
    </row>
    <row r="312" spans="1:110" ht="64.5" customHeight="1">
      <c r="A312" s="349" t="s">
        <v>317</v>
      </c>
      <c r="B312" s="209" t="s">
        <v>147</v>
      </c>
      <c r="C312" s="209" t="s">
        <v>324</v>
      </c>
      <c r="D312" s="209" t="s">
        <v>325</v>
      </c>
      <c r="E312" s="209" t="s">
        <v>326</v>
      </c>
      <c r="F312" s="349" t="s">
        <v>327</v>
      </c>
      <c r="G312" s="209" t="s">
        <v>157</v>
      </c>
      <c r="H312" s="243">
        <v>1</v>
      </c>
      <c r="I312" s="323">
        <v>1</v>
      </c>
      <c r="J312" s="323">
        <v>1</v>
      </c>
      <c r="K312" s="290">
        <v>1</v>
      </c>
      <c r="L312" s="209" t="s">
        <v>3270</v>
      </c>
      <c r="M312" s="209" t="b">
        <v>0</v>
      </c>
      <c r="O312" s="209" t="s">
        <v>2832</v>
      </c>
      <c r="P312" s="209" t="s">
        <v>159</v>
      </c>
      <c r="Q312" s="269" t="s">
        <v>160</v>
      </c>
      <c r="R312" s="243"/>
      <c r="S312" s="243"/>
      <c r="Z312" s="209"/>
      <c r="AA312" s="209"/>
      <c r="AB312" s="209"/>
      <c r="AG312" s="269"/>
      <c r="AH312" s="244"/>
      <c r="AI312" s="244"/>
      <c r="AJ312" s="244"/>
      <c r="AQ312" s="209"/>
      <c r="AR312" s="209"/>
      <c r="AS312" s="209"/>
      <c r="BX312" s="274"/>
      <c r="CA312" s="209"/>
      <c r="CO312" s="209" t="s">
        <v>317</v>
      </c>
      <c r="CP312" s="209" t="s">
        <v>147</v>
      </c>
      <c r="CQ312" s="209" t="s">
        <v>324</v>
      </c>
      <c r="CR312" s="209" t="s">
        <v>325</v>
      </c>
      <c r="CS312" s="209" t="s">
        <v>3270</v>
      </c>
      <c r="CT312" s="209" t="s">
        <v>324</v>
      </c>
      <c r="CU312" s="211" t="str">
        <f t="shared" si="145"/>
        <v>N/A</v>
      </c>
      <c r="CV312" s="211" t="str">
        <f t="shared" si="146"/>
        <v>N/A</v>
      </c>
      <c r="CW312" s="211" t="str">
        <f t="shared" si="147"/>
        <v>N/A</v>
      </c>
      <c r="CX312" s="211" t="str">
        <f t="shared" si="148"/>
        <v>N/A</v>
      </c>
      <c r="CY312" s="211" t="str">
        <f t="shared" si="149"/>
        <v>N/A</v>
      </c>
      <c r="CZ312" s="211" t="str">
        <f t="shared" si="150"/>
        <v>N/A</v>
      </c>
      <c r="DA312" s="211" t="str">
        <f t="shared" si="151"/>
        <v>N/A</v>
      </c>
      <c r="DB312" s="211" t="str">
        <f t="shared" si="152"/>
        <v>N/A</v>
      </c>
      <c r="DC312" s="211" t="str">
        <f t="shared" si="153"/>
        <v>N/A</v>
      </c>
      <c r="DD312" s="211" t="str">
        <f t="shared" si="154"/>
        <v xml:space="preserve">​Se realizó la publicación del boletin jurídico correspondiente al tercer trimestre de 2025, en el normograma de la Superintendencia Nacional de Salud: https://normograma.supersalud.gov.co/compilacion/boletines_juridicos_sns.html.,
</v>
      </c>
      <c r="DE312" s="211" t="str">
        <f t="shared" si="155"/>
        <v>N/A</v>
      </c>
      <c r="DF312" s="211" t="str">
        <f t="shared" si="156"/>
        <v>N/A</v>
      </c>
    </row>
    <row r="313" spans="1:110" ht="64.5" customHeight="1">
      <c r="A313" s="349" t="s">
        <v>317</v>
      </c>
      <c r="B313" s="209" t="s">
        <v>147</v>
      </c>
      <c r="C313" s="209" t="s">
        <v>330</v>
      </c>
      <c r="D313" s="209" t="s">
        <v>331</v>
      </c>
      <c r="E313" s="209" t="s">
        <v>332</v>
      </c>
      <c r="F313" s="349" t="s">
        <v>333</v>
      </c>
      <c r="G313" s="209" t="s">
        <v>157</v>
      </c>
      <c r="H313" s="243">
        <v>1</v>
      </c>
      <c r="I313" s="323">
        <v>1</v>
      </c>
      <c r="J313" s="323">
        <v>1</v>
      </c>
      <c r="K313" s="288">
        <f>+I313/J313</f>
        <v>1</v>
      </c>
      <c r="L313" s="209" t="s">
        <v>3271</v>
      </c>
      <c r="M313" s="209" t="b">
        <v>0</v>
      </c>
      <c r="O313" s="209" t="s">
        <v>2832</v>
      </c>
      <c r="P313" s="209" t="s">
        <v>159</v>
      </c>
      <c r="Q313" s="269" t="s">
        <v>160</v>
      </c>
      <c r="R313" s="243"/>
      <c r="S313" s="243"/>
      <c r="Z313" s="209"/>
      <c r="AA313" s="209"/>
      <c r="AB313" s="209"/>
      <c r="AG313" s="269"/>
      <c r="AH313" s="244"/>
      <c r="AI313" s="244"/>
      <c r="AJ313" s="244"/>
      <c r="AQ313" s="209"/>
      <c r="AR313" s="209"/>
      <c r="AS313" s="209"/>
      <c r="BX313" s="274"/>
      <c r="CA313" s="209"/>
      <c r="CO313" s="209" t="s">
        <v>317</v>
      </c>
      <c r="CP313" s="209" t="s">
        <v>147</v>
      </c>
      <c r="CQ313" s="209" t="s">
        <v>330</v>
      </c>
      <c r="CR313" s="209" t="s">
        <v>331</v>
      </c>
      <c r="CS313" s="209" t="s">
        <v>3271</v>
      </c>
      <c r="CT313" s="209" t="s">
        <v>330</v>
      </c>
      <c r="CU313" s="211" t="str">
        <f t="shared" si="145"/>
        <v>N/A</v>
      </c>
      <c r="CV313" s="211" t="str">
        <f t="shared" si="146"/>
        <v>N/A</v>
      </c>
      <c r="CW313" s="211" t="str">
        <f t="shared" si="147"/>
        <v>N/A</v>
      </c>
      <c r="CX313" s="211" t="str">
        <f t="shared" si="148"/>
        <v>N/A</v>
      </c>
      <c r="CY313" s="211" t="str">
        <f t="shared" si="149"/>
        <v>N/A</v>
      </c>
      <c r="CZ313" s="211" t="str">
        <f t="shared" si="150"/>
        <v>N/A</v>
      </c>
      <c r="DA313" s="211" t="str">
        <f t="shared" si="151"/>
        <v>N/A</v>
      </c>
      <c r="DB313" s="211" t="str">
        <f t="shared" si="152"/>
        <v>N/A</v>
      </c>
      <c r="DC313" s="211" t="str">
        <f t="shared" si="153"/>
        <v>N/A</v>
      </c>
      <c r="DD313" s="211" t="str">
        <f t="shared" si="154"/>
        <v xml:space="preserve">Para el mes de octubre se ejcutó actividades del cronograma de implementación y sostenibilidad de la política de gestión y desempeño de Mejora Normativa relacionadas con la elaboración del manual de mejora normativa:  Mesa de trabajo 23 de octubre de 2025 "PRESENTACION VERSION FINAL MANUAL DE MEJORA NORMATIVA" realizada en la Dirección Jurídica con la presencia de la Dirección de Innovación y Desarrollo con el acompañamiento de los enlaces de planeación. Mediante Memorando20251600100109193 de 30 de octubre de 2025 la Dirección Jurídica remitió el Manual de Mejora Normativa a la Oficina Asesora de Planeación para la respectiva gestión.
</v>
      </c>
      <c r="DE313" s="211" t="str">
        <f t="shared" si="155"/>
        <v>N/A</v>
      </c>
      <c r="DF313" s="211" t="str">
        <f t="shared" si="156"/>
        <v>N/A</v>
      </c>
    </row>
    <row r="314" spans="1:110" ht="64.5" customHeight="1">
      <c r="A314" s="349" t="s">
        <v>607</v>
      </c>
      <c r="B314" s="209" t="s">
        <v>147</v>
      </c>
      <c r="C314" s="209" t="s">
        <v>1205</v>
      </c>
      <c r="D314" s="209" t="s">
        <v>1206</v>
      </c>
      <c r="E314" s="209" t="s">
        <v>1207</v>
      </c>
      <c r="F314" s="349" t="s">
        <v>1208</v>
      </c>
      <c r="G314" s="209" t="s">
        <v>178</v>
      </c>
      <c r="H314" s="243">
        <v>0.3</v>
      </c>
      <c r="I314" s="323">
        <v>39</v>
      </c>
      <c r="J314" s="323">
        <v>73</v>
      </c>
      <c r="K314" s="290">
        <v>0.534246575342466</v>
      </c>
      <c r="L314" s="209" t="s">
        <v>3285</v>
      </c>
      <c r="M314" s="209" t="b">
        <v>0</v>
      </c>
      <c r="O314" s="209" t="s">
        <v>2832</v>
      </c>
      <c r="P314" s="209" t="s">
        <v>159</v>
      </c>
      <c r="Q314" s="269" t="s">
        <v>160</v>
      </c>
      <c r="R314" s="243"/>
      <c r="S314" s="243"/>
      <c r="Z314" s="209"/>
      <c r="AA314" s="209"/>
      <c r="AB314" s="209"/>
      <c r="AG314" s="269"/>
      <c r="AH314" s="244"/>
      <c r="AI314" s="244"/>
      <c r="AJ314" s="244"/>
      <c r="AQ314" s="209"/>
      <c r="AR314" s="209"/>
      <c r="AS314" s="209"/>
      <c r="BX314" s="274"/>
      <c r="CA314" s="209"/>
      <c r="CO314" s="209" t="s">
        <v>607</v>
      </c>
      <c r="CP314" s="209" t="s">
        <v>147</v>
      </c>
      <c r="CQ314" s="209" t="s">
        <v>1205</v>
      </c>
      <c r="CR314" s="209" t="s">
        <v>1206</v>
      </c>
      <c r="CS314" s="209" t="s">
        <v>3285</v>
      </c>
      <c r="CT314" s="209" t="s">
        <v>1205</v>
      </c>
      <c r="CU314" s="211" t="str">
        <f t="shared" si="145"/>
        <v>N/A</v>
      </c>
      <c r="CV314" s="211" t="str">
        <f t="shared" si="146"/>
        <v>N/A</v>
      </c>
      <c r="CW314" s="211" t="str">
        <f t="shared" si="147"/>
        <v>N/A</v>
      </c>
      <c r="CX314" s="211" t="str">
        <f t="shared" si="148"/>
        <v>N/A</v>
      </c>
      <c r="CY314" s="211" t="str">
        <f t="shared" si="149"/>
        <v>N/A</v>
      </c>
      <c r="CZ314" s="211" t="str">
        <f t="shared" si="150"/>
        <v>N/A</v>
      </c>
      <c r="DA314" s="211" t="str">
        <f t="shared" si="151"/>
        <v>N/A</v>
      </c>
      <c r="DB314" s="211" t="str">
        <f t="shared" si="152"/>
        <v>N/A</v>
      </c>
      <c r="DC314" s="211" t="str">
        <f t="shared" si="153"/>
        <v>N/A</v>
      </c>
      <c r="DD314" s="211" t="str">
        <f t="shared" si="154"/>
        <v xml:space="preserve">La Oficina Asesora de Planeación, mediante el memorando N.º 20251200000102373, solicitó el reporte de monitoreo de las actividades contempladas en la versión actual de los cronogramas del Programa de Transparencia y Ética Pública, con el objetivo de identificar oportunidades de mejora en su formulación o la necesidad de incluir nuevas acciones.
Este ejercicio de monitoreo abarca exclusivamente las actividades desarrolladas durante la vigencia actual, hasta el 30 de septiembre de 2025, en concordancia con lo establecido en la Circular CIR25-00000026 de 2025.Resultados del monitoreo
De las 73 actividades planteadas en el plan, distribuidas en los diferentes componentes:39 se cumplieron (algunas con cumplimiento trimestral continuo).4 presentan cumplimiento parcial.10 no se cumplieron.20 no estaban programadas para ejecutarse en el periodo evaluado, ya que tienen fechas previstas para el último trimestre de 2025.
</v>
      </c>
      <c r="DE314" s="211" t="str">
        <f t="shared" si="155"/>
        <v>N/A</v>
      </c>
      <c r="DF314" s="211" t="str">
        <f t="shared" si="156"/>
        <v>N/A</v>
      </c>
    </row>
    <row r="315" spans="1:110" ht="64.5" customHeight="1">
      <c r="A315" s="349" t="s">
        <v>190</v>
      </c>
      <c r="B315" s="209" t="s">
        <v>147</v>
      </c>
      <c r="C315" s="209" t="s">
        <v>216</v>
      </c>
      <c r="D315" s="209" t="s">
        <v>217</v>
      </c>
      <c r="E315" s="209" t="s">
        <v>218</v>
      </c>
      <c r="F315" s="349" t="s">
        <v>219</v>
      </c>
      <c r="G315" s="209" t="s">
        <v>178</v>
      </c>
      <c r="H315" s="243">
        <v>1</v>
      </c>
      <c r="I315" s="323">
        <v>259</v>
      </c>
      <c r="J315" s="323">
        <v>259</v>
      </c>
      <c r="K315" s="290">
        <v>1</v>
      </c>
      <c r="L315" s="209" t="s">
        <v>3297</v>
      </c>
      <c r="M315" s="209" t="b">
        <v>0</v>
      </c>
      <c r="O315" s="209" t="s">
        <v>2832</v>
      </c>
      <c r="P315" s="209" t="s">
        <v>159</v>
      </c>
      <c r="Q315" s="269" t="s">
        <v>160</v>
      </c>
      <c r="R315" s="243"/>
      <c r="S315" s="243"/>
      <c r="Z315" s="209"/>
      <c r="AA315" s="209"/>
      <c r="AB315" s="209"/>
      <c r="AG315" s="269"/>
      <c r="AH315" s="244"/>
      <c r="AI315" s="244"/>
      <c r="AJ315" s="244"/>
      <c r="AQ315" s="209"/>
      <c r="AR315" s="209"/>
      <c r="AS315" s="209"/>
      <c r="BX315" s="274"/>
      <c r="CA315" s="209"/>
      <c r="CO315" s="209" t="s">
        <v>454</v>
      </c>
      <c r="CP315" s="209" t="s">
        <v>147</v>
      </c>
      <c r="CQ315" s="209" t="s">
        <v>460</v>
      </c>
      <c r="CR315" s="209" t="s">
        <v>461</v>
      </c>
      <c r="CS315" s="209" t="s">
        <v>3212</v>
      </c>
      <c r="CT315" s="209" t="s">
        <v>460</v>
      </c>
      <c r="CU315" s="211" t="str">
        <f t="shared" si="145"/>
        <v>N/A</v>
      </c>
      <c r="CV315" s="211" t="str">
        <f t="shared" si="146"/>
        <v>N/A</v>
      </c>
      <c r="CW315" s="211" t="str">
        <f t="shared" si="147"/>
        <v>N/A</v>
      </c>
      <c r="CX315" s="211" t="str">
        <f t="shared" si="148"/>
        <v>N/A</v>
      </c>
      <c r="CY315" s="211" t="str">
        <f t="shared" si="149"/>
        <v>N/A</v>
      </c>
      <c r="CZ315" s="211" t="str">
        <f t="shared" si="150"/>
        <v>N/A</v>
      </c>
      <c r="DA315" s="211" t="str">
        <f t="shared" si="151"/>
        <v>N/A</v>
      </c>
      <c r="DB315" s="211" t="str">
        <f t="shared" si="152"/>
        <v>N/A</v>
      </c>
      <c r="DC315" s="211" t="str">
        <f t="shared" si="153"/>
        <v>N/A</v>
      </c>
      <c r="DD315" s="211" t="str">
        <f t="shared" si="154"/>
        <v xml:space="preserve">Se cumple con la programación dado que se realiza (1) actividade de socialización sobre las funciones de la DOLTS-GF  y acompañamiento a los actores del SGSSS en la ciudad de Tunja  
</v>
      </c>
      <c r="DE315" s="211" t="str">
        <f t="shared" si="155"/>
        <v>N/A</v>
      </c>
      <c r="DF315" s="211" t="str">
        <f t="shared" si="156"/>
        <v>N/A</v>
      </c>
    </row>
    <row r="316" spans="1:110" ht="64.5" customHeight="1">
      <c r="A316" s="349" t="s">
        <v>190</v>
      </c>
      <c r="B316" s="209" t="s">
        <v>147</v>
      </c>
      <c r="C316" s="209" t="s">
        <v>182</v>
      </c>
      <c r="D316" s="209" t="s">
        <v>620</v>
      </c>
      <c r="E316" s="209" t="s">
        <v>621</v>
      </c>
      <c r="F316" s="349" t="s">
        <v>622</v>
      </c>
      <c r="G316" s="209" t="s">
        <v>178</v>
      </c>
      <c r="H316" s="243">
        <v>0.75</v>
      </c>
      <c r="I316" s="323">
        <v>29</v>
      </c>
      <c r="J316" s="323">
        <v>29</v>
      </c>
      <c r="K316" s="290">
        <v>1</v>
      </c>
      <c r="L316" s="209" t="s">
        <v>3295</v>
      </c>
      <c r="M316" s="209" t="b">
        <v>1</v>
      </c>
      <c r="N316" s="209" t="s">
        <v>3296</v>
      </c>
      <c r="O316" s="209" t="s">
        <v>2832</v>
      </c>
      <c r="P316" s="209" t="s">
        <v>159</v>
      </c>
      <c r="Q316" s="269" t="s">
        <v>160</v>
      </c>
      <c r="R316" s="243"/>
      <c r="S316" s="243"/>
      <c r="Z316" s="209"/>
      <c r="AA316" s="209"/>
      <c r="AB316" s="209"/>
      <c r="AG316" s="269"/>
      <c r="AH316" s="244"/>
      <c r="AI316" s="244"/>
      <c r="AJ316" s="244"/>
      <c r="AQ316" s="209"/>
      <c r="AR316" s="209"/>
      <c r="AS316" s="209"/>
      <c r="BX316" s="274"/>
      <c r="CA316" s="209"/>
      <c r="CO316" s="209" t="s">
        <v>454</v>
      </c>
      <c r="CP316" s="209" t="s">
        <v>147</v>
      </c>
      <c r="CQ316" s="209" t="s">
        <v>466</v>
      </c>
      <c r="CR316" s="209" t="s">
        <v>467</v>
      </c>
      <c r="CS316" s="209" t="s">
        <v>3213</v>
      </c>
      <c r="CT316" s="209" t="s">
        <v>466</v>
      </c>
      <c r="CU316" s="211" t="str">
        <f t="shared" si="145"/>
        <v>N/A</v>
      </c>
      <c r="CV316" s="211" t="str">
        <f t="shared" si="146"/>
        <v>N/A</v>
      </c>
      <c r="CW316" s="211" t="str">
        <f t="shared" si="147"/>
        <v>N/A</v>
      </c>
      <c r="CX316" s="211" t="str">
        <f t="shared" si="148"/>
        <v>N/A</v>
      </c>
      <c r="CY316" s="211" t="str">
        <f t="shared" si="149"/>
        <v>N/A</v>
      </c>
      <c r="CZ316" s="211" t="str">
        <f t="shared" si="150"/>
        <v>N/A</v>
      </c>
      <c r="DA316" s="211" t="str">
        <f t="shared" si="151"/>
        <v>N/A</v>
      </c>
      <c r="DB316" s="211" t="str">
        <f t="shared" si="152"/>
        <v>N/A</v>
      </c>
      <c r="DC316" s="211" t="str">
        <f t="shared" si="153"/>
        <v>N/A</v>
      </c>
      <c r="DD316" s="211" t="str">
        <f t="shared" si="154"/>
        <v xml:space="preserve">​Se cumple con la programación dado que se realizan (2) actividades de socialización y acompañamiento a las Direcciones Regionales en la ciudad de Bucaramanga y Santa Marta sobre las  funciones de la DOLTS-GF para efectos de supervisión de los GF
</v>
      </c>
      <c r="DE316" s="211" t="str">
        <f t="shared" si="155"/>
        <v>N/A</v>
      </c>
      <c r="DF316" s="211" t="str">
        <f t="shared" si="156"/>
        <v>N/A</v>
      </c>
    </row>
    <row r="317" spans="1:110" ht="64.5" customHeight="1">
      <c r="A317" s="349" t="s">
        <v>271</v>
      </c>
      <c r="B317" s="209" t="s">
        <v>148</v>
      </c>
      <c r="C317" s="209" t="s">
        <v>225</v>
      </c>
      <c r="D317" s="209" t="s">
        <v>293</v>
      </c>
      <c r="E317" s="209" t="s">
        <v>294</v>
      </c>
      <c r="F317" s="349" t="s">
        <v>295</v>
      </c>
      <c r="G317" s="209" t="s">
        <v>157</v>
      </c>
      <c r="H317" s="243">
        <v>3</v>
      </c>
      <c r="I317" s="324">
        <v>8</v>
      </c>
      <c r="J317" s="325">
        <v>3</v>
      </c>
      <c r="K317" s="290">
        <v>2.6666666666666701</v>
      </c>
      <c r="L317" s="209" t="s">
        <v>3163</v>
      </c>
      <c r="M317" s="209" t="b">
        <v>1</v>
      </c>
      <c r="N317" s="209" t="s">
        <v>3164</v>
      </c>
      <c r="O317" s="209" t="s">
        <v>2832</v>
      </c>
      <c r="P317" s="209" t="s">
        <v>159</v>
      </c>
      <c r="Q317" s="269" t="s">
        <v>160</v>
      </c>
      <c r="R317" s="243"/>
      <c r="S317" s="243"/>
      <c r="Z317" s="209"/>
      <c r="AA317" s="209"/>
      <c r="AB317" s="209"/>
      <c r="AG317" s="269"/>
      <c r="AH317" s="244"/>
      <c r="AI317" s="244"/>
      <c r="AJ317" s="244"/>
      <c r="AQ317" s="209"/>
      <c r="AR317" s="209"/>
      <c r="AS317" s="209"/>
      <c r="BX317" s="274"/>
      <c r="CA317" s="209"/>
      <c r="CO317" s="209" t="s">
        <v>454</v>
      </c>
      <c r="CP317" s="209" t="s">
        <v>147</v>
      </c>
      <c r="CQ317" s="209" t="s">
        <v>602</v>
      </c>
      <c r="CR317" s="209" t="s">
        <v>603</v>
      </c>
      <c r="CS317" s="209" t="s">
        <v>3214</v>
      </c>
      <c r="CT317" s="209" t="s">
        <v>602</v>
      </c>
      <c r="CU317" s="211" t="str">
        <f t="shared" si="145"/>
        <v>N/A</v>
      </c>
      <c r="CV317" s="211" t="str">
        <f t="shared" si="146"/>
        <v>N/A</v>
      </c>
      <c r="CW317" s="211" t="str">
        <f t="shared" si="147"/>
        <v>N/A</v>
      </c>
      <c r="CX317" s="211" t="str">
        <f t="shared" si="148"/>
        <v>N/A</v>
      </c>
      <c r="CY317" s="211" t="str">
        <f t="shared" si="149"/>
        <v>N/A</v>
      </c>
      <c r="CZ317" s="211" t="str">
        <f t="shared" si="150"/>
        <v>N/A</v>
      </c>
      <c r="DA317" s="211" t="str">
        <f t="shared" si="151"/>
        <v>N/A</v>
      </c>
      <c r="DB317" s="211" t="str">
        <f t="shared" si="152"/>
        <v>N/A</v>
      </c>
      <c r="DC317" s="211" t="str">
        <f t="shared" si="153"/>
        <v>N/A</v>
      </c>
      <c r="DD317" s="211" t="str">
        <f t="shared" si="154"/>
        <v xml:space="preserve">​​​Se cumple con la programación de la actividad dado que se realizan (2) actividades de socialización y acompañamiento a las entidades vigiladas como punto de partida para la implementación de los sistemas de gestión de riesgos
</v>
      </c>
      <c r="DE317" s="211" t="str">
        <f t="shared" si="155"/>
        <v>N/A</v>
      </c>
      <c r="DF317" s="211" t="str">
        <f t="shared" si="156"/>
        <v>N/A</v>
      </c>
    </row>
    <row r="318" spans="1:110" ht="64.5" customHeight="1">
      <c r="A318" s="349" t="s">
        <v>271</v>
      </c>
      <c r="B318" s="209" t="s">
        <v>148</v>
      </c>
      <c r="C318" s="209" t="s">
        <v>307</v>
      </c>
      <c r="D318" s="209" t="s">
        <v>308</v>
      </c>
      <c r="E318" s="209" t="s">
        <v>309</v>
      </c>
      <c r="F318" s="349" t="s">
        <v>310</v>
      </c>
      <c r="G318" s="209" t="s">
        <v>157</v>
      </c>
      <c r="H318" s="243">
        <v>1</v>
      </c>
      <c r="I318" s="323">
        <v>17</v>
      </c>
      <c r="J318" s="323">
        <v>1</v>
      </c>
      <c r="K318" s="290">
        <v>17</v>
      </c>
      <c r="L318" s="209" t="s">
        <v>3165</v>
      </c>
      <c r="M318" s="209" t="b">
        <v>1</v>
      </c>
      <c r="N318" s="209" t="s">
        <v>3166</v>
      </c>
      <c r="O318" s="209" t="s">
        <v>2832</v>
      </c>
      <c r="P318" s="209" t="s">
        <v>159</v>
      </c>
      <c r="Q318" s="269" t="s">
        <v>160</v>
      </c>
      <c r="R318" s="243"/>
      <c r="S318" s="243"/>
      <c r="Z318" s="209"/>
      <c r="AA318" s="209"/>
      <c r="AB318" s="209"/>
      <c r="AG318" s="269"/>
      <c r="AH318" s="244"/>
      <c r="AI318" s="244"/>
      <c r="AJ318" s="244"/>
      <c r="AQ318" s="209"/>
      <c r="AR318" s="209"/>
      <c r="AS318" s="209"/>
      <c r="BX318" s="274"/>
      <c r="CA318" s="209"/>
      <c r="CO318" s="209" t="s">
        <v>454</v>
      </c>
      <c r="CP318" s="209" t="s">
        <v>148</v>
      </c>
      <c r="CQ318" s="209" t="s">
        <v>223</v>
      </c>
      <c r="CR318" s="209" t="s">
        <v>455</v>
      </c>
      <c r="CS318" s="209" t="s">
        <v>3215</v>
      </c>
      <c r="CT318" s="209" t="s">
        <v>223</v>
      </c>
      <c r="CU318" s="211" t="str">
        <f t="shared" si="145"/>
        <v>N/A</v>
      </c>
      <c r="CV318" s="211" t="str">
        <f t="shared" si="146"/>
        <v>N/A</v>
      </c>
      <c r="CW318" s="211" t="str">
        <f t="shared" si="147"/>
        <v>N/A</v>
      </c>
      <c r="CX318" s="211" t="str">
        <f t="shared" si="148"/>
        <v>N/A</v>
      </c>
      <c r="CY318" s="211" t="str">
        <f t="shared" si="149"/>
        <v>N/A</v>
      </c>
      <c r="CZ318" s="211" t="str">
        <f t="shared" si="150"/>
        <v>N/A</v>
      </c>
      <c r="DA318" s="211" t="str">
        <f t="shared" si="151"/>
        <v>N/A</v>
      </c>
      <c r="DB318" s="211" t="str">
        <f t="shared" si="152"/>
        <v>N/A</v>
      </c>
      <c r="DC318" s="211" t="str">
        <f t="shared" si="153"/>
        <v>N/A</v>
      </c>
      <c r="DD318" s="211" t="str">
        <f t="shared" si="154"/>
        <v>N/A</v>
      </c>
      <c r="DE318" s="211" t="str">
        <f t="shared" si="155"/>
        <v xml:space="preserve">​​​Se cumple con la programación de la actividad, dado que se realiza auditoría integral al Gestor Farmacéutico INSERCOP ordenada mediante Auto No 2025600020001799-7 del 25 de noviembre de 2025
</v>
      </c>
      <c r="DF318" s="211" t="str">
        <f t="shared" si="156"/>
        <v>N/A</v>
      </c>
    </row>
    <row r="319" spans="1:110" ht="64.5" customHeight="1">
      <c r="A319" s="349" t="s">
        <v>454</v>
      </c>
      <c r="B319" s="209" t="s">
        <v>148</v>
      </c>
      <c r="C319" s="209" t="s">
        <v>223</v>
      </c>
      <c r="D319" s="209" t="s">
        <v>455</v>
      </c>
      <c r="E319" s="209" t="s">
        <v>456</v>
      </c>
      <c r="F319" s="349" t="s">
        <v>457</v>
      </c>
      <c r="G319" s="209" t="s">
        <v>157</v>
      </c>
      <c r="H319" s="243">
        <v>1</v>
      </c>
      <c r="I319" s="323">
        <v>1</v>
      </c>
      <c r="J319" s="323">
        <v>1</v>
      </c>
      <c r="K319" s="290">
        <v>1</v>
      </c>
      <c r="L319" s="209" t="s">
        <v>3215</v>
      </c>
      <c r="M319" s="209" t="b">
        <v>0</v>
      </c>
      <c r="O319" s="209" t="s">
        <v>2832</v>
      </c>
      <c r="P319" s="209" t="s">
        <v>159</v>
      </c>
      <c r="Q319" s="269" t="s">
        <v>160</v>
      </c>
      <c r="R319" s="243"/>
      <c r="S319" s="243"/>
      <c r="Z319" s="209"/>
      <c r="AA319" s="209"/>
      <c r="AB319" s="209"/>
      <c r="AG319" s="269"/>
      <c r="AH319" s="244"/>
      <c r="AI319" s="244"/>
      <c r="AJ319" s="244"/>
      <c r="AQ319" s="209"/>
      <c r="AR319" s="209"/>
      <c r="AS319" s="209"/>
      <c r="BX319" s="274"/>
      <c r="CA319" s="209"/>
      <c r="CO319" s="209" t="s">
        <v>271</v>
      </c>
      <c r="CP319" s="209" t="s">
        <v>148</v>
      </c>
      <c r="CQ319" s="209" t="s">
        <v>225</v>
      </c>
      <c r="CR319" s="209" t="s">
        <v>293</v>
      </c>
      <c r="CS319" s="209" t="s">
        <v>3163</v>
      </c>
      <c r="CT319" s="209" t="s">
        <v>225</v>
      </c>
      <c r="CU319" s="211" t="str">
        <f t="shared" si="145"/>
        <v>N/A</v>
      </c>
      <c r="CV319" s="211" t="str">
        <f t="shared" si="146"/>
        <v>N/A</v>
      </c>
      <c r="CW319" s="211" t="str">
        <f t="shared" si="147"/>
        <v>N/A</v>
      </c>
      <c r="CX319" s="211" t="str">
        <f t="shared" si="148"/>
        <v>N/A</v>
      </c>
      <c r="CY319" s="211" t="str">
        <f t="shared" si="149"/>
        <v>N/A</v>
      </c>
      <c r="CZ319" s="211" t="str">
        <f t="shared" si="150"/>
        <v>N/A</v>
      </c>
      <c r="DA319" s="211" t="str">
        <f t="shared" si="151"/>
        <v>N/A</v>
      </c>
      <c r="DB319" s="211" t="str">
        <f t="shared" si="152"/>
        <v>N/A</v>
      </c>
      <c r="DC319" s="211" t="str">
        <f t="shared" si="153"/>
        <v>N/A</v>
      </c>
      <c r="DD319" s="211" t="str">
        <f t="shared" si="154"/>
        <v>N/A</v>
      </c>
      <c r="DE319" s="211" t="str">
        <f t="shared" si="155"/>
        <v xml:space="preserve">​Se obtuvo para el periodo de reporte una sobre ejecución ya que se realizaron más seguimientos de los que inicialmente se habían identificado, lo que demuestra la capacidad oparativa de la Delegada para Entidades Territoriales y Generadores, Recaudadores y Administradores de Recursos del SGSSS.
Durante noviembre se realizaron 8 seguimientos los cuales se listan a continuación:
- Se realizó el cierre de la auditoría de Dabeiba (antioquia). 
- Se realizó aprobación plan de mejoramiento auditoría municipio de Arjona                                         ------ Se realizó la tercera evaluacion del plan de mejoramiento de la auditoria realizada en el Municipio de Puerto Carreño - Vichada 
- Se oficializó la no aprobación del Plan Mejoramiento auditoria Quípama.
-Se oficializó la no aprobación del Plan Mejoramiento auditoría Viracachá
-Se realizó la segunda evalucación al PM Auditoría Poblaciones Especiales Secretaría Departamental de Salud de Santander el 10/11/2025
-Se realizó la segunda revisión y aprobación del PM de Auditoría Poblaciones Especiales Secretaría Departamental de Salud de Caldas el 25/11/2025.
-Se avanzó en el Plan de mejoramiento DIVGRA - auditoria Gobernación de la Guajira:
20 hallazgos: (1 abierto, 10 en Ejecución, 9 Cerrados)
</v>
      </c>
      <c r="DF319" s="211" t="str">
        <f t="shared" si="156"/>
        <v>N/A</v>
      </c>
    </row>
    <row r="320" spans="1:110" ht="64.5" customHeight="1">
      <c r="A320" s="349" t="s">
        <v>454</v>
      </c>
      <c r="B320" s="209" t="s">
        <v>148</v>
      </c>
      <c r="C320" s="209" t="s">
        <v>460</v>
      </c>
      <c r="D320" s="209" t="s">
        <v>461</v>
      </c>
      <c r="E320" s="209" t="s">
        <v>462</v>
      </c>
      <c r="F320" s="349" t="s">
        <v>463</v>
      </c>
      <c r="G320" s="209" t="s">
        <v>157</v>
      </c>
      <c r="H320" s="243">
        <v>1</v>
      </c>
      <c r="I320" s="323">
        <v>1</v>
      </c>
      <c r="J320" s="323">
        <v>1</v>
      </c>
      <c r="K320" s="290">
        <v>1</v>
      </c>
      <c r="L320" s="209" t="s">
        <v>3216</v>
      </c>
      <c r="M320" s="209" t="b">
        <v>0</v>
      </c>
      <c r="O320" s="209" t="s">
        <v>2832</v>
      </c>
      <c r="P320" s="209" t="s">
        <v>159</v>
      </c>
      <c r="Q320" s="269" t="s">
        <v>160</v>
      </c>
      <c r="R320" s="243"/>
      <c r="S320" s="243"/>
      <c r="Z320" s="209"/>
      <c r="AA320" s="209"/>
      <c r="AB320" s="209"/>
      <c r="AG320" s="269"/>
      <c r="AH320" s="244"/>
      <c r="AI320" s="244"/>
      <c r="AJ320" s="244"/>
      <c r="AQ320" s="209"/>
      <c r="AR320" s="209"/>
      <c r="AS320" s="209"/>
      <c r="BX320" s="274"/>
      <c r="CA320" s="209"/>
      <c r="CO320" s="209" t="s">
        <v>199</v>
      </c>
      <c r="CP320" s="209" t="s">
        <v>148</v>
      </c>
      <c r="CQ320" s="209" t="s">
        <v>1032</v>
      </c>
      <c r="CR320" s="209" t="s">
        <v>1034</v>
      </c>
      <c r="CS320" s="209" t="s">
        <v>3223</v>
      </c>
      <c r="CT320" s="209" t="s">
        <v>1032</v>
      </c>
      <c r="CU320" s="211" t="str">
        <f t="shared" si="145"/>
        <v>N/A</v>
      </c>
      <c r="CV320" s="211" t="str">
        <f t="shared" si="146"/>
        <v>N/A</v>
      </c>
      <c r="CW320" s="211" t="str">
        <f t="shared" si="147"/>
        <v>N/A</v>
      </c>
      <c r="CX320" s="211" t="str">
        <f t="shared" si="148"/>
        <v>N/A</v>
      </c>
      <c r="CY320" s="211" t="str">
        <f t="shared" si="149"/>
        <v>N/A</v>
      </c>
      <c r="CZ320" s="211" t="str">
        <f t="shared" si="150"/>
        <v>N/A</v>
      </c>
      <c r="DA320" s="211" t="str">
        <f t="shared" si="151"/>
        <v>N/A</v>
      </c>
      <c r="DB320" s="211" t="str">
        <f t="shared" si="152"/>
        <v>N/A</v>
      </c>
      <c r="DC320" s="211" t="str">
        <f t="shared" si="153"/>
        <v>N/A</v>
      </c>
      <c r="DD320" s="211" t="str">
        <f t="shared" si="154"/>
        <v>N/A</v>
      </c>
      <c r="DE320" s="211" t="str">
        <f t="shared" si="155"/>
        <v xml:space="preserve">En el periodo reportado correspondiente al segundo trimestre de 2025, se ejecutaron 11 acciones, dando como resultado un cumplimiento del 100% frente a la meta pogramada. De acuerdo con lo anterior, el indicador se encuentra en un rango bueno, la tendencia del indicador es ascendente lo que refleja una mejora, este resultado se debe a que la Dirección de Medidas Especiales para Prestadores de Servicios en Salud, ha gestionado la implementación del lineamiento de enfoque diferencial y el plan de trabajo de formalización laboral por parte de las Entidades de Salud del Estado (E.S.E.) en medida especial.
Este resultado permitió que 11 entidades que actualmente se encuentran en medida dieran inicio a la implementacion y adopción de los lineamientos de formalización laboral y de la atención en salud con enfoque diferencial para el II trimestre de la vigencia 2025, por lo cual no se requieren ajustes por el momento, pero se recomienda realizar seguimiento para que estos vigilados continuen con la implementación de las acciones que a la fecha de corte se encuentran de la siguiente manera:
Para el indicador de Enfoque Diferencial , 8 entidades estan en etapa de medicion y 3 se encuentran en etapa de parametrizacion del sistema para el reporte de datos. Para el indicador de Formalizacion Laboral, las entidades avanzan segun su plan y sus correspondientes fases estimadas.
</v>
      </c>
      <c r="DF320" s="211" t="str">
        <f t="shared" si="156"/>
        <v>N/A</v>
      </c>
    </row>
    <row r="321" spans="1:110" ht="64.5" customHeight="1">
      <c r="A321" s="349" t="s">
        <v>454</v>
      </c>
      <c r="B321" s="209" t="s">
        <v>148</v>
      </c>
      <c r="C321" s="209" t="s">
        <v>466</v>
      </c>
      <c r="D321" s="209" t="s">
        <v>467</v>
      </c>
      <c r="E321" s="209" t="s">
        <v>468</v>
      </c>
      <c r="F321" s="349" t="s">
        <v>469</v>
      </c>
      <c r="G321" s="209" t="s">
        <v>157</v>
      </c>
      <c r="H321" s="243">
        <v>2</v>
      </c>
      <c r="I321" s="323">
        <v>2</v>
      </c>
      <c r="J321" s="323">
        <v>2</v>
      </c>
      <c r="K321" s="290">
        <v>1</v>
      </c>
      <c r="L321" s="209" t="s">
        <v>3217</v>
      </c>
      <c r="M321" s="209" t="b">
        <v>0</v>
      </c>
      <c r="O321" s="209" t="s">
        <v>2832</v>
      </c>
      <c r="P321" s="209" t="s">
        <v>159</v>
      </c>
      <c r="Q321" s="269" t="s">
        <v>160</v>
      </c>
      <c r="R321" s="243"/>
      <c r="S321" s="243"/>
      <c r="Z321" s="209"/>
      <c r="AA321" s="209"/>
      <c r="AB321" s="209"/>
      <c r="AG321" s="269"/>
      <c r="AH321" s="244"/>
      <c r="AI321" s="244"/>
      <c r="AJ321" s="244"/>
      <c r="AQ321" s="209"/>
      <c r="AR321" s="209"/>
      <c r="AS321" s="209"/>
      <c r="BX321" s="274"/>
      <c r="CA321" s="209"/>
      <c r="CO321" s="209" t="s">
        <v>592</v>
      </c>
      <c r="CP321" s="209" t="s">
        <v>148</v>
      </c>
      <c r="CQ321" s="209" t="s">
        <v>288</v>
      </c>
      <c r="CR321" s="209" t="s">
        <v>593</v>
      </c>
      <c r="CS321" s="209" t="s">
        <v>3292</v>
      </c>
      <c r="CT321" s="209" t="s">
        <v>288</v>
      </c>
      <c r="CU321" s="211" t="str">
        <f t="shared" si="145"/>
        <v>N/A</v>
      </c>
      <c r="CV321" s="211" t="str">
        <f t="shared" si="146"/>
        <v>N/A</v>
      </c>
      <c r="CW321" s="211" t="str">
        <f t="shared" si="147"/>
        <v>N/A</v>
      </c>
      <c r="CX321" s="211" t="str">
        <f t="shared" si="148"/>
        <v>N/A</v>
      </c>
      <c r="CY321" s="211" t="str">
        <f t="shared" si="149"/>
        <v>N/A</v>
      </c>
      <c r="CZ321" s="211" t="str">
        <f t="shared" si="150"/>
        <v>N/A</v>
      </c>
      <c r="DA321" s="211" t="str">
        <f t="shared" si="151"/>
        <v>N/A</v>
      </c>
      <c r="DB321" s="211" t="str">
        <f t="shared" si="152"/>
        <v>N/A</v>
      </c>
      <c r="DC321" s="211" t="str">
        <f t="shared" si="153"/>
        <v>N/A</v>
      </c>
      <c r="DD321" s="211" t="str">
        <f t="shared" si="154"/>
        <v>N/A</v>
      </c>
      <c r="DE321" s="211" t="str">
        <f t="shared" si="155"/>
        <v xml:space="preserve">​Se logro la cobertura de los sujetos vigilados mediante visitas de seguimiento y monitoreo cimpliendo con el 100% 
</v>
      </c>
      <c r="DF321" s="211" t="str">
        <f t="shared" si="156"/>
        <v>N/A</v>
      </c>
    </row>
    <row r="322" spans="1:110" ht="64.5" customHeight="1">
      <c r="A322" s="349" t="s">
        <v>454</v>
      </c>
      <c r="B322" s="209" t="s">
        <v>148</v>
      </c>
      <c r="C322" s="209" t="s">
        <v>642</v>
      </c>
      <c r="D322" s="209" t="s">
        <v>673</v>
      </c>
      <c r="E322" s="209" t="s">
        <v>674</v>
      </c>
      <c r="F322" s="349" t="s">
        <v>675</v>
      </c>
      <c r="G322" s="209" t="s">
        <v>157</v>
      </c>
      <c r="H322" s="243">
        <v>32</v>
      </c>
      <c r="I322" s="323">
        <v>32</v>
      </c>
      <c r="J322" s="323">
        <v>32</v>
      </c>
      <c r="K322" s="290">
        <v>1</v>
      </c>
      <c r="L322" s="209" t="s">
        <v>3218</v>
      </c>
      <c r="M322" s="209" t="b">
        <v>0</v>
      </c>
      <c r="O322" s="209" t="s">
        <v>2832</v>
      </c>
      <c r="P322" s="209" t="s">
        <v>159</v>
      </c>
      <c r="Q322" s="269" t="s">
        <v>160</v>
      </c>
      <c r="R322" s="243"/>
      <c r="S322" s="243"/>
      <c r="Z322" s="209"/>
      <c r="AA322" s="209"/>
      <c r="AB322" s="209"/>
      <c r="AG322" s="269"/>
      <c r="AH322" s="244"/>
      <c r="AI322" s="244"/>
      <c r="AJ322" s="244"/>
      <c r="AQ322" s="209"/>
      <c r="AR322" s="209"/>
      <c r="AS322" s="209"/>
      <c r="BX322" s="274"/>
      <c r="CA322" s="209"/>
      <c r="CO322" s="209" t="s">
        <v>238</v>
      </c>
      <c r="CP322" s="209" t="s">
        <v>148</v>
      </c>
      <c r="CQ322" s="209" t="s">
        <v>364</v>
      </c>
      <c r="CR322" s="209" t="s">
        <v>730</v>
      </c>
      <c r="CS322" s="209" t="s">
        <v>3256</v>
      </c>
      <c r="CT322" s="209" t="s">
        <v>364</v>
      </c>
      <c r="CU322" s="211" t="str">
        <f t="shared" si="145"/>
        <v>N/A</v>
      </c>
      <c r="CV322" s="211" t="str">
        <f t="shared" si="146"/>
        <v>N/A</v>
      </c>
      <c r="CW322" s="211" t="str">
        <f t="shared" si="147"/>
        <v>N/A</v>
      </c>
      <c r="CX322" s="211" t="str">
        <f t="shared" si="148"/>
        <v>N/A</v>
      </c>
      <c r="CY322" s="211" t="str">
        <f t="shared" si="149"/>
        <v>N/A</v>
      </c>
      <c r="CZ322" s="211" t="str">
        <f t="shared" si="150"/>
        <v>N/A</v>
      </c>
      <c r="DA322" s="211" t="str">
        <f t="shared" si="151"/>
        <v>N/A</v>
      </c>
      <c r="DB322" s="211" t="str">
        <f t="shared" si="152"/>
        <v>N/A</v>
      </c>
      <c r="DC322" s="211" t="str">
        <f t="shared" si="153"/>
        <v>N/A</v>
      </c>
      <c r="DD322" s="211" t="str">
        <f t="shared" si="154"/>
        <v>N/A</v>
      </c>
      <c r="DE322" s="211" t="str">
        <f t="shared" si="155"/>
        <v xml:space="preserve">​​Durante el mes de noviembre se realizo visita tecnica a las regionales de Barranquilla Riohacha, Quibdó y San Andrés para realizar socializacion  del marco y de los modelos de supervision, en el marco del Plan de Fortalecimiento Institucional de la Estrategia  Territorial de la Dirección de Innovación y Desarrollo. Y a la regional de Cali a socializar la Circular Externa 2025151000000009-5 de 2025 para efectos de supervisión como punto de partida para la implementación de los sistemas de gestión de riesgos. 
</v>
      </c>
      <c r="DF322" s="211" t="str">
        <f t="shared" si="156"/>
        <v>N/A</v>
      </c>
    </row>
    <row r="323" spans="1:110" ht="64.5" customHeight="1">
      <c r="A323" s="349" t="s">
        <v>199</v>
      </c>
      <c r="B323" s="209" t="s">
        <v>148</v>
      </c>
      <c r="C323" s="209" t="s">
        <v>1032</v>
      </c>
      <c r="D323" s="209" t="s">
        <v>1034</v>
      </c>
      <c r="E323" s="209" t="s">
        <v>3221</v>
      </c>
      <c r="F323" s="349" t="s">
        <v>3222</v>
      </c>
      <c r="G323" s="209" t="s">
        <v>178</v>
      </c>
      <c r="H323" s="243">
        <v>0.2</v>
      </c>
      <c r="I323" s="323">
        <v>11</v>
      </c>
      <c r="J323" s="323">
        <v>11</v>
      </c>
      <c r="K323" s="290">
        <v>1</v>
      </c>
      <c r="L323" s="209" t="s">
        <v>3223</v>
      </c>
      <c r="M323" s="209" t="b">
        <v>1</v>
      </c>
      <c r="N323" s="209" t="s">
        <v>3224</v>
      </c>
      <c r="O323" s="209" t="s">
        <v>2832</v>
      </c>
      <c r="P323" s="209" t="s">
        <v>159</v>
      </c>
      <c r="Q323" s="269" t="s">
        <v>160</v>
      </c>
      <c r="R323" s="243"/>
      <c r="S323" s="243"/>
      <c r="Z323" s="209"/>
      <c r="AA323" s="209"/>
      <c r="AB323" s="209"/>
      <c r="AG323" s="269"/>
      <c r="AH323" s="244"/>
      <c r="AI323" s="244"/>
      <c r="AJ323" s="244"/>
      <c r="AQ323" s="209"/>
      <c r="AR323" s="209"/>
      <c r="AS323" s="209"/>
      <c r="BX323" s="274"/>
      <c r="CA323" s="209"/>
      <c r="CO323" s="209" t="s">
        <v>190</v>
      </c>
      <c r="CP323" s="209" t="s">
        <v>148</v>
      </c>
      <c r="CQ323" s="209" t="s">
        <v>216</v>
      </c>
      <c r="CR323" s="209" t="s">
        <v>217</v>
      </c>
      <c r="CS323" s="209" t="s">
        <v>3298</v>
      </c>
      <c r="CT323" s="209" t="s">
        <v>216</v>
      </c>
      <c r="CU323" s="211" t="str">
        <f t="shared" ref="CU323:CU386" si="157">+IF(CP323=$CU$1,CS323,"N/A")</f>
        <v>N/A</v>
      </c>
      <c r="CV323" s="211" t="str">
        <f t="shared" ref="CV323:CV386" si="158">+IF(CP323=$CV$1,CS323,"N/A")</f>
        <v>N/A</v>
      </c>
      <c r="CW323" s="211" t="str">
        <f t="shared" ref="CW323:CW386" si="159">+IF(CP323=$CW$1,CS323,"N/A")</f>
        <v>N/A</v>
      </c>
      <c r="CX323" s="211" t="str">
        <f t="shared" ref="CX323:CX386" si="160">+IF(CP323=$CX$1,CS323,"N/A")</f>
        <v>N/A</v>
      </c>
      <c r="CY323" s="211" t="str">
        <f t="shared" ref="CY323:CY386" si="161">+IF(CP323=$CY$1,CS323,"N/A")</f>
        <v>N/A</v>
      </c>
      <c r="CZ323" s="211" t="str">
        <f t="shared" ref="CZ323:CZ386" si="162">+IF(CP323=$CZ$1,CS323,"N/A")</f>
        <v>N/A</v>
      </c>
      <c r="DA323" s="211" t="str">
        <f t="shared" ref="DA323:DA386" si="163">+IF(CP323=$DA$1,CS323,"N/A")</f>
        <v>N/A</v>
      </c>
      <c r="DB323" s="211" t="str">
        <f t="shared" ref="DB323:DB386" si="164">+IF(CP323=$DB$1,CS323,"N/A")</f>
        <v>N/A</v>
      </c>
      <c r="DC323" s="211" t="str">
        <f t="shared" ref="DC323:DC386" si="165">+IF(CP323=$DC$1,CS323,"N/A")</f>
        <v>N/A</v>
      </c>
      <c r="DD323" s="211" t="str">
        <f t="shared" ref="DD323:DD386" si="166">+IF(CP323=$DD$1,CS323,"N/A")</f>
        <v>N/A</v>
      </c>
      <c r="DE323" s="211" t="str">
        <f t="shared" ref="DE323:DE386" si="167">+IF(CP323=$DE$1,CS323,"N/A")</f>
        <v xml:space="preserve">​Durante el mes de Noviembre, se gestionaron  302 cuentas que fueron radicadas en los tiempos estipulados de acuerdo con la Circular Interna 2022920020000026-4 de 2022, asi mismo, los documentos radicados despúes del dia 25 calendario se tramitaron en el siguiente mes. Por lo cual, se cumplió con la meta del indicador del 100%, (302/302) habiendo gestionado la totalidad de las cuentas radicadas con un tiempo de gestión de 1,9 dias hábiles. Se adjunta base con relación de cuentas radicadas y gestionadas, asi como el reporte del indicador con la correspondiente gráfica.
</v>
      </c>
      <c r="DF323" s="211" t="str">
        <f t="shared" ref="DF323:DF386" si="168">+IF(CP323=$DF$1,CS323,"N/A")</f>
        <v>N/A</v>
      </c>
    </row>
    <row r="324" spans="1:110" ht="64.5" customHeight="1">
      <c r="A324" s="349" t="s">
        <v>238</v>
      </c>
      <c r="B324" s="209" t="s">
        <v>148</v>
      </c>
      <c r="C324" s="209" t="s">
        <v>364</v>
      </c>
      <c r="D324" s="209" t="s">
        <v>730</v>
      </c>
      <c r="E324" s="209" t="s">
        <v>731</v>
      </c>
      <c r="F324" s="349" t="s">
        <v>732</v>
      </c>
      <c r="G324" s="209" t="s">
        <v>157</v>
      </c>
      <c r="H324" s="243">
        <v>1</v>
      </c>
      <c r="I324" s="433">
        <v>1</v>
      </c>
      <c r="J324" s="433">
        <v>1</v>
      </c>
      <c r="K324" s="290">
        <v>1</v>
      </c>
      <c r="L324" s="209" t="s">
        <v>3256</v>
      </c>
      <c r="M324" s="209" t="b">
        <v>1</v>
      </c>
      <c r="N324" s="209" t="s">
        <v>3257</v>
      </c>
      <c r="O324" s="209" t="s">
        <v>2832</v>
      </c>
      <c r="P324" s="209" t="s">
        <v>159</v>
      </c>
      <c r="Q324" s="269" t="s">
        <v>160</v>
      </c>
      <c r="R324" s="243"/>
      <c r="S324" s="243"/>
      <c r="Z324" s="209"/>
      <c r="AA324" s="209"/>
      <c r="AB324" s="209"/>
      <c r="AG324" s="269"/>
      <c r="AH324" s="244"/>
      <c r="AI324" s="244"/>
      <c r="AJ324" s="244"/>
      <c r="AQ324" s="209"/>
      <c r="AR324" s="209"/>
      <c r="AS324" s="209"/>
      <c r="BX324" s="274"/>
      <c r="CA324" s="209"/>
      <c r="CO324" s="209" t="s">
        <v>607</v>
      </c>
      <c r="CP324" s="209" t="s">
        <v>148</v>
      </c>
      <c r="CQ324" s="209" t="s">
        <v>520</v>
      </c>
      <c r="CR324" s="209" t="s">
        <v>608</v>
      </c>
      <c r="CS324" s="209" t="s">
        <v>3286</v>
      </c>
      <c r="CT324" s="209" t="s">
        <v>520</v>
      </c>
      <c r="CU324" s="211" t="str">
        <f t="shared" si="157"/>
        <v>N/A</v>
      </c>
      <c r="CV324" s="211" t="str">
        <f t="shared" si="158"/>
        <v>N/A</v>
      </c>
      <c r="CW324" s="211" t="str">
        <f t="shared" si="159"/>
        <v>N/A</v>
      </c>
      <c r="CX324" s="211" t="str">
        <f t="shared" si="160"/>
        <v>N/A</v>
      </c>
      <c r="CY324" s="211" t="str">
        <f t="shared" si="161"/>
        <v>N/A</v>
      </c>
      <c r="CZ324" s="211" t="str">
        <f t="shared" si="162"/>
        <v>N/A</v>
      </c>
      <c r="DA324" s="211" t="str">
        <f t="shared" si="163"/>
        <v>N/A</v>
      </c>
      <c r="DB324" s="211" t="str">
        <f t="shared" si="164"/>
        <v>N/A</v>
      </c>
      <c r="DC324" s="211" t="str">
        <f t="shared" si="165"/>
        <v>N/A</v>
      </c>
      <c r="DD324" s="211" t="str">
        <f t="shared" si="166"/>
        <v>N/A</v>
      </c>
      <c r="DE324" s="211" t="str">
        <f t="shared" si="167"/>
        <v xml:space="preserve">​De los 89 indicadores suceptibes de reporte en el tercer trimestre de 2025, 84 de ellos cumplieron la meta a la superaron para el periodo, lo que indica un cumplimiento del 94.4%. 
Es importante indicar que durante este periodo se presento la transición de personal, con el ingreso de los funcionarios de concurso, lo que por curva de aprendizaje impacto directamente en los resultados, sin embargo se vienen adelantando capacitaciones para concientizar al personal de la importancia del reporte oportuno de las actividades realizadas para el logro de los objetivos propuestos en el PAG 2025.
</v>
      </c>
      <c r="DF324" s="211" t="str">
        <f t="shared" si="168"/>
        <v>N/A</v>
      </c>
    </row>
    <row r="325" spans="1:110" ht="64.5" customHeight="1">
      <c r="A325" s="349" t="s">
        <v>607</v>
      </c>
      <c r="B325" s="209" t="s">
        <v>148</v>
      </c>
      <c r="C325" s="209" t="s">
        <v>520</v>
      </c>
      <c r="D325" s="209" t="s">
        <v>608</v>
      </c>
      <c r="E325" s="209" t="s">
        <v>609</v>
      </c>
      <c r="F325" s="349" t="s">
        <v>610</v>
      </c>
      <c r="G325" s="209" t="s">
        <v>178</v>
      </c>
      <c r="H325" s="243">
        <v>0.98</v>
      </c>
      <c r="I325" s="324">
        <v>0.94399999999999995</v>
      </c>
      <c r="J325" s="324">
        <v>1</v>
      </c>
      <c r="K325" s="290">
        <v>0.94399999999999995</v>
      </c>
      <c r="L325" s="209" t="s">
        <v>3286</v>
      </c>
      <c r="M325" s="209" t="b">
        <v>0</v>
      </c>
      <c r="O325" s="209" t="s">
        <v>2832</v>
      </c>
      <c r="P325" s="209" t="s">
        <v>159</v>
      </c>
      <c r="Q325" s="269" t="s">
        <v>160</v>
      </c>
      <c r="R325" s="243"/>
      <c r="S325" s="243"/>
      <c r="Z325" s="209"/>
      <c r="AA325" s="209"/>
      <c r="AB325" s="209"/>
      <c r="AG325" s="269"/>
      <c r="AH325" s="244"/>
      <c r="AI325" s="244"/>
      <c r="AJ325" s="244"/>
      <c r="AQ325" s="209"/>
      <c r="AR325" s="209"/>
      <c r="AS325" s="209"/>
      <c r="BX325" s="274"/>
      <c r="CA325" s="209"/>
      <c r="CO325" s="209" t="s">
        <v>454</v>
      </c>
      <c r="CP325" s="209" t="s">
        <v>148</v>
      </c>
      <c r="CQ325" s="209" t="s">
        <v>460</v>
      </c>
      <c r="CR325" s="209" t="s">
        <v>461</v>
      </c>
      <c r="CS325" s="209" t="s">
        <v>3216</v>
      </c>
      <c r="CT325" s="209" t="s">
        <v>460</v>
      </c>
      <c r="CU325" s="211" t="str">
        <f t="shared" si="157"/>
        <v>N/A</v>
      </c>
      <c r="CV325" s="211" t="str">
        <f t="shared" si="158"/>
        <v>N/A</v>
      </c>
      <c r="CW325" s="211" t="str">
        <f t="shared" si="159"/>
        <v>N/A</v>
      </c>
      <c r="CX325" s="211" t="str">
        <f t="shared" si="160"/>
        <v>N/A</v>
      </c>
      <c r="CY325" s="211" t="str">
        <f t="shared" si="161"/>
        <v>N/A</v>
      </c>
      <c r="CZ325" s="211" t="str">
        <f t="shared" si="162"/>
        <v>N/A</v>
      </c>
      <c r="DA325" s="211" t="str">
        <f t="shared" si="163"/>
        <v>N/A</v>
      </c>
      <c r="DB325" s="211" t="str">
        <f t="shared" si="164"/>
        <v>N/A</v>
      </c>
      <c r="DC325" s="211" t="str">
        <f t="shared" si="165"/>
        <v>N/A</v>
      </c>
      <c r="DD325" s="211" t="str">
        <f t="shared" si="166"/>
        <v>N/A</v>
      </c>
      <c r="DE325" s="211" t="str">
        <f t="shared" si="167"/>
        <v xml:space="preserve">​Se cumple con la programación dado que se realiza (1) actividad de socialización sobre las funciones de la DOLTS-GF  y acompañamiento a los actores del SGSSS en la ciudad de Medellin.
</v>
      </c>
      <c r="DF325" s="211" t="str">
        <f t="shared" si="168"/>
        <v>N/A</v>
      </c>
    </row>
    <row r="326" spans="1:110" ht="64.5" customHeight="1">
      <c r="A326" s="349" t="s">
        <v>592</v>
      </c>
      <c r="B326" s="209" t="s">
        <v>148</v>
      </c>
      <c r="C326" s="209" t="s">
        <v>288</v>
      </c>
      <c r="D326" s="209" t="s">
        <v>593</v>
      </c>
      <c r="E326" s="209" t="s">
        <v>594</v>
      </c>
      <c r="F326" s="349" t="s">
        <v>595</v>
      </c>
      <c r="G326" s="209" t="s">
        <v>157</v>
      </c>
      <c r="H326" s="243">
        <v>7</v>
      </c>
      <c r="I326" s="323">
        <v>9</v>
      </c>
      <c r="J326" s="323">
        <v>9</v>
      </c>
      <c r="K326" s="290">
        <v>1</v>
      </c>
      <c r="L326" s="209" t="s">
        <v>3292</v>
      </c>
      <c r="M326" s="209" t="b">
        <v>0</v>
      </c>
      <c r="O326" s="209" t="s">
        <v>2832</v>
      </c>
      <c r="P326" s="209" t="s">
        <v>159</v>
      </c>
      <c r="Q326" s="269" t="s">
        <v>160</v>
      </c>
      <c r="R326" s="243"/>
      <c r="S326" s="243"/>
      <c r="Z326" s="209"/>
      <c r="AA326" s="209"/>
      <c r="AB326" s="209"/>
      <c r="AG326" s="269"/>
      <c r="AH326" s="244"/>
      <c r="AI326" s="244"/>
      <c r="AJ326" s="244"/>
      <c r="AQ326" s="209"/>
      <c r="AR326" s="209"/>
      <c r="AS326" s="209"/>
      <c r="BX326" s="274"/>
      <c r="CA326" s="209"/>
      <c r="CO326" s="209" t="s">
        <v>454</v>
      </c>
      <c r="CP326" s="209" t="s">
        <v>148</v>
      </c>
      <c r="CQ326" s="209" t="s">
        <v>466</v>
      </c>
      <c r="CR326" s="209" t="s">
        <v>467</v>
      </c>
      <c r="CS326" s="209" t="s">
        <v>3217</v>
      </c>
      <c r="CT326" s="209" t="s">
        <v>466</v>
      </c>
      <c r="CU326" s="211" t="str">
        <f t="shared" si="157"/>
        <v>N/A</v>
      </c>
      <c r="CV326" s="211" t="str">
        <f t="shared" si="158"/>
        <v>N/A</v>
      </c>
      <c r="CW326" s="211" t="str">
        <f t="shared" si="159"/>
        <v>N/A</v>
      </c>
      <c r="CX326" s="211" t="str">
        <f t="shared" si="160"/>
        <v>N/A</v>
      </c>
      <c r="CY326" s="211" t="str">
        <f t="shared" si="161"/>
        <v>N/A</v>
      </c>
      <c r="CZ326" s="211" t="str">
        <f t="shared" si="162"/>
        <v>N/A</v>
      </c>
      <c r="DA326" s="211" t="str">
        <f t="shared" si="163"/>
        <v>N/A</v>
      </c>
      <c r="DB326" s="211" t="str">
        <f t="shared" si="164"/>
        <v>N/A</v>
      </c>
      <c r="DC326" s="211" t="str">
        <f t="shared" si="165"/>
        <v>N/A</v>
      </c>
      <c r="DD326" s="211" t="str">
        <f t="shared" si="166"/>
        <v>N/A</v>
      </c>
      <c r="DE326" s="211" t="str">
        <f t="shared" si="167"/>
        <v xml:space="preserve">
 Se cumple con la programación dado que se realizan (2) actividades de socialización y acompañamiento a las Direcciones Regionales en la ciudad de Medellin y Cali sobre las  funciones de la DOLTS-GF y Circular 9-5 de 2025
</v>
      </c>
      <c r="DF326" s="211" t="str">
        <f t="shared" si="168"/>
        <v>N/A</v>
      </c>
    </row>
    <row r="327" spans="1:110" ht="64.5" customHeight="1">
      <c r="A327" s="349" t="s">
        <v>592</v>
      </c>
      <c r="B327" s="209" t="s">
        <v>148</v>
      </c>
      <c r="C327" s="209" t="s">
        <v>611</v>
      </c>
      <c r="D327" s="209" t="s">
        <v>683</v>
      </c>
      <c r="E327" s="209" t="s">
        <v>684</v>
      </c>
      <c r="F327" s="349" t="s">
        <v>595</v>
      </c>
      <c r="G327" s="209" t="s">
        <v>157</v>
      </c>
      <c r="H327" s="243">
        <v>2</v>
      </c>
      <c r="I327" s="433">
        <v>3</v>
      </c>
      <c r="J327" s="433">
        <v>3</v>
      </c>
      <c r="K327" s="290">
        <v>1</v>
      </c>
      <c r="L327" s="209" t="s">
        <v>3293</v>
      </c>
      <c r="M327" s="209" t="b">
        <v>0</v>
      </c>
      <c r="O327" s="209" t="s">
        <v>2832</v>
      </c>
      <c r="P327" s="209" t="s">
        <v>159</v>
      </c>
      <c r="Q327" s="269" t="s">
        <v>160</v>
      </c>
      <c r="R327" s="243"/>
      <c r="S327" s="243"/>
      <c r="Z327" s="209"/>
      <c r="AA327" s="209"/>
      <c r="AB327" s="209"/>
      <c r="AG327" s="269"/>
      <c r="AH327" s="244"/>
      <c r="AI327" s="244"/>
      <c r="AJ327" s="244"/>
      <c r="AQ327" s="209"/>
      <c r="AR327" s="209"/>
      <c r="AS327" s="209"/>
      <c r="BX327" s="274"/>
      <c r="CA327" s="209"/>
      <c r="CO327" s="209" t="s">
        <v>592</v>
      </c>
      <c r="CP327" s="209" t="s">
        <v>148</v>
      </c>
      <c r="CQ327" s="209" t="s">
        <v>611</v>
      </c>
      <c r="CR327" s="209" t="s">
        <v>683</v>
      </c>
      <c r="CS327" s="209" t="s">
        <v>3293</v>
      </c>
      <c r="CT327" s="209" t="s">
        <v>611</v>
      </c>
      <c r="CU327" s="211" t="str">
        <f t="shared" si="157"/>
        <v>N/A</v>
      </c>
      <c r="CV327" s="211" t="str">
        <f t="shared" si="158"/>
        <v>N/A</v>
      </c>
      <c r="CW327" s="211" t="str">
        <f t="shared" si="159"/>
        <v>N/A</v>
      </c>
      <c r="CX327" s="211" t="str">
        <f t="shared" si="160"/>
        <v>N/A</v>
      </c>
      <c r="CY327" s="211" t="str">
        <f t="shared" si="161"/>
        <v>N/A</v>
      </c>
      <c r="CZ327" s="211" t="str">
        <f t="shared" si="162"/>
        <v>N/A</v>
      </c>
      <c r="DA327" s="211" t="str">
        <f t="shared" si="163"/>
        <v>N/A</v>
      </c>
      <c r="DB327" s="211" t="str">
        <f t="shared" si="164"/>
        <v>N/A</v>
      </c>
      <c r="DC327" s="211" t="str">
        <f t="shared" si="165"/>
        <v>N/A</v>
      </c>
      <c r="DD327" s="211" t="str">
        <f t="shared" si="166"/>
        <v>N/A</v>
      </c>
      <c r="DE327" s="211" t="str">
        <f t="shared" si="167"/>
        <v xml:space="preserve">​Mediante visita de Seguimiento t monitoreo se logro la cobertura del 100% de las entidades programadas a vigilados no ordenados por la SNS 
</v>
      </c>
      <c r="DF327" s="211" t="str">
        <f t="shared" si="168"/>
        <v>N/A</v>
      </c>
    </row>
    <row r="328" spans="1:110" ht="64.5" customHeight="1">
      <c r="A328" s="349" t="s">
        <v>190</v>
      </c>
      <c r="B328" s="209" t="s">
        <v>148</v>
      </c>
      <c r="C328" s="209" t="s">
        <v>216</v>
      </c>
      <c r="D328" s="209" t="s">
        <v>217</v>
      </c>
      <c r="E328" s="209" t="s">
        <v>218</v>
      </c>
      <c r="F328" s="349" t="s">
        <v>219</v>
      </c>
      <c r="G328" s="209" t="s">
        <v>178</v>
      </c>
      <c r="H328" s="243">
        <v>1</v>
      </c>
      <c r="I328" s="323">
        <v>302</v>
      </c>
      <c r="J328" s="323">
        <v>302</v>
      </c>
      <c r="K328" s="290">
        <v>1</v>
      </c>
      <c r="L328" s="209" t="s">
        <v>3298</v>
      </c>
      <c r="M328" s="209" t="b">
        <v>0</v>
      </c>
      <c r="O328" s="209" t="s">
        <v>2832</v>
      </c>
      <c r="P328" s="209" t="s">
        <v>159</v>
      </c>
      <c r="Q328" s="269" t="s">
        <v>160</v>
      </c>
      <c r="R328" s="243"/>
      <c r="S328" s="243"/>
      <c r="Z328" s="209"/>
      <c r="AA328" s="209"/>
      <c r="AB328" s="209"/>
      <c r="AG328" s="269"/>
      <c r="AH328" s="244"/>
      <c r="AI328" s="244"/>
      <c r="AJ328" s="244"/>
      <c r="AQ328" s="209"/>
      <c r="AR328" s="209"/>
      <c r="AS328" s="209"/>
      <c r="BX328" s="274"/>
      <c r="CA328" s="209"/>
      <c r="CO328" s="209" t="s">
        <v>454</v>
      </c>
      <c r="CP328" s="209" t="s">
        <v>148</v>
      </c>
      <c r="CQ328" s="209" t="s">
        <v>642</v>
      </c>
      <c r="CR328" s="209" t="s">
        <v>673</v>
      </c>
      <c r="CS328" s="209" t="s">
        <v>3218</v>
      </c>
      <c r="CT328" s="209" t="s">
        <v>642</v>
      </c>
      <c r="CU328" s="211" t="str">
        <f t="shared" si="157"/>
        <v>N/A</v>
      </c>
      <c r="CV328" s="211" t="str">
        <f t="shared" si="158"/>
        <v>N/A</v>
      </c>
      <c r="CW328" s="211" t="str">
        <f t="shared" si="159"/>
        <v>N/A</v>
      </c>
      <c r="CX328" s="211" t="str">
        <f t="shared" si="160"/>
        <v>N/A</v>
      </c>
      <c r="CY328" s="211" t="str">
        <f t="shared" si="161"/>
        <v>N/A</v>
      </c>
      <c r="CZ328" s="211" t="str">
        <f t="shared" si="162"/>
        <v>N/A</v>
      </c>
      <c r="DA328" s="211" t="str">
        <f t="shared" si="163"/>
        <v>N/A</v>
      </c>
      <c r="DB328" s="211" t="str">
        <f t="shared" si="164"/>
        <v>N/A</v>
      </c>
      <c r="DC328" s="211" t="str">
        <f t="shared" si="165"/>
        <v>N/A</v>
      </c>
      <c r="DD328" s="211" t="str">
        <f t="shared" si="166"/>
        <v>N/A</v>
      </c>
      <c r="DE328" s="211" t="str">
        <f t="shared" si="167"/>
        <v xml:space="preserve">​Se cumple con el indicador dado que se realiza la Caracterización individual de los Gestores Farmacéuticos respecto del componente financiero (32)
</v>
      </c>
      <c r="DF328" s="211" t="str">
        <f t="shared" si="168"/>
        <v>N/A</v>
      </c>
    </row>
    <row r="329" spans="1:110" ht="64.5" customHeight="1">
      <c r="A329" s="349" t="s">
        <v>348</v>
      </c>
      <c r="B329" s="209" t="s">
        <v>149</v>
      </c>
      <c r="C329" s="209" t="s">
        <v>323</v>
      </c>
      <c r="D329" s="209" t="s">
        <v>349</v>
      </c>
      <c r="E329" s="209" t="s">
        <v>3144</v>
      </c>
      <c r="F329" s="349" t="s">
        <v>3144</v>
      </c>
      <c r="G329" s="209" t="s">
        <v>157</v>
      </c>
      <c r="H329" s="243">
        <v>1</v>
      </c>
      <c r="I329" s="323">
        <v>644</v>
      </c>
      <c r="J329" s="323">
        <v>212</v>
      </c>
      <c r="K329" s="288">
        <f>+I329/J329</f>
        <v>3.0377358490566038</v>
      </c>
      <c r="L329" s="209" t="s">
        <v>3145</v>
      </c>
      <c r="M329" s="209" t="b">
        <v>0</v>
      </c>
      <c r="O329" s="209" t="s">
        <v>2832</v>
      </c>
      <c r="P329" s="209" t="s">
        <v>159</v>
      </c>
      <c r="Q329" s="269" t="s">
        <v>160</v>
      </c>
      <c r="R329" s="243"/>
      <c r="S329" s="243"/>
      <c r="Z329" s="209"/>
      <c r="AA329" s="209"/>
      <c r="AB329" s="209"/>
      <c r="AG329" s="269"/>
      <c r="AH329" s="244"/>
      <c r="AI329" s="244"/>
      <c r="AJ329" s="244"/>
      <c r="AQ329" s="209"/>
      <c r="AR329" s="209"/>
      <c r="AS329" s="209"/>
      <c r="BX329" s="274"/>
      <c r="CA329" s="209"/>
      <c r="CO329" s="209" t="s">
        <v>271</v>
      </c>
      <c r="CP329" s="209" t="s">
        <v>148</v>
      </c>
      <c r="CQ329" s="209" t="s">
        <v>307</v>
      </c>
      <c r="CR329" s="209" t="s">
        <v>308</v>
      </c>
      <c r="CS329" s="209" t="s">
        <v>3165</v>
      </c>
      <c r="CT329" s="209" t="s">
        <v>307</v>
      </c>
      <c r="CU329" s="211" t="str">
        <f t="shared" si="157"/>
        <v>N/A</v>
      </c>
      <c r="CV329" s="211" t="str">
        <f t="shared" si="158"/>
        <v>N/A</v>
      </c>
      <c r="CW329" s="211" t="str">
        <f t="shared" si="159"/>
        <v>N/A</v>
      </c>
      <c r="CX329" s="211" t="str">
        <f t="shared" si="160"/>
        <v>N/A</v>
      </c>
      <c r="CY329" s="211" t="str">
        <f t="shared" si="161"/>
        <v>N/A</v>
      </c>
      <c r="CZ329" s="211" t="str">
        <f t="shared" si="162"/>
        <v>N/A</v>
      </c>
      <c r="DA329" s="211" t="str">
        <f t="shared" si="163"/>
        <v>N/A</v>
      </c>
      <c r="DB329" s="211" t="str">
        <f t="shared" si="164"/>
        <v>N/A</v>
      </c>
      <c r="DC329" s="211" t="str">
        <f t="shared" si="165"/>
        <v>N/A</v>
      </c>
      <c r="DD329" s="211" t="str">
        <f t="shared" si="166"/>
        <v>N/A</v>
      </c>
      <c r="DE329" s="211" t="str">
        <f t="shared" si="167"/>
        <v xml:space="preserve">​El sobre cumplimiento se debe a que hubo un rezago en el primer semestre el cual se esta subsanando en este periodo de reporte, junto con el cumplimiento del aumento de la meta solicitado  por la Delegada a la OAP.
Para el periodo de reporte, se realizaron 11 mesas de Gobernanza en los siguientes municipios: 
1. Socha- Departamento de Boyacá (Noviembre)
2. Quibdo- Departamento del Chocó (Octubre)
3. Lloró- Departamento del Chocó (Noviembre)
4. Suan- Departamento del Atlántico (Noviembre)
5. Acevedo- Departamento del Huila (Octubre)
6. Guapi- Departamento del Cauca (Julio)
7. Becerril- Departamento del Cesar (Septiembre)
8. Fonseca- La Guajira (Agosto)
9. Salamina- Departamento del Magdalena (Septiembre)
10. Pueblo Viejo-  Departamento del Magdalena (Septiembre)
11.Remolino-  Departamento del Magdalena (Agosto)
Por su parte la Dirección de Inspección y Vigilancia para Generadores, Recaudadores y Administradores de Recursos del SGSSS, realizó 6 mesas de gobernanza sobre rentas cedidas en los siguientes departamentos:
1. Departamento de La Guajira y Cesar
2. Departamento Tolima y Caquetá
3. Departamento de Arauca
4. Departamento de Vaupés
5. Departamento de Guaviare
6. Departamento de Nariño
3 se realizaron en agosto, 1 en septiembre y 2 en noviembre. 
Con lo anterior se da por cumplida la meta para la presente vigencia.
</v>
      </c>
      <c r="DF329" s="211" t="str">
        <f t="shared" si="168"/>
        <v>N/A</v>
      </c>
    </row>
    <row r="330" spans="1:110" ht="64.5" customHeight="1">
      <c r="A330" s="349" t="s">
        <v>348</v>
      </c>
      <c r="B330" s="209" t="s">
        <v>149</v>
      </c>
      <c r="C330" s="209" t="s">
        <v>329</v>
      </c>
      <c r="D330" s="209" t="s">
        <v>748</v>
      </c>
      <c r="E330" s="209" t="s">
        <v>2830</v>
      </c>
      <c r="F330" s="349" t="s">
        <v>2831</v>
      </c>
      <c r="G330" s="209" t="s">
        <v>178</v>
      </c>
      <c r="H330" s="243">
        <v>0.25</v>
      </c>
      <c r="I330" s="433">
        <v>41</v>
      </c>
      <c r="J330" s="433">
        <v>441</v>
      </c>
      <c r="K330" s="290">
        <f>+I330/J330</f>
        <v>9.297052154195011E-2</v>
      </c>
      <c r="L330" s="209" t="s">
        <v>3146</v>
      </c>
      <c r="M330" s="209" t="b">
        <v>0</v>
      </c>
      <c r="O330" s="209" t="s">
        <v>2832</v>
      </c>
      <c r="P330" s="209" t="s">
        <v>159</v>
      </c>
      <c r="Q330" s="269" t="s">
        <v>160</v>
      </c>
      <c r="R330" s="243"/>
      <c r="S330" s="243"/>
      <c r="Z330" s="209"/>
      <c r="AA330" s="209"/>
      <c r="AB330" s="209"/>
      <c r="AG330" s="269"/>
      <c r="AH330" s="244"/>
      <c r="AI330" s="244"/>
      <c r="AJ330" s="244"/>
      <c r="AQ330" s="209"/>
      <c r="AR330" s="209"/>
      <c r="AS330" s="209"/>
      <c r="BX330" s="274"/>
      <c r="CA330" s="209"/>
      <c r="CO330" s="209" t="s">
        <v>190</v>
      </c>
      <c r="CP330" s="209" t="s">
        <v>149</v>
      </c>
      <c r="CQ330" s="209" t="s">
        <v>180</v>
      </c>
      <c r="CR330" s="209" t="s">
        <v>639</v>
      </c>
      <c r="CS330" s="209" t="s">
        <v>3299</v>
      </c>
      <c r="CT330" s="209" t="s">
        <v>180</v>
      </c>
      <c r="CU330" s="211" t="str">
        <f t="shared" si="157"/>
        <v>N/A</v>
      </c>
      <c r="CV330" s="211" t="str">
        <f t="shared" si="158"/>
        <v>N/A</v>
      </c>
      <c r="CW330" s="211" t="str">
        <f t="shared" si="159"/>
        <v>N/A</v>
      </c>
      <c r="CX330" s="211" t="str">
        <f t="shared" si="160"/>
        <v>N/A</v>
      </c>
      <c r="CY330" s="211" t="str">
        <f t="shared" si="161"/>
        <v>N/A</v>
      </c>
      <c r="CZ330" s="211" t="str">
        <f t="shared" si="162"/>
        <v>N/A</v>
      </c>
      <c r="DA330" s="211" t="str">
        <f t="shared" si="163"/>
        <v>N/A</v>
      </c>
      <c r="DB330" s="211" t="str">
        <f t="shared" si="164"/>
        <v>N/A</v>
      </c>
      <c r="DC330" s="211" t="str">
        <f t="shared" si="165"/>
        <v>N/A</v>
      </c>
      <c r="DD330" s="211" t="str">
        <f t="shared" si="166"/>
        <v>N/A</v>
      </c>
      <c r="DE330" s="211" t="str">
        <f t="shared" si="167"/>
        <v>N/A</v>
      </c>
      <c r="DF330" s="211" t="str">
        <f t="shared" si="168"/>
        <v xml:space="preserve">En el tercer cuatrimestre (Septiembre-Diciembre) de 2025 la Oficina de Control Disciplinario realizo seis (6) capacitaciones, charlas en materia disciplinaria, con las siguientes temáticas y participantes: 1) 26/09/2025 Charla Régimen de Inhabilidades, Incompatibilidades y Conflicto de Interés: (Virtual) 423 participantes; 2) Faltas Disciplinarias Relacionadas con Participación en Política (Virtual) 90 participantes; 3) Charla Prevención de Faltas Disciplinarias Dirección Regional Nororiental - Bucaramanga Presencial (14) participantes; 4) "Mora proceso administrativo sancionatorio" Delegada para Investigaciones Administrativas - 14/11/2025  (Virtual) 55 Participantes; 5) Charla Maltrato y Acoso Laboral con énfasis en responsabilidad disciplinaria de los funcionarios de la Supersalud - 18/11/2025 (Virtual) 474 (Presencial) y 6) Hablemos de Integridad, Conflictos de Interés y Confidencialidad de la información - Dirigida a la Delegada de Entidades Territoriales 04/12/2025 - Total Participantes: 167         
Así mismo, la OCDI participo en cinco (5) jornadas de inducción dirigida a los nuevos funcionarios vinculados, por concurso de méritos a la Superintendencia, cuya temática abarca (Generalidades del Proceso Disciplinario; División de Roles (Instrucción y Juzgamiento); Etapas del proceso; Derechos; Deberes; Prohibiciones; Modalidades de conducta y formas de culpabilidad; etc.) – Realizadas de manera Virtual: los días 09 y 30 de septiembre, 21 de octubre, 19 de noviembre y 22 de diciembre de 2025 - Total 297 (participantes)
Total participantes – Función Preventiva= 1594 funcionarios.                SeptiembreOctubreNoviembre Diciembre  Total, participantes: (Virtual) 423 26/09/2025 Charla Régimen de Inhabilidades, Incompatibilidades y Conflicto de Interés
Total, participantes: (Virtual) 90 – Presencial: 14  
* Faltas Disciplinarias Relacionadas con Participación en Política (Virtual)
* Charla Prevención de Faltas Disciplinarias
 Dirección Regional Nororiental - Bucaramanga PresencialTotal, participantes: (Virtual) 529 – Presencial 74
* "Mora proceso administrativo sancionatorio" Delegada para Investigaciones Administrativas - 14/11/2025
* Charla Maltrato y Acoso Laboral con énfasis en responsabilidad disciplinaria de los funcionarios de la Supersalud Total, participantes: (Virtual) 167    * Capacitación:
 Hablemos de Integridad, Conflictos de Interés y Confidencialidad de la información - Dirigida a la Delegada de Entidades Territoriales
Adicionalmente, la oficina ha tenido publicaciones de notas en las ediciones No. 261 y 264 del Superboletín - Septiembre de 2025
</v>
      </c>
    </row>
    <row r="331" spans="1:110" ht="64.5" customHeight="1">
      <c r="A331" s="349" t="s">
        <v>348</v>
      </c>
      <c r="B331" s="209" t="s">
        <v>149</v>
      </c>
      <c r="C331" s="209" t="s">
        <v>422</v>
      </c>
      <c r="D331" s="209" t="s">
        <v>423</v>
      </c>
      <c r="E331" s="209" t="s">
        <v>424</v>
      </c>
      <c r="F331" s="349" t="s">
        <v>425</v>
      </c>
      <c r="G331" s="209" t="s">
        <v>178</v>
      </c>
      <c r="H331" s="243">
        <v>0.25</v>
      </c>
      <c r="I331" s="439">
        <v>724231179</v>
      </c>
      <c r="J331" s="439">
        <v>724431179</v>
      </c>
      <c r="K331" s="290">
        <v>1.00027615491545</v>
      </c>
      <c r="L331" s="209" t="s">
        <v>3398</v>
      </c>
      <c r="M331" s="209" t="b">
        <v>0</v>
      </c>
      <c r="O331" s="209" t="s">
        <v>2832</v>
      </c>
      <c r="P331" s="209" t="s">
        <v>159</v>
      </c>
      <c r="Q331" s="269" t="s">
        <v>160</v>
      </c>
      <c r="R331" s="243"/>
      <c r="S331" s="243"/>
      <c r="Z331" s="209"/>
      <c r="AA331" s="209"/>
      <c r="AB331" s="209"/>
      <c r="AG331" s="269"/>
      <c r="AH331" s="244"/>
      <c r="AI331" s="244"/>
      <c r="AJ331" s="244"/>
      <c r="AQ331" s="209"/>
      <c r="AR331" s="209"/>
      <c r="AS331" s="209"/>
      <c r="BX331" s="274"/>
      <c r="CA331" s="209"/>
      <c r="CO331" s="209" t="s">
        <v>190</v>
      </c>
      <c r="CP331" s="209" t="s">
        <v>149</v>
      </c>
      <c r="CQ331" s="209" t="s">
        <v>182</v>
      </c>
      <c r="CR331" s="209" t="s">
        <v>620</v>
      </c>
      <c r="CS331" s="209" t="s">
        <v>3301</v>
      </c>
      <c r="CT331" s="209" t="s">
        <v>182</v>
      </c>
      <c r="CU331" s="211" t="str">
        <f t="shared" si="157"/>
        <v>N/A</v>
      </c>
      <c r="CV331" s="211" t="str">
        <f t="shared" si="158"/>
        <v>N/A</v>
      </c>
      <c r="CW331" s="211" t="str">
        <f t="shared" si="159"/>
        <v>N/A</v>
      </c>
      <c r="CX331" s="211" t="str">
        <f t="shared" si="160"/>
        <v>N/A</v>
      </c>
      <c r="CY331" s="211" t="str">
        <f t="shared" si="161"/>
        <v>N/A</v>
      </c>
      <c r="CZ331" s="211" t="str">
        <f t="shared" si="162"/>
        <v>N/A</v>
      </c>
      <c r="DA331" s="211" t="str">
        <f t="shared" si="163"/>
        <v>N/A</v>
      </c>
      <c r="DB331" s="211" t="str">
        <f t="shared" si="164"/>
        <v>N/A</v>
      </c>
      <c r="DC331" s="211" t="str">
        <f t="shared" si="165"/>
        <v>N/A</v>
      </c>
      <c r="DD331" s="211" t="str">
        <f t="shared" si="166"/>
        <v>N/A</v>
      </c>
      <c r="DE331" s="211" t="str">
        <f t="shared" si="167"/>
        <v>N/A</v>
      </c>
      <c r="DF331" s="211" t="str">
        <f t="shared" si="168"/>
        <v>De las (26) noticias disciplinarias (Quejas, informe de servidor público o de oficio) recibidas en el sexto bimestre de 2025 (noviembre - diciembre), se adelantaron las siguientes actuaciones: 18 (69,2%) Aperturas de Indagación Previa; 4 (15,4%) Autos Inhibitorios; 2 (7,7%) Aperturas de Investigación Disciplinaria y 2 (7,7%) Traslados por Competencia, profiriendo igual número de autos por el Coordinador del Grupo de Instrucción Disciplinaria en el periodo:
Tipo Noticia/ AutoInforme de Servidor PúblicoQuejaTotal, Noticias VI Bimestre 2025Auto de Indagación Previa9918Auto Inhibitorio 44Auto Apertura de Investigación2  Auto Traslado por Competencia2 2VI Bimestre (Noviembre – Diciembre) 2025, Total131326</v>
      </c>
    </row>
    <row r="332" spans="1:110" ht="64.5" customHeight="1">
      <c r="A332" s="349" t="s">
        <v>348</v>
      </c>
      <c r="B332" s="209" t="s">
        <v>149</v>
      </c>
      <c r="C332" s="209" t="s">
        <v>306</v>
      </c>
      <c r="D332" s="209" t="s">
        <v>758</v>
      </c>
      <c r="E332" s="209" t="s">
        <v>759</v>
      </c>
      <c r="F332" s="349" t="s">
        <v>760</v>
      </c>
      <c r="G332" s="209" t="s">
        <v>2807</v>
      </c>
      <c r="H332" s="243">
        <v>1</v>
      </c>
      <c r="I332" s="323">
        <v>143</v>
      </c>
      <c r="J332" s="323">
        <v>222</v>
      </c>
      <c r="K332" s="290">
        <v>0.644144144144144</v>
      </c>
      <c r="L332" s="209" t="s">
        <v>3399</v>
      </c>
      <c r="M332" s="209" t="b">
        <v>1</v>
      </c>
      <c r="N332" s="209" t="s">
        <v>3400</v>
      </c>
      <c r="O332" s="209" t="s">
        <v>2832</v>
      </c>
      <c r="P332" s="209" t="s">
        <v>159</v>
      </c>
      <c r="Q332" s="269" t="s">
        <v>160</v>
      </c>
      <c r="R332" s="243"/>
      <c r="S332" s="243"/>
      <c r="Z332" s="209"/>
      <c r="AA332" s="209"/>
      <c r="AB332" s="209"/>
      <c r="AG332" s="269"/>
      <c r="AH332" s="244"/>
      <c r="AI332" s="244"/>
      <c r="AJ332" s="244"/>
      <c r="AQ332" s="209"/>
      <c r="AR332" s="209"/>
      <c r="AS332" s="209"/>
      <c r="BX332" s="274"/>
      <c r="CA332" s="209"/>
      <c r="CO332" s="209" t="s">
        <v>190</v>
      </c>
      <c r="CP332" s="209" t="s">
        <v>149</v>
      </c>
      <c r="CQ332" s="209" t="s">
        <v>188</v>
      </c>
      <c r="CR332" s="209" t="s">
        <v>626</v>
      </c>
      <c r="CS332" s="209" t="s">
        <v>3303</v>
      </c>
      <c r="CT332" s="209" t="s">
        <v>188</v>
      </c>
      <c r="CU332" s="211" t="str">
        <f t="shared" si="157"/>
        <v>N/A</v>
      </c>
      <c r="CV332" s="211" t="str">
        <f t="shared" si="158"/>
        <v>N/A</v>
      </c>
      <c r="CW332" s="211" t="str">
        <f t="shared" si="159"/>
        <v>N/A</v>
      </c>
      <c r="CX332" s="211" t="str">
        <f t="shared" si="160"/>
        <v>N/A</v>
      </c>
      <c r="CY332" s="211" t="str">
        <f t="shared" si="161"/>
        <v>N/A</v>
      </c>
      <c r="CZ332" s="211" t="str">
        <f t="shared" si="162"/>
        <v>N/A</v>
      </c>
      <c r="DA332" s="211" t="str">
        <f t="shared" si="163"/>
        <v>N/A</v>
      </c>
      <c r="DB332" s="211" t="str">
        <f t="shared" si="164"/>
        <v>N/A</v>
      </c>
      <c r="DC332" s="211" t="str">
        <f t="shared" si="165"/>
        <v>N/A</v>
      </c>
      <c r="DD332" s="211" t="str">
        <f t="shared" si="166"/>
        <v>N/A</v>
      </c>
      <c r="DE332" s="211" t="str">
        <f t="shared" si="167"/>
        <v>N/A</v>
      </c>
      <c r="DF332" s="211" t="str">
        <f t="shared" si="168"/>
        <v xml:space="preserve">Dada la dinámica de la etapa de instrucción y la variación mensual (Julio:232; Agosto: 205; Septiembre: 142; Octubre:84; Noviembre: 73 y Diciembre: 85) del inventario de expedientes objeto de evaluación o calificación, para adoptar una decisión (archivo o pliego de cargos), se tomará el promedio del semestre (137) como denominador, para el cálculo del indicador, excluyendo aquellos expedientes cuyo término de duración de la indagación previa o investigación disciplinaria se encuentra en curso (vigente), de los137 expedientes reseñados, se adoptaron 183 decisiones de archivo con fundamento en las causales del artículo 90 del Código General Disciplinario y se formularon nueve (9) pliego de cargos.    
En las reuniones de Autoevaluación mensual de la OCDI se verifica el avance frente al indicador y se acumula el mismo, a saber:JulioAgostoSeptiembreOctubreNoviembreDiciembreIndicador:
 (27) Decisiones de Fondo Adoptadas Etapa Instrucción / (232) Número Total Procesos Evaluados - Etapa Instrucción *100 = 11,63%Indicador:
 (62) Decisiones de Fondo Adoptadas Etapa Instrucción / (205) Número Total Procesos Evaluados - Etapa Instrucción *100 = 30,02%Indicador:
 (59) Decisiones de Fondo Adoptadas Etapa Instrucción / (142) Número Total Procesos Evaluados - Etapa Instrucción *100 = 41,5%Indicador:
 (18) Decisiones de Fondo Adoptadas Etapa Instrucción / (84) Número Total Procesos Evaluados - Etapa Instrucción *100 = 21,4%Indicador:
 (11) Decisiones de Fondo Adoptadas Etapa Instrucción / (73) Número Total Procesos Evaluados - Etapa Instrucción *100 = 15,07%Indicador:
 (15) Decisiones de Fondo Adoptadas Etapa Instrucción / (85) Número Total Procesos Evaluados - Etapa Instrucción *100 = 17,64%11,63% (27)41,65% (89)83,15 % (148)104,55% (166)119,62% (177)137,26% (192)
La meta programada, está superada en el 112,26%, ya que para el segundo semestre se tenía previsto un avance del 25%, pero se logró el 137,26%, lo anterior obedece a que en el periodo a reportar se contó con la totalidad del personal de planta y adicionalmente con el tres (3) contratistas de prestación de servicios expertos.  
</v>
      </c>
    </row>
    <row r="333" spans="1:110" ht="64.5" customHeight="1">
      <c r="A333" s="349" t="s">
        <v>365</v>
      </c>
      <c r="B333" s="209" t="s">
        <v>149</v>
      </c>
      <c r="C333" s="209" t="s">
        <v>366</v>
      </c>
      <c r="D333" s="209" t="s">
        <v>367</v>
      </c>
      <c r="E333" s="209" t="s">
        <v>368</v>
      </c>
      <c r="F333" s="349" t="s">
        <v>369</v>
      </c>
      <c r="G333" s="209" t="s">
        <v>178</v>
      </c>
      <c r="H333" s="243">
        <v>0.85</v>
      </c>
      <c r="I333" s="323">
        <v>5</v>
      </c>
      <c r="J333" s="323">
        <v>5</v>
      </c>
      <c r="K333" s="290">
        <v>1</v>
      </c>
      <c r="L333" s="209" t="s">
        <v>3152</v>
      </c>
      <c r="M333" s="209" t="b">
        <v>0</v>
      </c>
      <c r="O333" s="209" t="s">
        <v>2832</v>
      </c>
      <c r="P333" s="209" t="s">
        <v>159</v>
      </c>
      <c r="Q333" s="269" t="s">
        <v>160</v>
      </c>
      <c r="R333" s="243"/>
      <c r="S333" s="243"/>
      <c r="Z333" s="209"/>
      <c r="AA333" s="209"/>
      <c r="AB333" s="209"/>
      <c r="AG333" s="269"/>
      <c r="AH333" s="244"/>
      <c r="AI333" s="244"/>
      <c r="AJ333" s="244"/>
      <c r="AQ333" s="209"/>
      <c r="AR333" s="209"/>
      <c r="AS333" s="209"/>
      <c r="BX333" s="274"/>
      <c r="CA333" s="209"/>
      <c r="CO333" s="209" t="s">
        <v>190</v>
      </c>
      <c r="CP333" s="209" t="s">
        <v>149</v>
      </c>
      <c r="CQ333" s="209" t="s">
        <v>196</v>
      </c>
      <c r="CR333" s="209" t="s">
        <v>631</v>
      </c>
      <c r="CS333" s="209" t="s">
        <v>3305</v>
      </c>
      <c r="CT333" s="209" t="s">
        <v>196</v>
      </c>
      <c r="CU333" s="211" t="str">
        <f t="shared" si="157"/>
        <v>N/A</v>
      </c>
      <c r="CV333" s="211" t="str">
        <f t="shared" si="158"/>
        <v>N/A</v>
      </c>
      <c r="CW333" s="211" t="str">
        <f t="shared" si="159"/>
        <v>N/A</v>
      </c>
      <c r="CX333" s="211" t="str">
        <f t="shared" si="160"/>
        <v>N/A</v>
      </c>
      <c r="CY333" s="211" t="str">
        <f t="shared" si="161"/>
        <v>N/A</v>
      </c>
      <c r="CZ333" s="211" t="str">
        <f t="shared" si="162"/>
        <v>N/A</v>
      </c>
      <c r="DA333" s="211" t="str">
        <f t="shared" si="163"/>
        <v>N/A</v>
      </c>
      <c r="DB333" s="211" t="str">
        <f t="shared" si="164"/>
        <v>N/A</v>
      </c>
      <c r="DC333" s="211" t="str">
        <f t="shared" si="165"/>
        <v>N/A</v>
      </c>
      <c r="DD333" s="211" t="str">
        <f t="shared" si="166"/>
        <v>N/A</v>
      </c>
      <c r="DE333" s="211" t="str">
        <f t="shared" si="167"/>
        <v>N/A</v>
      </c>
      <c r="DF333" s="211" t="str">
        <f t="shared" si="168"/>
        <v xml:space="preserve">El inventario de expedientes existentes en el segundo semestre 2025, a evaluar en etapa de juzgamiento, para adoptar la decisión de primera instancia, correspondía a nueve (9) de los cuales se adoptó fallo sancionatorio de primera instancia en cuatro (4), de otra parte, ya que partir de la notificación efectiva del pliego de cargos se levanta la reserva legal, la decisiones de instancia  se publican en la página web de la Entidad - relatoría de la OCDI - https://www.supersalud.gov.co/es-co/nuestra-entidad/estructura-organica-y-talento-humano/relator%C3%ADa-de-actos-disciplinarios
Lo previsto para el primer semestre se alcanzó según o previsto en el indicador, incluso superando la línea base del indicador.
</v>
      </c>
    </row>
    <row r="334" spans="1:110" ht="64.5" customHeight="1">
      <c r="A334" s="349" t="s">
        <v>365</v>
      </c>
      <c r="B334" s="209" t="s">
        <v>149</v>
      </c>
      <c r="C334" s="209" t="s">
        <v>311</v>
      </c>
      <c r="D334" s="209" t="s">
        <v>387</v>
      </c>
      <c r="E334" s="209" t="s">
        <v>388</v>
      </c>
      <c r="F334" s="349" t="s">
        <v>389</v>
      </c>
      <c r="G334" s="209" t="s">
        <v>157</v>
      </c>
      <c r="H334" s="243">
        <v>5</v>
      </c>
      <c r="I334" s="323">
        <v>5</v>
      </c>
      <c r="J334" s="323">
        <v>5</v>
      </c>
      <c r="K334" s="290">
        <v>1</v>
      </c>
      <c r="L334" s="209" t="s">
        <v>3149</v>
      </c>
      <c r="M334" s="209" t="b">
        <v>0</v>
      </c>
      <c r="O334" s="209" t="s">
        <v>2832</v>
      </c>
      <c r="P334" s="209" t="s">
        <v>159</v>
      </c>
      <c r="Q334" s="269" t="s">
        <v>160</v>
      </c>
      <c r="R334" s="243"/>
      <c r="S334" s="243"/>
      <c r="Z334" s="209"/>
      <c r="AA334" s="209"/>
      <c r="AB334" s="209"/>
      <c r="AG334" s="269"/>
      <c r="AH334" s="244"/>
      <c r="AI334" s="244"/>
      <c r="AJ334" s="244"/>
      <c r="AQ334" s="209"/>
      <c r="AR334" s="209"/>
      <c r="AS334" s="209"/>
      <c r="BX334" s="274"/>
      <c r="CA334" s="209"/>
      <c r="CO334" s="209" t="s">
        <v>199</v>
      </c>
      <c r="CP334" s="209" t="s">
        <v>149</v>
      </c>
      <c r="CQ334" s="209" t="s">
        <v>200</v>
      </c>
      <c r="CR334" s="209" t="s">
        <v>201</v>
      </c>
      <c r="CS334" s="209" t="s">
        <v>3225</v>
      </c>
      <c r="CT334" s="209" t="s">
        <v>200</v>
      </c>
      <c r="CU334" s="211" t="str">
        <f t="shared" si="157"/>
        <v>N/A</v>
      </c>
      <c r="CV334" s="211" t="str">
        <f t="shared" si="158"/>
        <v>N/A</v>
      </c>
      <c r="CW334" s="211" t="str">
        <f t="shared" si="159"/>
        <v>N/A</v>
      </c>
      <c r="CX334" s="211" t="str">
        <f t="shared" si="160"/>
        <v>N/A</v>
      </c>
      <c r="CY334" s="211" t="str">
        <f t="shared" si="161"/>
        <v>N/A</v>
      </c>
      <c r="CZ334" s="211" t="str">
        <f t="shared" si="162"/>
        <v>N/A</v>
      </c>
      <c r="DA334" s="211" t="str">
        <f t="shared" si="163"/>
        <v>N/A</v>
      </c>
      <c r="DB334" s="211" t="str">
        <f t="shared" si="164"/>
        <v>N/A</v>
      </c>
      <c r="DC334" s="211" t="str">
        <f t="shared" si="165"/>
        <v>N/A</v>
      </c>
      <c r="DD334" s="211" t="str">
        <f t="shared" si="166"/>
        <v>N/A</v>
      </c>
      <c r="DE334" s="211" t="str">
        <f t="shared" si="167"/>
        <v>N/A</v>
      </c>
      <c r="DF334" s="211" t="str">
        <f t="shared" si="168"/>
        <v xml:space="preserve">Para el cuarto trimestre de la vigencia 2025, la Dirección de Inspección y Vigilancia para Prestadores de Servicios de Salud programó un total de dieciséis (16) auditorías, cuya ejecución se desarrolló de la siguiente manera:   
• Octubre: se programaron cinco (5) auditorías, de las cuales se ejecutaron la totalidad.
• Noviembre: se programaron nueve (9) auditorías, ejecutándose igualmente la totalidad.
• Diciembre: se programaron dos (2) auditorías; no obstante, se ejecutaron diez (10) auditorías en total.
Las ocho (8) auditorías adicionales realizadas durante el mes de diciembre obedecieron a necesidades del servicio, orientadas a verificar el cumplimiento de las responsabilidades de diversos prestadores de servicios de salud, particularmente en lo relacionado con la garantía de la prestación efectiva de los servicios y el acatamiento de los principios del Sistema General de Seguridad Social en Salud (SGSSS), asegurando condiciones de accesibilidad, oportunidad, continuidad y seguridad en el proceso de atención, con el fin de prevenir la generación de barreras que afecten el goce efectivo del derecho fundamental a la salud.
En consecuencia, para el IV trimestre de 2025 se alcanzó una ejecución del 150%, correspondiente a la realización de veinticuatro (24) auditorías, frente a las dieciséis (16) programadas para el periodo evaluado.
Cabe señalar que, en el desarrollo de las auditorías integrales, se verificó el cumplimiento de las responsabilidades de los prestadores de servicios de salud en los ejes financiero, administrativo y legal, así como en la prestación de servicios de salud. Por su parte, en las auditorías con alcance específico se evaluaron, entre otros aspectos, los siguientes temas: el manejo integral de la desnutrición aguda, moderada y severa en niños y niñas de 0 a 59 meses de edad; el cumplimiento de los lineamientos establecidos en la Ruta Integral de Atención en Salud para la Promoción y Mantenimiento de la Salud y en la Ruta Integral de Atención en Salud para la Población Materno Perinatal; la adecuada prestación de los servicios de salud; el incumplimiento en el reporte de información financiera exigida por esta Superintendencia a través de la Circular Única y su incidencia en la Contribución de Vigilancia; así como la atención de reclamaciones SOAT.
</v>
      </c>
    </row>
    <row r="335" spans="1:110" ht="64.5" customHeight="1">
      <c r="A335" s="349" t="s">
        <v>365</v>
      </c>
      <c r="B335" s="209" t="s">
        <v>149</v>
      </c>
      <c r="C335" s="209" t="s">
        <v>258</v>
      </c>
      <c r="D335" s="209" t="s">
        <v>476</v>
      </c>
      <c r="E335" s="209" t="s">
        <v>477</v>
      </c>
      <c r="F335" s="349" t="s">
        <v>478</v>
      </c>
      <c r="G335" s="209" t="s">
        <v>178</v>
      </c>
      <c r="H335" s="243">
        <v>0.85</v>
      </c>
      <c r="I335" s="323">
        <v>30</v>
      </c>
      <c r="J335" s="323">
        <v>30</v>
      </c>
      <c r="K335" s="290">
        <v>1</v>
      </c>
      <c r="L335" s="209" t="s">
        <v>3148</v>
      </c>
      <c r="M335" s="209" t="b">
        <v>0</v>
      </c>
      <c r="O335" s="209" t="s">
        <v>2832</v>
      </c>
      <c r="P335" s="209" t="s">
        <v>159</v>
      </c>
      <c r="Q335" s="269" t="s">
        <v>160</v>
      </c>
      <c r="R335" s="243"/>
      <c r="S335" s="243"/>
      <c r="Z335" s="209"/>
      <c r="AA335" s="209"/>
      <c r="AB335" s="209"/>
      <c r="AG335" s="269"/>
      <c r="AH335" s="244"/>
      <c r="AI335" s="244"/>
      <c r="AJ335" s="244"/>
      <c r="AQ335" s="209"/>
      <c r="AR335" s="209"/>
      <c r="AS335" s="209"/>
      <c r="BX335" s="274"/>
      <c r="CA335" s="209"/>
      <c r="CO335" s="209" t="s">
        <v>199</v>
      </c>
      <c r="CP335" s="209" t="s">
        <v>149</v>
      </c>
      <c r="CQ335" s="209" t="s">
        <v>204</v>
      </c>
      <c r="CR335" s="209" t="s">
        <v>205</v>
      </c>
      <c r="CS335" s="209" t="s">
        <v>3227</v>
      </c>
      <c r="CT335" s="209" t="s">
        <v>204</v>
      </c>
      <c r="CU335" s="211" t="str">
        <f t="shared" si="157"/>
        <v>N/A</v>
      </c>
      <c r="CV335" s="211" t="str">
        <f t="shared" si="158"/>
        <v>N/A</v>
      </c>
      <c r="CW335" s="211" t="str">
        <f t="shared" si="159"/>
        <v>N/A</v>
      </c>
      <c r="CX335" s="211" t="str">
        <f t="shared" si="160"/>
        <v>N/A</v>
      </c>
      <c r="CY335" s="211" t="str">
        <f t="shared" si="161"/>
        <v>N/A</v>
      </c>
      <c r="CZ335" s="211" t="str">
        <f t="shared" si="162"/>
        <v>N/A</v>
      </c>
      <c r="DA335" s="211" t="str">
        <f t="shared" si="163"/>
        <v>N/A</v>
      </c>
      <c r="DB335" s="211" t="str">
        <f t="shared" si="164"/>
        <v>N/A</v>
      </c>
      <c r="DC335" s="211" t="str">
        <f t="shared" si="165"/>
        <v>N/A</v>
      </c>
      <c r="DD335" s="211" t="str">
        <f t="shared" si="166"/>
        <v>N/A</v>
      </c>
      <c r="DE335" s="211" t="str">
        <f t="shared" si="167"/>
        <v>N/A</v>
      </c>
      <c r="DF335" s="211" t="str">
        <f t="shared" si="168"/>
        <v xml:space="preserve">Durante el cuarto trimestre de la vigencia 2025, la Dirección de Inspección y Vigilancia para Prestadores de Servicios de Salud recibió un total de cincuenta (50) planes de mejoramiento, discriminados así: cinco (5) planes para primera revisión de aprobación, cinco (5) para segunda revisión, y cuarenta (40) planes radicados con soportes de ejecución. La totalidad de los planes fueron evaluados y gestionados dentro de los términos establecidos, alcanzando un cumplimiento del 100 % frente a la meta programada del 100 % para el periodo evaluado.   
La evaluación oportuna y efectiva de los planes de mejoramiento presentados por los prestadores vigilados permite subsanar, corregir y prevenir las causas que originan las situaciones identificadas, así como gestionar los riesgos críticos asociados a factores que afectan su desempeño y el cumplimiento de su cometido institucional. Lo anterior contribuye de manera directa al fortalecimiento de la calidad en la prestación de los servicios de salud y al mejoramiento continuo del Sistema.
</v>
      </c>
    </row>
    <row r="336" spans="1:110" ht="64.5" customHeight="1">
      <c r="A336" s="349" t="s">
        <v>365</v>
      </c>
      <c r="B336" s="209" t="s">
        <v>149</v>
      </c>
      <c r="C336" s="209" t="s">
        <v>230</v>
      </c>
      <c r="D336" s="209" t="s">
        <v>431</v>
      </c>
      <c r="E336" s="209" t="s">
        <v>432</v>
      </c>
      <c r="F336" s="349" t="s">
        <v>433</v>
      </c>
      <c r="G336" s="209" t="s">
        <v>178</v>
      </c>
      <c r="H336" s="243">
        <v>0.85</v>
      </c>
      <c r="I336" s="323">
        <v>9</v>
      </c>
      <c r="J336" s="323">
        <v>9</v>
      </c>
      <c r="K336" s="290">
        <v>1</v>
      </c>
      <c r="L336" s="209" t="s">
        <v>3147</v>
      </c>
      <c r="M336" s="209" t="b">
        <v>0</v>
      </c>
      <c r="O336" s="209" t="s">
        <v>2832</v>
      </c>
      <c r="P336" s="209" t="s">
        <v>159</v>
      </c>
      <c r="Q336" s="269" t="s">
        <v>160</v>
      </c>
      <c r="R336" s="243"/>
      <c r="S336" s="243"/>
      <c r="Z336" s="209"/>
      <c r="AA336" s="209"/>
      <c r="AB336" s="209"/>
      <c r="AG336" s="269"/>
      <c r="AH336" s="244"/>
      <c r="AI336" s="244"/>
      <c r="AJ336" s="244"/>
      <c r="AQ336" s="209"/>
      <c r="AR336" s="209"/>
      <c r="AS336" s="209"/>
      <c r="BX336" s="274"/>
      <c r="CA336" s="209"/>
      <c r="CO336" s="209" t="s">
        <v>391</v>
      </c>
      <c r="CP336" s="209" t="s">
        <v>149</v>
      </c>
      <c r="CQ336" s="209" t="s">
        <v>214</v>
      </c>
      <c r="CR336" s="209" t="s">
        <v>413</v>
      </c>
      <c r="CS336" s="209" t="s">
        <v>3195</v>
      </c>
      <c r="CT336" s="209" t="s">
        <v>214</v>
      </c>
      <c r="CU336" s="211" t="str">
        <f t="shared" si="157"/>
        <v>N/A</v>
      </c>
      <c r="CV336" s="211" t="str">
        <f t="shared" si="158"/>
        <v>N/A</v>
      </c>
      <c r="CW336" s="211" t="str">
        <f t="shared" si="159"/>
        <v>N/A</v>
      </c>
      <c r="CX336" s="211" t="str">
        <f t="shared" si="160"/>
        <v>N/A</v>
      </c>
      <c r="CY336" s="211" t="str">
        <f t="shared" si="161"/>
        <v>N/A</v>
      </c>
      <c r="CZ336" s="211" t="str">
        <f t="shared" si="162"/>
        <v>N/A</v>
      </c>
      <c r="DA336" s="211" t="str">
        <f t="shared" si="163"/>
        <v>N/A</v>
      </c>
      <c r="DB336" s="211" t="str">
        <f t="shared" si="164"/>
        <v>N/A</v>
      </c>
      <c r="DC336" s="211" t="str">
        <f t="shared" si="165"/>
        <v>N/A</v>
      </c>
      <c r="DD336" s="211" t="str">
        <f t="shared" si="166"/>
        <v>N/A</v>
      </c>
      <c r="DE336" s="211" t="str">
        <f t="shared" si="167"/>
        <v>N/A</v>
      </c>
      <c r="DF336" s="211" t="str">
        <f t="shared" si="168"/>
        <v xml:space="preserve">​Relación de las 26 Auditorías Específicas realizadas al Sistema de Información de Atención al Usuario y al Fomento de la Participación Ciudadana según responsabilidad  normativa de los diferentes Vigilados, realizadas por el Grupo SIAU.
Relación de las 2 autorias realizadas al sistema de PQRD de la EPS EMSSANAR y COMFAORIENTE, realizadas por el Grupo de IV a las PQRD.
</v>
      </c>
    </row>
    <row r="337" spans="1:110" ht="64.5" customHeight="1">
      <c r="A337" s="349" t="s">
        <v>365</v>
      </c>
      <c r="B337" s="209" t="s">
        <v>149</v>
      </c>
      <c r="C337" s="209" t="s">
        <v>510</v>
      </c>
      <c r="D337" s="209" t="s">
        <v>431</v>
      </c>
      <c r="E337" s="209" t="s">
        <v>511</v>
      </c>
      <c r="F337" s="349" t="s">
        <v>512</v>
      </c>
      <c r="G337" s="209" t="s">
        <v>178</v>
      </c>
      <c r="H337" s="243">
        <v>0.8</v>
      </c>
      <c r="I337" s="324">
        <v>0.76</v>
      </c>
      <c r="J337" s="434">
        <v>1</v>
      </c>
      <c r="K337" s="290">
        <v>0.76</v>
      </c>
      <c r="L337" s="209" t="s">
        <v>3150</v>
      </c>
      <c r="M337" s="209" t="b">
        <v>1</v>
      </c>
      <c r="N337" s="209" t="s">
        <v>3151</v>
      </c>
      <c r="O337" s="209" t="s">
        <v>2832</v>
      </c>
      <c r="P337" s="209" t="s">
        <v>159</v>
      </c>
      <c r="Q337" s="269" t="s">
        <v>160</v>
      </c>
      <c r="R337" s="243"/>
      <c r="S337" s="243"/>
      <c r="Z337" s="209"/>
      <c r="AA337" s="209"/>
      <c r="AB337" s="209"/>
      <c r="AG337" s="269"/>
      <c r="AH337" s="244"/>
      <c r="AI337" s="244"/>
      <c r="AJ337" s="244"/>
      <c r="AQ337" s="209"/>
      <c r="AR337" s="209"/>
      <c r="AS337" s="209"/>
      <c r="BX337" s="274"/>
      <c r="CA337" s="209"/>
      <c r="CO337" s="209" t="s">
        <v>271</v>
      </c>
      <c r="CP337" s="209" t="s">
        <v>149</v>
      </c>
      <c r="CQ337" s="209" t="s">
        <v>221</v>
      </c>
      <c r="CR337" s="209" t="s">
        <v>537</v>
      </c>
      <c r="CS337" s="209" t="s">
        <v>3167</v>
      </c>
      <c r="CT337" s="209" t="s">
        <v>221</v>
      </c>
      <c r="CU337" s="211" t="str">
        <f t="shared" si="157"/>
        <v>N/A</v>
      </c>
      <c r="CV337" s="211" t="str">
        <f t="shared" si="158"/>
        <v>N/A</v>
      </c>
      <c r="CW337" s="211" t="str">
        <f t="shared" si="159"/>
        <v>N/A</v>
      </c>
      <c r="CX337" s="211" t="str">
        <f t="shared" si="160"/>
        <v>N/A</v>
      </c>
      <c r="CY337" s="211" t="str">
        <f t="shared" si="161"/>
        <v>N/A</v>
      </c>
      <c r="CZ337" s="211" t="str">
        <f t="shared" si="162"/>
        <v>N/A</v>
      </c>
      <c r="DA337" s="211" t="str">
        <f t="shared" si="163"/>
        <v>N/A</v>
      </c>
      <c r="DB337" s="211" t="str">
        <f t="shared" si="164"/>
        <v>N/A</v>
      </c>
      <c r="DC337" s="211" t="str">
        <f t="shared" si="165"/>
        <v>N/A</v>
      </c>
      <c r="DD337" s="211" t="str">
        <f t="shared" si="166"/>
        <v>N/A</v>
      </c>
      <c r="DE337" s="211" t="str">
        <f t="shared" si="167"/>
        <v>N/A</v>
      </c>
      <c r="DF337" s="211" t="str">
        <f t="shared" si="168"/>
        <v xml:space="preserve">Se realizaron 2 auditorias en el mes de septiembre al Concesionario de Apuestas Permanentes red de Servicios del Cesar S.A. y al Distrito Turístico y Cultural de Cartagena de Indias - Departamento Administrativo Distrital de Salud.
Es importante resaltar que no se realizaron más auditorias, ya que con las reportadas en este periodo se cumplia con el 100% de las 20 auditorias propuestas para esta vigencia.
</v>
      </c>
    </row>
    <row r="338" spans="1:110" ht="64.5" customHeight="1">
      <c r="A338" s="349" t="s">
        <v>152</v>
      </c>
      <c r="B338" s="209" t="s">
        <v>149</v>
      </c>
      <c r="C338" s="209" t="s">
        <v>534</v>
      </c>
      <c r="D338" s="209" t="s">
        <v>636</v>
      </c>
      <c r="E338" s="209" t="s">
        <v>637</v>
      </c>
      <c r="F338" s="349" t="s">
        <v>638</v>
      </c>
      <c r="G338" s="209" t="s">
        <v>157</v>
      </c>
      <c r="H338" s="243">
        <v>7</v>
      </c>
      <c r="I338" s="323">
        <v>7</v>
      </c>
      <c r="J338" s="323">
        <v>7</v>
      </c>
      <c r="K338" s="290">
        <v>1</v>
      </c>
      <c r="L338" s="209" t="s">
        <v>3153</v>
      </c>
      <c r="M338" s="209" t="b">
        <v>0</v>
      </c>
      <c r="O338" s="209" t="s">
        <v>2832</v>
      </c>
      <c r="P338" s="209" t="s">
        <v>159</v>
      </c>
      <c r="Q338" s="269" t="s">
        <v>160</v>
      </c>
      <c r="R338" s="243"/>
      <c r="S338" s="243"/>
      <c r="Z338" s="209"/>
      <c r="AA338" s="209"/>
      <c r="AB338" s="209"/>
      <c r="AG338" s="269"/>
      <c r="AH338" s="244"/>
      <c r="AI338" s="244"/>
      <c r="AJ338" s="244"/>
      <c r="AQ338" s="209"/>
      <c r="AR338" s="209"/>
      <c r="AS338" s="209"/>
      <c r="BX338" s="274"/>
      <c r="CA338" s="209"/>
      <c r="CO338" s="209" t="s">
        <v>271</v>
      </c>
      <c r="CP338" s="209" t="s">
        <v>149</v>
      </c>
      <c r="CQ338" s="209" t="s">
        <v>225</v>
      </c>
      <c r="CR338" s="209" t="s">
        <v>293</v>
      </c>
      <c r="CS338" s="209" t="s">
        <v>3169</v>
      </c>
      <c r="CT338" s="209" t="s">
        <v>225</v>
      </c>
      <c r="CU338" s="211" t="str">
        <f t="shared" si="157"/>
        <v>N/A</v>
      </c>
      <c r="CV338" s="211" t="str">
        <f t="shared" si="158"/>
        <v>N/A</v>
      </c>
      <c r="CW338" s="211" t="str">
        <f t="shared" si="159"/>
        <v>N/A</v>
      </c>
      <c r="CX338" s="211" t="str">
        <f t="shared" si="160"/>
        <v>N/A</v>
      </c>
      <c r="CY338" s="211" t="str">
        <f t="shared" si="161"/>
        <v>N/A</v>
      </c>
      <c r="CZ338" s="211" t="str">
        <f t="shared" si="162"/>
        <v>N/A</v>
      </c>
      <c r="DA338" s="211" t="str">
        <f t="shared" si="163"/>
        <v>N/A</v>
      </c>
      <c r="DB338" s="211" t="str">
        <f t="shared" si="164"/>
        <v>N/A</v>
      </c>
      <c r="DC338" s="211" t="str">
        <f t="shared" si="165"/>
        <v>N/A</v>
      </c>
      <c r="DD338" s="211" t="str">
        <f t="shared" si="166"/>
        <v>N/A</v>
      </c>
      <c r="DE338" s="211" t="str">
        <f t="shared" si="167"/>
        <v>N/A</v>
      </c>
      <c r="DF338" s="211" t="str">
        <f t="shared" si="168"/>
        <v xml:space="preserve">Durante el periodo evaluado, las Direcciones Regionales adelantaron las siguientes acciones de seguimiento y cierre de auditorías, así:
Regional Andina:Se realizaron seguimientos a las auditorías del Distrito de Medellín y el cierre de la auditoría al municipio de Frontino.
Regional Nororiental:Se efectuó el tercer seguimiento a las auditorías de Puerto Boyacá (vigencia 2024). Adicionalmente, se aprobó el Plan de Mejoramiento derivado de las auditorías a los municipios de Viracachá y Quípama (vigencia 2025).
Regional Orinoquía:Se realizó el tercer seguimiento a la auditoría del municipio de Puerto Carreño.
Regional Caribe:se efectuó el primer seguimiento a la auditoría del municipio de La Jagua de Ibirico (Cesar).
Dirección Regional Occidental: Se adelantaron seguimientos y se efectuó el cierre de la auditoría de Timbiquí (Cauca).
Dirección Regional Sur: Se realizó el tercer seguimiento y cierre del Plan de Mejoramiento derivado de la auditoría al municipio de Pitalito. Asimismo, se reiteró la solicitud de presentación de soportes del Plan de Mejoramiento producto de la auditoría al municipio de Prado.
</v>
      </c>
    </row>
    <row r="339" spans="1:110" ht="64.5" customHeight="1">
      <c r="A339" s="349" t="s">
        <v>152</v>
      </c>
      <c r="B339" s="209" t="s">
        <v>149</v>
      </c>
      <c r="C339" s="209" t="s">
        <v>536</v>
      </c>
      <c r="D339" s="209" t="s">
        <v>643</v>
      </c>
      <c r="E339" s="209" t="s">
        <v>644</v>
      </c>
      <c r="F339" s="349" t="s">
        <v>645</v>
      </c>
      <c r="G339" s="209" t="s">
        <v>157</v>
      </c>
      <c r="H339" s="243">
        <v>7</v>
      </c>
      <c r="I339" s="323">
        <v>7</v>
      </c>
      <c r="J339" s="323">
        <v>7</v>
      </c>
      <c r="K339" s="290">
        <v>1</v>
      </c>
      <c r="L339" s="209" t="s">
        <v>3154</v>
      </c>
      <c r="M339" s="209" t="b">
        <v>0</v>
      </c>
      <c r="O339" s="209" t="s">
        <v>2832</v>
      </c>
      <c r="P339" s="209" t="s">
        <v>159</v>
      </c>
      <c r="Q339" s="269" t="s">
        <v>160</v>
      </c>
      <c r="R339" s="243"/>
      <c r="S339" s="243"/>
      <c r="Z339" s="209"/>
      <c r="AA339" s="209"/>
      <c r="AB339" s="209"/>
      <c r="AG339" s="269"/>
      <c r="AH339" s="244"/>
      <c r="AI339" s="244"/>
      <c r="AJ339" s="244"/>
      <c r="AQ339" s="209"/>
      <c r="AR339" s="209"/>
      <c r="AS339" s="209"/>
      <c r="BX339" s="274"/>
      <c r="CA339" s="209"/>
      <c r="CO339" s="209" t="s">
        <v>365</v>
      </c>
      <c r="CP339" s="209" t="s">
        <v>149</v>
      </c>
      <c r="CQ339" s="209" t="s">
        <v>230</v>
      </c>
      <c r="CR339" s="209" t="s">
        <v>431</v>
      </c>
      <c r="CS339" s="209" t="s">
        <v>3147</v>
      </c>
      <c r="CT339" s="209" t="s">
        <v>230</v>
      </c>
      <c r="CU339" s="211" t="str">
        <f t="shared" si="157"/>
        <v>N/A</v>
      </c>
      <c r="CV339" s="211" t="str">
        <f t="shared" si="158"/>
        <v>N/A</v>
      </c>
      <c r="CW339" s="211" t="str">
        <f t="shared" si="159"/>
        <v>N/A</v>
      </c>
      <c r="CX339" s="211" t="str">
        <f t="shared" si="160"/>
        <v>N/A</v>
      </c>
      <c r="CY339" s="211" t="str">
        <f t="shared" si="161"/>
        <v>N/A</v>
      </c>
      <c r="CZ339" s="211" t="str">
        <f t="shared" si="162"/>
        <v>N/A</v>
      </c>
      <c r="DA339" s="211" t="str">
        <f t="shared" si="163"/>
        <v>N/A</v>
      </c>
      <c r="DB339" s="211" t="str">
        <f t="shared" si="164"/>
        <v>N/A</v>
      </c>
      <c r="DC339" s="211" t="str">
        <f t="shared" si="165"/>
        <v>N/A</v>
      </c>
      <c r="DD339" s="211" t="str">
        <f t="shared" si="166"/>
        <v>N/A</v>
      </c>
      <c r="DE339" s="211" t="str">
        <f t="shared" si="167"/>
        <v>N/A</v>
      </c>
      <c r="DF339" s="211" t="str">
        <f t="shared" si="168"/>
        <v xml:space="preserve">​Para el IV trimestre se realizaron 9 auditorias de las 9 proyectadas para el trimestre, cumpliendo con el 100% de las auditorias proyectadas. Superando la meta del 85% proyectada.
Para la vigencia 2025 se presentaron dificultades al inicio de la vigencia debido a la falta de tiquetes, situación que afecto el cumplimiento de este indicador en el primer trimestre, se sugiere proyectar este tipo contratos con vigencias futuras a fin de no afectar las acciones de Inspección y Vigilancia proyectadas desde esta dependencia
</v>
      </c>
    </row>
    <row r="340" spans="1:110" ht="64.5" customHeight="1">
      <c r="A340" s="349" t="s">
        <v>152</v>
      </c>
      <c r="B340" s="209" t="s">
        <v>149</v>
      </c>
      <c r="C340" s="209" t="s">
        <v>174</v>
      </c>
      <c r="D340" s="209" t="s">
        <v>175</v>
      </c>
      <c r="E340" s="209" t="s">
        <v>176</v>
      </c>
      <c r="F340" s="349" t="s">
        <v>177</v>
      </c>
      <c r="G340" s="209" t="s">
        <v>178</v>
      </c>
      <c r="H340" s="243">
        <v>1</v>
      </c>
      <c r="I340" s="323">
        <v>2737</v>
      </c>
      <c r="J340" s="323">
        <v>2737</v>
      </c>
      <c r="K340" s="290">
        <v>1</v>
      </c>
      <c r="L340" s="209" t="s">
        <v>3155</v>
      </c>
      <c r="M340" s="209" t="b">
        <v>0</v>
      </c>
      <c r="O340" s="209" t="s">
        <v>2832</v>
      </c>
      <c r="P340" s="209" t="s">
        <v>159</v>
      </c>
      <c r="Q340" s="269" t="s">
        <v>160</v>
      </c>
      <c r="R340" s="243"/>
      <c r="S340" s="243"/>
      <c r="Z340" s="209"/>
      <c r="AA340" s="209"/>
      <c r="AB340" s="209"/>
      <c r="AG340" s="269"/>
      <c r="AH340" s="244"/>
      <c r="AI340" s="244"/>
      <c r="AJ340" s="244"/>
      <c r="AQ340" s="209"/>
      <c r="AR340" s="209"/>
      <c r="AS340" s="209"/>
      <c r="BX340" s="274"/>
      <c r="CA340" s="209"/>
      <c r="CO340" s="209" t="s">
        <v>190</v>
      </c>
      <c r="CP340" s="209" t="s">
        <v>149</v>
      </c>
      <c r="CQ340" s="209" t="s">
        <v>236</v>
      </c>
      <c r="CR340" s="209" t="s">
        <v>372</v>
      </c>
      <c r="CS340" s="209" t="s">
        <v>3307</v>
      </c>
      <c r="CT340" s="209" t="s">
        <v>236</v>
      </c>
      <c r="CU340" s="211" t="str">
        <f t="shared" si="157"/>
        <v>N/A</v>
      </c>
      <c r="CV340" s="211" t="str">
        <f t="shared" si="158"/>
        <v>N/A</v>
      </c>
      <c r="CW340" s="211" t="str">
        <f t="shared" si="159"/>
        <v>N/A</v>
      </c>
      <c r="CX340" s="211" t="str">
        <f t="shared" si="160"/>
        <v>N/A</v>
      </c>
      <c r="CY340" s="211" t="str">
        <f t="shared" si="161"/>
        <v>N/A</v>
      </c>
      <c r="CZ340" s="211" t="str">
        <f t="shared" si="162"/>
        <v>N/A</v>
      </c>
      <c r="DA340" s="211" t="str">
        <f t="shared" si="163"/>
        <v>N/A</v>
      </c>
      <c r="DB340" s="211" t="str">
        <f t="shared" si="164"/>
        <v>N/A</v>
      </c>
      <c r="DC340" s="211" t="str">
        <f t="shared" si="165"/>
        <v>N/A</v>
      </c>
      <c r="DD340" s="211" t="str">
        <f t="shared" si="166"/>
        <v>N/A</v>
      </c>
      <c r="DE340" s="211" t="str">
        <f t="shared" si="167"/>
        <v>N/A</v>
      </c>
      <c r="DF340" s="211" t="str">
        <f t="shared" si="168"/>
        <v xml:space="preserve">​
Durante el cuarto trimestre, el grupo de Recursos de la Dirección Administrativa, adscrito a la Secretaría General, adelantó las siguientes acciones orientadas al fortalecimiento del cuidado y control de los bienes públicos:Socialización institucional: Se realizó una socialización mediante correo electrónico, a todos los funcionarios de la Superintendencia Nacional de Salud, enfocada en la promoción del cuidado de los bienes públicos y la responsabilidad que implica su uso adecuado.
 Adjunto:  
1. "Cuidemos los bienes públicos.pdf
2.Evidencia pieza grafica "
 Sensibilización: Se llevó a cabo una sesión de sensibilización dirigidas a funcionarios y contratistas sobre el cuidado y control de los bienes de la entidad, abordando el uso responsable de estos activos y el manejo del aplicativo "Aplica".
Adjunto: Asistencia capacitación sobre el control y cuidado de los bienes Presentación Socialización Cuidado De Bienes
Estas actividades contribuyen al fortalecimiento de la cultura institucional en torno al uso responsable de los bienes públicos, promoviendo el conocimiento y cumplimiento de las obligaciones por parte de los servidores públicos y contratistas.
</v>
      </c>
    </row>
    <row r="341" spans="1:110" ht="64.5" customHeight="1">
      <c r="A341" s="349" t="s">
        <v>152</v>
      </c>
      <c r="B341" s="209" t="s">
        <v>149</v>
      </c>
      <c r="C341" s="209" t="s">
        <v>183</v>
      </c>
      <c r="D341" s="209" t="s">
        <v>184</v>
      </c>
      <c r="E341" s="209" t="s">
        <v>185</v>
      </c>
      <c r="F341" s="349" t="s">
        <v>186</v>
      </c>
      <c r="G341" s="209" t="s">
        <v>178</v>
      </c>
      <c r="H341" s="243">
        <v>1</v>
      </c>
      <c r="I341" s="433">
        <v>0</v>
      </c>
      <c r="J341" s="433">
        <v>0</v>
      </c>
      <c r="K341" s="290">
        <v>0.99021215138615903</v>
      </c>
      <c r="L341" s="209" t="s">
        <v>3539</v>
      </c>
      <c r="M341" s="209" t="b">
        <v>0</v>
      </c>
      <c r="O341" s="209" t="s">
        <v>2832</v>
      </c>
      <c r="P341" s="209" t="s">
        <v>159</v>
      </c>
      <c r="Q341" s="269" t="s">
        <v>160</v>
      </c>
      <c r="R341" s="243"/>
      <c r="S341" s="243"/>
      <c r="Z341" s="209"/>
      <c r="AA341" s="209"/>
      <c r="AB341" s="209"/>
      <c r="AG341" s="269"/>
      <c r="AH341" s="244"/>
      <c r="AI341" s="244"/>
      <c r="AJ341" s="244"/>
      <c r="AQ341" s="209"/>
      <c r="AR341" s="209"/>
      <c r="AS341" s="209"/>
      <c r="BX341" s="274"/>
      <c r="CA341" s="209"/>
      <c r="CO341" s="209" t="s">
        <v>190</v>
      </c>
      <c r="CP341" s="209" t="s">
        <v>149</v>
      </c>
      <c r="CQ341" s="209" t="s">
        <v>244</v>
      </c>
      <c r="CR341" s="209" t="s">
        <v>376</v>
      </c>
      <c r="CS341" s="209" t="s">
        <v>3308</v>
      </c>
      <c r="CT341" s="209" t="s">
        <v>244</v>
      </c>
      <c r="CU341" s="211" t="str">
        <f t="shared" si="157"/>
        <v>N/A</v>
      </c>
      <c r="CV341" s="211" t="str">
        <f t="shared" si="158"/>
        <v>N/A</v>
      </c>
      <c r="CW341" s="211" t="str">
        <f t="shared" si="159"/>
        <v>N/A</v>
      </c>
      <c r="CX341" s="211" t="str">
        <f t="shared" si="160"/>
        <v>N/A</v>
      </c>
      <c r="CY341" s="211" t="str">
        <f t="shared" si="161"/>
        <v>N/A</v>
      </c>
      <c r="CZ341" s="211" t="str">
        <f t="shared" si="162"/>
        <v>N/A</v>
      </c>
      <c r="DA341" s="211" t="str">
        <f t="shared" si="163"/>
        <v>N/A</v>
      </c>
      <c r="DB341" s="211" t="str">
        <f t="shared" si="164"/>
        <v>N/A</v>
      </c>
      <c r="DC341" s="211" t="str">
        <f t="shared" si="165"/>
        <v>N/A</v>
      </c>
      <c r="DD341" s="211" t="str">
        <f t="shared" si="166"/>
        <v>N/A</v>
      </c>
      <c r="DE341" s="211" t="str">
        <f t="shared" si="167"/>
        <v>N/A</v>
      </c>
      <c r="DF341" s="211" t="str">
        <f t="shared" si="168"/>
        <v xml:space="preserve">​
Los funcionarios responsables del componente ambiental del Grupo de Recursos Físicos realizaron el seguimiento y aseguraron el cumplimiento oportuno de las actividades establecidas en el cronograma de hitos ambientales del Sistema de Gestión Ambiental, con corte a diciembre de 2025. Todas las actividades programadas fueron ejecutadas con el objetivo de optimizar el desempeño del Sistema de Gestión Ambiental, conforme a los lineamientos de la norma ISO 14001:2015.
Estas acciones buscan fortalecer la implementación del Sistema de Gestión Ambiental, promoviendo su consolidación y madurez dentro de la organización. Se generaron y cargaron en el aplicativo correspondiente las evidencias de cada actividad ejecutada. En total, se llevaron a cabo las 13 actividades previstas, alcanzando un avance del 100% según la planeación establecida en el cronograma para un total de 63 actividades.
</v>
      </c>
    </row>
    <row r="342" spans="1:110" ht="64.5" customHeight="1">
      <c r="A342" s="349" t="s">
        <v>152</v>
      </c>
      <c r="B342" s="209" t="s">
        <v>149</v>
      </c>
      <c r="C342" s="209" t="s">
        <v>153</v>
      </c>
      <c r="D342" s="209" t="s">
        <v>154</v>
      </c>
      <c r="E342" s="209" t="s">
        <v>155</v>
      </c>
      <c r="F342" s="349" t="s">
        <v>156</v>
      </c>
      <c r="G342" s="209" t="s">
        <v>157</v>
      </c>
      <c r="H342" s="243">
        <v>30</v>
      </c>
      <c r="I342" s="323">
        <v>30</v>
      </c>
      <c r="J342" s="323">
        <v>30</v>
      </c>
      <c r="K342" s="290">
        <v>1</v>
      </c>
      <c r="L342" s="209" t="s">
        <v>3157</v>
      </c>
      <c r="M342" s="209" t="b">
        <v>0</v>
      </c>
      <c r="O342" s="209" t="s">
        <v>2832</v>
      </c>
      <c r="P342" s="209" t="s">
        <v>159</v>
      </c>
      <c r="Q342" s="269" t="s">
        <v>160</v>
      </c>
      <c r="R342" s="243"/>
      <c r="S342" s="243"/>
      <c r="Z342" s="209"/>
      <c r="AA342" s="209"/>
      <c r="AB342" s="209"/>
      <c r="AG342" s="269"/>
      <c r="AH342" s="244"/>
      <c r="AI342" s="244"/>
      <c r="AJ342" s="244"/>
      <c r="AQ342" s="209"/>
      <c r="AR342" s="209"/>
      <c r="AS342" s="209"/>
      <c r="BX342" s="274"/>
      <c r="CA342" s="209"/>
      <c r="CO342" s="209" t="s">
        <v>190</v>
      </c>
      <c r="CP342" s="209" t="s">
        <v>149</v>
      </c>
      <c r="CQ342" s="209" t="s">
        <v>251</v>
      </c>
      <c r="CR342" s="209" t="s">
        <v>472</v>
      </c>
      <c r="CS342" s="209" t="s">
        <v>3309</v>
      </c>
      <c r="CT342" s="209" t="s">
        <v>251</v>
      </c>
      <c r="CU342" s="211" t="str">
        <f t="shared" si="157"/>
        <v>N/A</v>
      </c>
      <c r="CV342" s="211" t="str">
        <f t="shared" si="158"/>
        <v>N/A</v>
      </c>
      <c r="CW342" s="211" t="str">
        <f t="shared" si="159"/>
        <v>N/A</v>
      </c>
      <c r="CX342" s="211" t="str">
        <f t="shared" si="160"/>
        <v>N/A</v>
      </c>
      <c r="CY342" s="211" t="str">
        <f t="shared" si="161"/>
        <v>N/A</v>
      </c>
      <c r="CZ342" s="211" t="str">
        <f t="shared" si="162"/>
        <v>N/A</v>
      </c>
      <c r="DA342" s="211" t="str">
        <f t="shared" si="163"/>
        <v>N/A</v>
      </c>
      <c r="DB342" s="211" t="str">
        <f t="shared" si="164"/>
        <v>N/A</v>
      </c>
      <c r="DC342" s="211" t="str">
        <f t="shared" si="165"/>
        <v>N/A</v>
      </c>
      <c r="DD342" s="211" t="str">
        <f t="shared" si="166"/>
        <v>N/A</v>
      </c>
      <c r="DE342" s="211" t="str">
        <f t="shared" si="167"/>
        <v>N/A</v>
      </c>
      <c r="DF342" s="211" t="str">
        <f t="shared" si="168"/>
        <v xml:space="preserve">​En Diciembre de 2025, como consecuencia de las actualizaciones solicitadas por la dependencia, se ejecutó una programación de 380 líneas.
 A corte 31 de Diciembre de 2025, se ejecutaron todas las líneas radicadas por las dependencias.
</v>
      </c>
    </row>
    <row r="343" spans="1:110" ht="64.5" customHeight="1">
      <c r="A343" s="349" t="s">
        <v>152</v>
      </c>
      <c r="B343" s="209" t="s">
        <v>149</v>
      </c>
      <c r="C343" s="209" t="s">
        <v>165</v>
      </c>
      <c r="D343" s="209" t="s">
        <v>166</v>
      </c>
      <c r="E343" s="209" t="s">
        <v>167</v>
      </c>
      <c r="F343" s="349" t="s">
        <v>168</v>
      </c>
      <c r="G343" s="209" t="s">
        <v>157</v>
      </c>
      <c r="H343" s="243">
        <v>120</v>
      </c>
      <c r="I343" s="323">
        <v>120</v>
      </c>
      <c r="J343" s="323">
        <v>120</v>
      </c>
      <c r="K343" s="290">
        <v>1</v>
      </c>
      <c r="L343" s="209" t="s">
        <v>3158</v>
      </c>
      <c r="M343" s="209" t="b">
        <v>0</v>
      </c>
      <c r="O343" s="209" t="s">
        <v>2832</v>
      </c>
      <c r="P343" s="209" t="s">
        <v>159</v>
      </c>
      <c r="Q343" s="269" t="s">
        <v>160</v>
      </c>
      <c r="R343" s="243"/>
      <c r="S343" s="243"/>
      <c r="Z343" s="209"/>
      <c r="AA343" s="209"/>
      <c r="AB343" s="209"/>
      <c r="AG343" s="269"/>
      <c r="AH343" s="244"/>
      <c r="AI343" s="244"/>
      <c r="AJ343" s="244"/>
      <c r="AQ343" s="209"/>
      <c r="AR343" s="209"/>
      <c r="AS343" s="209"/>
      <c r="BX343" s="274"/>
      <c r="CA343" s="209"/>
      <c r="CO343" s="209" t="s">
        <v>190</v>
      </c>
      <c r="CP343" s="209" t="s">
        <v>149</v>
      </c>
      <c r="CQ343" s="209" t="s">
        <v>1530</v>
      </c>
      <c r="CR343" s="209" t="s">
        <v>1531</v>
      </c>
      <c r="CS343" s="209" t="s">
        <v>3310</v>
      </c>
      <c r="CT343" s="209" t="s">
        <v>1530</v>
      </c>
      <c r="CU343" s="211" t="str">
        <f t="shared" si="157"/>
        <v>N/A</v>
      </c>
      <c r="CV343" s="211" t="str">
        <f t="shared" si="158"/>
        <v>N/A</v>
      </c>
      <c r="CW343" s="211" t="str">
        <f t="shared" si="159"/>
        <v>N/A</v>
      </c>
      <c r="CX343" s="211" t="str">
        <f t="shared" si="160"/>
        <v>N/A</v>
      </c>
      <c r="CY343" s="211" t="str">
        <f t="shared" si="161"/>
        <v>N/A</v>
      </c>
      <c r="CZ343" s="211" t="str">
        <f t="shared" si="162"/>
        <v>N/A</v>
      </c>
      <c r="DA343" s="211" t="str">
        <f t="shared" si="163"/>
        <v>N/A</v>
      </c>
      <c r="DB343" s="211" t="str">
        <f t="shared" si="164"/>
        <v>N/A</v>
      </c>
      <c r="DC343" s="211" t="str">
        <f t="shared" si="165"/>
        <v>N/A</v>
      </c>
      <c r="DD343" s="211" t="str">
        <f t="shared" si="166"/>
        <v>N/A</v>
      </c>
      <c r="DE343" s="211" t="str">
        <f t="shared" si="167"/>
        <v>N/A</v>
      </c>
      <c r="DF343" s="211" t="str">
        <f t="shared" si="168"/>
        <v xml:space="preserve">
 En los 389 contratos suscritos por  la Direccion de Contratacion  se incorporaron practicas de analisis de datos teniendo en cuenta todas las modalidades de contratacion contemplada en la ley 80 de 1993.
</v>
      </c>
    </row>
    <row r="344" spans="1:110" ht="64.5" customHeight="1">
      <c r="A344" s="349" t="s">
        <v>152</v>
      </c>
      <c r="B344" s="209" t="s">
        <v>149</v>
      </c>
      <c r="C344" s="209" t="s">
        <v>551</v>
      </c>
      <c r="D344" s="209" t="s">
        <v>652</v>
      </c>
      <c r="E344" s="209" t="s">
        <v>653</v>
      </c>
      <c r="F344" s="349" t="s">
        <v>654</v>
      </c>
      <c r="G344" s="209" t="s">
        <v>178</v>
      </c>
      <c r="H344" s="243">
        <v>1</v>
      </c>
      <c r="I344" s="323">
        <v>531</v>
      </c>
      <c r="J344" s="323">
        <v>531</v>
      </c>
      <c r="K344" s="290">
        <v>1</v>
      </c>
      <c r="L344" s="209" t="s">
        <v>3159</v>
      </c>
      <c r="M344" s="209" t="b">
        <v>0</v>
      </c>
      <c r="O344" s="209" t="s">
        <v>2832</v>
      </c>
      <c r="P344" s="209" t="s">
        <v>159</v>
      </c>
      <c r="Q344" s="269" t="s">
        <v>160</v>
      </c>
      <c r="R344" s="243"/>
      <c r="S344" s="243"/>
      <c r="Z344" s="209"/>
      <c r="AA344" s="209"/>
      <c r="AB344" s="209"/>
      <c r="AG344" s="269"/>
      <c r="AH344" s="244"/>
      <c r="AI344" s="244"/>
      <c r="AJ344" s="244"/>
      <c r="AQ344" s="209"/>
      <c r="AR344" s="209"/>
      <c r="AS344" s="209"/>
      <c r="BX344" s="274"/>
      <c r="CA344" s="209"/>
      <c r="CO344" s="209" t="s">
        <v>190</v>
      </c>
      <c r="CP344" s="209" t="s">
        <v>149</v>
      </c>
      <c r="CQ344" s="209" t="s">
        <v>1513</v>
      </c>
      <c r="CR344" s="209" t="s">
        <v>1516</v>
      </c>
      <c r="CS344" s="209" t="s">
        <v>3311</v>
      </c>
      <c r="CT344" s="209" t="s">
        <v>1513</v>
      </c>
      <c r="CU344" s="211" t="str">
        <f t="shared" si="157"/>
        <v>N/A</v>
      </c>
      <c r="CV344" s="211" t="str">
        <f t="shared" si="158"/>
        <v>N/A</v>
      </c>
      <c r="CW344" s="211" t="str">
        <f t="shared" si="159"/>
        <v>N/A</v>
      </c>
      <c r="CX344" s="211" t="str">
        <f t="shared" si="160"/>
        <v>N/A</v>
      </c>
      <c r="CY344" s="211" t="str">
        <f t="shared" si="161"/>
        <v>N/A</v>
      </c>
      <c r="CZ344" s="211" t="str">
        <f t="shared" si="162"/>
        <v>N/A</v>
      </c>
      <c r="DA344" s="211" t="str">
        <f t="shared" si="163"/>
        <v>N/A</v>
      </c>
      <c r="DB344" s="211" t="str">
        <f t="shared" si="164"/>
        <v>N/A</v>
      </c>
      <c r="DC344" s="211" t="str">
        <f t="shared" si="165"/>
        <v>N/A</v>
      </c>
      <c r="DD344" s="211" t="str">
        <f t="shared" si="166"/>
        <v>N/A</v>
      </c>
      <c r="DE344" s="211" t="str">
        <f t="shared" si="167"/>
        <v>N/A</v>
      </c>
      <c r="DF344" s="211" t="str">
        <f t="shared" si="168"/>
        <v xml:space="preserve">contratos celebrados a los cuales se les incorporó las prácticas de Abastecimiento Estratégico dirigidas a la promoción de la micro, pequeña y mediana empresa; exceptuando la contratación a través de la Tienda Virtual del Estado Colombiano y la Contratación Directa.
</v>
      </c>
    </row>
    <row r="345" spans="1:110" ht="64.5" customHeight="1">
      <c r="A345" s="349" t="s">
        <v>152</v>
      </c>
      <c r="B345" s="209" t="s">
        <v>149</v>
      </c>
      <c r="C345" s="209" t="s">
        <v>556</v>
      </c>
      <c r="D345" s="209" t="s">
        <v>668</v>
      </c>
      <c r="E345" s="209" t="s">
        <v>669</v>
      </c>
      <c r="F345" s="349" t="s">
        <v>670</v>
      </c>
      <c r="G345" s="209" t="s">
        <v>157</v>
      </c>
      <c r="H345" s="243">
        <v>7</v>
      </c>
      <c r="I345" s="323">
        <v>7</v>
      </c>
      <c r="J345" s="323">
        <v>7</v>
      </c>
      <c r="K345" s="290">
        <v>1</v>
      </c>
      <c r="L345" s="209" t="s">
        <v>3160</v>
      </c>
      <c r="M345" s="209" t="b">
        <v>0</v>
      </c>
      <c r="O345" s="209" t="s">
        <v>2832</v>
      </c>
      <c r="P345" s="209" t="s">
        <v>159</v>
      </c>
      <c r="Q345" s="269" t="s">
        <v>160</v>
      </c>
      <c r="R345" s="243"/>
      <c r="S345" s="243"/>
      <c r="Z345" s="209"/>
      <c r="AA345" s="209"/>
      <c r="AB345" s="209"/>
      <c r="AG345" s="269"/>
      <c r="AH345" s="244"/>
      <c r="AI345" s="244"/>
      <c r="AJ345" s="244"/>
      <c r="AQ345" s="209"/>
      <c r="AR345" s="209"/>
      <c r="AS345" s="209"/>
      <c r="BX345" s="274"/>
      <c r="CA345" s="209"/>
      <c r="CO345" s="209" t="s">
        <v>190</v>
      </c>
      <c r="CP345" s="209" t="s">
        <v>149</v>
      </c>
      <c r="CQ345" s="209" t="s">
        <v>1513</v>
      </c>
      <c r="CR345" s="209" t="s">
        <v>1516</v>
      </c>
      <c r="CS345" s="209" t="s">
        <v>3312</v>
      </c>
      <c r="CT345" s="209" t="s">
        <v>1513</v>
      </c>
      <c r="CU345" s="211" t="str">
        <f t="shared" si="157"/>
        <v>N/A</v>
      </c>
      <c r="CV345" s="211" t="str">
        <f t="shared" si="158"/>
        <v>N/A</v>
      </c>
      <c r="CW345" s="211" t="str">
        <f t="shared" si="159"/>
        <v>N/A</v>
      </c>
      <c r="CX345" s="211" t="str">
        <f t="shared" si="160"/>
        <v>N/A</v>
      </c>
      <c r="CY345" s="211" t="str">
        <f t="shared" si="161"/>
        <v>N/A</v>
      </c>
      <c r="CZ345" s="211" t="str">
        <f t="shared" si="162"/>
        <v>N/A</v>
      </c>
      <c r="DA345" s="211" t="str">
        <f t="shared" si="163"/>
        <v>N/A</v>
      </c>
      <c r="DB345" s="211" t="str">
        <f t="shared" si="164"/>
        <v>N/A</v>
      </c>
      <c r="DC345" s="211" t="str">
        <f t="shared" si="165"/>
        <v>N/A</v>
      </c>
      <c r="DD345" s="211" t="str">
        <f t="shared" si="166"/>
        <v>N/A</v>
      </c>
      <c r="DE345" s="211" t="str">
        <f t="shared" si="167"/>
        <v>N/A</v>
      </c>
      <c r="DF345" s="211" t="str">
        <f t="shared" si="168"/>
        <v xml:space="preserve">​Utilizar los instrumentos de compra por catálogo derivados de la celebración de acuerdos marco de precios para la adquisición de bienes y servicios que se encuentren en la Tienda Virtual del Estado Colombiano
</v>
      </c>
    </row>
    <row r="346" spans="1:110" ht="64.5" customHeight="1">
      <c r="A346" s="349" t="s">
        <v>271</v>
      </c>
      <c r="B346" s="209" t="s">
        <v>149</v>
      </c>
      <c r="C346" s="209" t="s">
        <v>289</v>
      </c>
      <c r="D346" s="209" t="s">
        <v>290</v>
      </c>
      <c r="E346" s="209" t="s">
        <v>291</v>
      </c>
      <c r="F346" s="349" t="s">
        <v>292</v>
      </c>
      <c r="G346" s="209" t="s">
        <v>157</v>
      </c>
      <c r="H346" s="243">
        <v>4</v>
      </c>
      <c r="I346" s="323">
        <v>1</v>
      </c>
      <c r="J346" s="323">
        <v>4</v>
      </c>
      <c r="K346" s="290">
        <v>0.25</v>
      </c>
      <c r="L346" s="209" t="s">
        <v>3171</v>
      </c>
      <c r="M346" s="209" t="b">
        <v>1</v>
      </c>
      <c r="N346" s="209" t="s">
        <v>3172</v>
      </c>
      <c r="O346" s="209" t="s">
        <v>2832</v>
      </c>
      <c r="P346" s="209" t="s">
        <v>159</v>
      </c>
      <c r="Q346" s="269" t="s">
        <v>160</v>
      </c>
      <c r="R346" s="243"/>
      <c r="S346" s="243"/>
      <c r="Z346" s="209"/>
      <c r="AA346" s="209"/>
      <c r="AB346" s="209"/>
      <c r="AG346" s="269"/>
      <c r="AH346" s="244"/>
      <c r="AI346" s="244"/>
      <c r="AJ346" s="244"/>
      <c r="AQ346" s="209"/>
      <c r="AR346" s="209"/>
      <c r="AS346" s="209"/>
      <c r="BX346" s="274"/>
      <c r="CA346" s="209"/>
      <c r="CO346" s="209" t="s">
        <v>365</v>
      </c>
      <c r="CP346" s="209" t="s">
        <v>149</v>
      </c>
      <c r="CQ346" s="209" t="s">
        <v>258</v>
      </c>
      <c r="CR346" s="209" t="s">
        <v>476</v>
      </c>
      <c r="CS346" s="209" t="s">
        <v>3148</v>
      </c>
      <c r="CT346" s="209" t="s">
        <v>258</v>
      </c>
      <c r="CU346" s="211" t="str">
        <f t="shared" si="157"/>
        <v>N/A</v>
      </c>
      <c r="CV346" s="211" t="str">
        <f t="shared" si="158"/>
        <v>N/A</v>
      </c>
      <c r="CW346" s="211" t="str">
        <f t="shared" si="159"/>
        <v>N/A</v>
      </c>
      <c r="CX346" s="211" t="str">
        <f t="shared" si="160"/>
        <v>N/A</v>
      </c>
      <c r="CY346" s="211" t="str">
        <f t="shared" si="161"/>
        <v>N/A</v>
      </c>
      <c r="CZ346" s="211" t="str">
        <f t="shared" si="162"/>
        <v>N/A</v>
      </c>
      <c r="DA346" s="211" t="str">
        <f t="shared" si="163"/>
        <v>N/A</v>
      </c>
      <c r="DB346" s="211" t="str">
        <f t="shared" si="164"/>
        <v>N/A</v>
      </c>
      <c r="DC346" s="211" t="str">
        <f t="shared" si="165"/>
        <v>N/A</v>
      </c>
      <c r="DD346" s="211" t="str">
        <f t="shared" si="166"/>
        <v>N/A</v>
      </c>
      <c r="DE346" s="211" t="str">
        <f t="shared" si="167"/>
        <v>N/A</v>
      </c>
      <c r="DF346" s="211" t="str">
        <f t="shared" si="168"/>
        <v xml:space="preserve">​Durante el IV trimestre de 2025 se realizó la actualización de las fichas de las 10 eps que actualmente se encuentran en medida especial, se reportan las fichas con corte a agosto, septiembre y octubre de 2025 para un total de 30 fichas en el trimestre. Se indica que las fichas a corte de noviembre de 2025, no se pudieron realizar debido al cambio de interventores, lo que ha ocasionado demoras en el reporte de los indicadores fénix, los cuales tambien hacen parte de la informacion relacionada en la ficha de seguimiento.
Para la vigencia 2025, se presentaron dificultades para el cumplimiento de este indicador dado el alto volumen de requerimientos por partes del congreso entes de control, lo que demanda la atención de los profesionales a cargo del seguimiento de las EPS.
</v>
      </c>
    </row>
    <row r="347" spans="1:110" ht="64.5" customHeight="1">
      <c r="A347" s="349" t="s">
        <v>271</v>
      </c>
      <c r="B347" s="209" t="s">
        <v>149</v>
      </c>
      <c r="C347" s="209" t="s">
        <v>221</v>
      </c>
      <c r="D347" s="209" t="s">
        <v>537</v>
      </c>
      <c r="E347" s="209" t="s">
        <v>538</v>
      </c>
      <c r="F347" s="349" t="s">
        <v>539</v>
      </c>
      <c r="G347" s="209" t="s">
        <v>157</v>
      </c>
      <c r="H347" s="243">
        <v>6</v>
      </c>
      <c r="I347" s="323">
        <v>2</v>
      </c>
      <c r="J347" s="323">
        <v>6</v>
      </c>
      <c r="K347" s="290">
        <v>0.33333333333333298</v>
      </c>
      <c r="L347" s="209" t="s">
        <v>3167</v>
      </c>
      <c r="M347" s="209" t="b">
        <v>1</v>
      </c>
      <c r="N347" s="209" t="s">
        <v>3168</v>
      </c>
      <c r="O347" s="209" t="s">
        <v>2832</v>
      </c>
      <c r="P347" s="209" t="s">
        <v>159</v>
      </c>
      <c r="Q347" s="269" t="s">
        <v>160</v>
      </c>
      <c r="R347" s="243"/>
      <c r="S347" s="243"/>
      <c r="Z347" s="209"/>
      <c r="AA347" s="209"/>
      <c r="AB347" s="209"/>
      <c r="AG347" s="269"/>
      <c r="AH347" s="244"/>
      <c r="AI347" s="244"/>
      <c r="AJ347" s="244"/>
      <c r="AQ347" s="209"/>
      <c r="AR347" s="209"/>
      <c r="AS347" s="209"/>
      <c r="BX347" s="274"/>
      <c r="CA347" s="209"/>
      <c r="CO347" s="209" t="s">
        <v>199</v>
      </c>
      <c r="CP347" s="209" t="s">
        <v>149</v>
      </c>
      <c r="CQ347" s="209" t="s">
        <v>264</v>
      </c>
      <c r="CR347" s="209" t="s">
        <v>804</v>
      </c>
      <c r="CS347" s="209" t="s">
        <v>3229</v>
      </c>
      <c r="CT347" s="209" t="s">
        <v>264</v>
      </c>
      <c r="CU347" s="211" t="str">
        <f t="shared" si="157"/>
        <v>N/A</v>
      </c>
      <c r="CV347" s="211" t="str">
        <f t="shared" si="158"/>
        <v>N/A</v>
      </c>
      <c r="CW347" s="211" t="str">
        <f t="shared" si="159"/>
        <v>N/A</v>
      </c>
      <c r="CX347" s="211" t="str">
        <f t="shared" si="160"/>
        <v>N/A</v>
      </c>
      <c r="CY347" s="211" t="str">
        <f t="shared" si="161"/>
        <v>N/A</v>
      </c>
      <c r="CZ347" s="211" t="str">
        <f t="shared" si="162"/>
        <v>N/A</v>
      </c>
      <c r="DA347" s="211" t="str">
        <f t="shared" si="163"/>
        <v>N/A</v>
      </c>
      <c r="DB347" s="211" t="str">
        <f t="shared" si="164"/>
        <v>N/A</v>
      </c>
      <c r="DC347" s="211" t="str">
        <f t="shared" si="165"/>
        <v>N/A</v>
      </c>
      <c r="DD347" s="211" t="str">
        <f t="shared" si="166"/>
        <v>N/A</v>
      </c>
      <c r="DE347" s="211" t="str">
        <f t="shared" si="167"/>
        <v>N/A</v>
      </c>
      <c r="DF347" s="211" t="str">
        <f t="shared" si="168"/>
        <v xml:space="preserve">Durante el segundo (II) semestre de la vigencia 2025, la Dirección de Medidas Especiales para Prestadores de Servicios de Salud ejecutó una (1) visita de seguimiento programada a la ESE Hospital Nuestra Señora de los Remedios, del departamento de La Guajira, alcanzando un cumplimiento del cien por ciento (100%) de la meta establecida para el periodo evaluado.   
Las visitas de seguimiento adelantadas por la Dirección de Medidas Especiales para Prestadores de Servicios de Salud permiten verificar el adecuado cumplimiento de las funciones asociadas a la ejecución de los acuerdos de reestructuración de pasivos, así como evaluar el avance de los compromisos adquiridos, contribuyendo al fortalecimiento del control, la sostenibilidad financiera y la estabilidad administrativa de las entidades sometidas a medida especial.
</v>
      </c>
    </row>
    <row r="348" spans="1:110" ht="64.5" customHeight="1">
      <c r="A348" s="349" t="s">
        <v>271</v>
      </c>
      <c r="B348" s="209" t="s">
        <v>149</v>
      </c>
      <c r="C348" s="209" t="s">
        <v>341</v>
      </c>
      <c r="D348" s="209" t="s">
        <v>3173</v>
      </c>
      <c r="E348" s="209" t="s">
        <v>545</v>
      </c>
      <c r="F348" s="349" t="s">
        <v>546</v>
      </c>
      <c r="G348" s="209" t="s">
        <v>157</v>
      </c>
      <c r="H348" s="243">
        <v>4</v>
      </c>
      <c r="I348" s="323">
        <v>5</v>
      </c>
      <c r="J348" s="323">
        <v>4</v>
      </c>
      <c r="K348" s="290">
        <v>1.25</v>
      </c>
      <c r="L348" s="209" t="s">
        <v>3174</v>
      </c>
      <c r="M348" s="209" t="b">
        <v>1</v>
      </c>
      <c r="N348" s="209" t="s">
        <v>3175</v>
      </c>
      <c r="O348" s="209" t="s">
        <v>2832</v>
      </c>
      <c r="P348" s="209" t="s">
        <v>159</v>
      </c>
      <c r="Q348" s="269" t="s">
        <v>160</v>
      </c>
      <c r="R348" s="243"/>
      <c r="S348" s="243"/>
      <c r="Z348" s="209"/>
      <c r="AA348" s="209"/>
      <c r="AB348" s="209"/>
      <c r="AG348" s="269"/>
      <c r="AH348" s="244"/>
      <c r="AI348" s="244"/>
      <c r="AJ348" s="244"/>
      <c r="AQ348" s="209"/>
      <c r="AR348" s="209"/>
      <c r="AS348" s="209"/>
      <c r="BX348" s="274"/>
      <c r="CA348" s="209"/>
      <c r="CO348" s="209" t="s">
        <v>199</v>
      </c>
      <c r="CP348" s="209" t="s">
        <v>149</v>
      </c>
      <c r="CQ348" s="209" t="s">
        <v>1032</v>
      </c>
      <c r="CR348" s="209" t="s">
        <v>1034</v>
      </c>
      <c r="CS348" s="209" t="s">
        <v>3231</v>
      </c>
      <c r="CT348" s="209" t="s">
        <v>1032</v>
      </c>
      <c r="CU348" s="211" t="str">
        <f t="shared" si="157"/>
        <v>N/A</v>
      </c>
      <c r="CV348" s="211" t="str">
        <f t="shared" si="158"/>
        <v>N/A</v>
      </c>
      <c r="CW348" s="211" t="str">
        <f t="shared" si="159"/>
        <v>N/A</v>
      </c>
      <c r="CX348" s="211" t="str">
        <f t="shared" si="160"/>
        <v>N/A</v>
      </c>
      <c r="CY348" s="211" t="str">
        <f t="shared" si="161"/>
        <v>N/A</v>
      </c>
      <c r="CZ348" s="211" t="str">
        <f t="shared" si="162"/>
        <v>N/A</v>
      </c>
      <c r="DA348" s="211" t="str">
        <f t="shared" si="163"/>
        <v>N/A</v>
      </c>
      <c r="DB348" s="211" t="str">
        <f t="shared" si="164"/>
        <v>N/A</v>
      </c>
      <c r="DC348" s="211" t="str">
        <f t="shared" si="165"/>
        <v>N/A</v>
      </c>
      <c r="DD348" s="211" t="str">
        <f t="shared" si="166"/>
        <v>N/A</v>
      </c>
      <c r="DE348" s="211" t="str">
        <f t="shared" si="167"/>
        <v>N/A</v>
      </c>
      <c r="DF348" s="211" t="str">
        <f t="shared" si="168"/>
        <v xml:space="preserve">Durante el período reportado, correspondiente al segundo semestre de la vigencia 2025, se ejecutaron once (11) acciones de seguimiento a la implementación de los lineamientos dirigidos a las Entidades de Salud del Estado (E.S.E.), orientadas a promover la formalización laboral y el fortalecimiento de la atención en salud con enfoque diferencial, alcanzando un cumplimiento del 100 % frente a la meta programada.   
En relación con las acciones asociadas a la atención en salud con enfoque diferencial, se evidenció un cumplimiento del 100 % en los procesos de adopción y medición en las once (11) E.S.E. bajo medida especial. Adicionalmente, se registró un avance significativo en la parametrización del sistema, al pasar de tres (3) entidades en el segundo trimestre a nueve (9) entidades, equivalentes al 82 %, al cierre del segundo semestre de la vigencia 2025, lo cual refleja una mejora sustancial en la capacidad de reporte y análisis de la información.
En cuanto a la implementación de los lineamientos de formalización laboral, las E.S.E. continuaron con la ejecución de los planes y fases proyectadas, logrando la vinculación de personal asistencial y administrativo, con incrementos que, en algunos casos, superaron los ciento cincuenta (150) cargos formalizados, contribuyendo a la reducción de la contratación mediante prestación de servicios y al fortalecimiento de la estabilidad laboral.
</v>
      </c>
    </row>
    <row r="349" spans="1:110" ht="64.5" customHeight="1">
      <c r="A349" s="349" t="s">
        <v>271</v>
      </c>
      <c r="B349" s="209" t="s">
        <v>149</v>
      </c>
      <c r="C349" s="209" t="s">
        <v>307</v>
      </c>
      <c r="D349" s="209" t="s">
        <v>3193</v>
      </c>
      <c r="E349" s="209" t="s">
        <v>309</v>
      </c>
      <c r="F349" s="349" t="s">
        <v>310</v>
      </c>
      <c r="G349" s="209" t="s">
        <v>157</v>
      </c>
      <c r="H349" s="243">
        <v>2</v>
      </c>
      <c r="I349" s="323">
        <v>0</v>
      </c>
      <c r="J349" s="323">
        <v>2</v>
      </c>
      <c r="K349" s="290">
        <v>0</v>
      </c>
      <c r="L349" s="209" t="s">
        <v>3194</v>
      </c>
      <c r="M349" s="209" t="b">
        <v>0</v>
      </c>
      <c r="O349" s="209" t="s">
        <v>2832</v>
      </c>
      <c r="P349" s="209" t="s">
        <v>159</v>
      </c>
      <c r="Q349" s="269" t="s">
        <v>160</v>
      </c>
      <c r="R349" s="243"/>
      <c r="S349" s="243"/>
      <c r="Z349" s="209"/>
      <c r="AA349" s="209"/>
      <c r="AB349" s="209"/>
      <c r="AG349" s="269"/>
      <c r="AH349" s="244"/>
      <c r="AI349" s="244"/>
      <c r="AJ349" s="244"/>
      <c r="AQ349" s="209"/>
      <c r="AR349" s="209"/>
      <c r="AS349" s="209"/>
      <c r="BX349" s="274"/>
      <c r="CA349" s="209"/>
      <c r="CO349" s="209" t="s">
        <v>199</v>
      </c>
      <c r="CP349" s="209" t="s">
        <v>149</v>
      </c>
      <c r="CQ349" s="209" t="s">
        <v>270</v>
      </c>
      <c r="CR349" s="209" t="s">
        <v>808</v>
      </c>
      <c r="CS349" s="209" t="s">
        <v>3233</v>
      </c>
      <c r="CT349" s="209" t="s">
        <v>270</v>
      </c>
      <c r="CU349" s="211" t="str">
        <f t="shared" si="157"/>
        <v>N/A</v>
      </c>
      <c r="CV349" s="211" t="str">
        <f t="shared" si="158"/>
        <v>N/A</v>
      </c>
      <c r="CW349" s="211" t="str">
        <f t="shared" si="159"/>
        <v>N/A</v>
      </c>
      <c r="CX349" s="211" t="str">
        <f t="shared" si="160"/>
        <v>N/A</v>
      </c>
      <c r="CY349" s="211" t="str">
        <f t="shared" si="161"/>
        <v>N/A</v>
      </c>
      <c r="CZ349" s="211" t="str">
        <f t="shared" si="162"/>
        <v>N/A</v>
      </c>
      <c r="DA349" s="211" t="str">
        <f t="shared" si="163"/>
        <v>N/A</v>
      </c>
      <c r="DB349" s="211" t="str">
        <f t="shared" si="164"/>
        <v>N/A</v>
      </c>
      <c r="DC349" s="211" t="str">
        <f t="shared" si="165"/>
        <v>N/A</v>
      </c>
      <c r="DD349" s="211" t="str">
        <f t="shared" si="166"/>
        <v>N/A</v>
      </c>
      <c r="DE349" s="211" t="str">
        <f t="shared" si="167"/>
        <v>N/A</v>
      </c>
      <c r="DF349" s="211" t="str">
        <f t="shared" si="168"/>
        <v xml:space="preserve">Durante el segundo (II) semestre de la vigencia 2025, la Delegada para Prestadores de Servicios de Salud realizó dos (2) eventos de difusión relacionados con las acciones y medidas especiales adoptadas frente a los Prestadores de Servicios de Salud (PSS), de un total de dos (2) eventos programados, alcanzando un cumplimiento del cien por ciento (100%) de la meta establecida para el periodo evaluado.   
La realización de estos eventos permitió socializar y conocer el balance de gestión correspondiente al primer semestre del año de las Empresas Sociales del Estado (ESE) que se encuentran bajo Medida Especial, facilitando el seguimiento a las acciones adelantadas y a los resultados obtenidos en el marco de las medidas de control implementadas.
Adicionalmente, estos espacios constituyen un mecanismo fundamental de rendición de cuentas por parte de los agentes interventores de las ESE bajo medida especial, en tanto permiten verificar la gestión desarrollada, el cumplimiento de los planes, metas y compromisos establecidos, así como la adecuada administración de los recursos públicos, fortaleciendo la transparencia, el control institucional y la toma de decisiones informadas por parte de la Superintendencia Nacional de Salud.
</v>
      </c>
    </row>
    <row r="350" spans="1:110" ht="64.5" customHeight="1">
      <c r="A350" s="349" t="s">
        <v>271</v>
      </c>
      <c r="B350" s="209" t="s">
        <v>149</v>
      </c>
      <c r="C350" s="209" t="s">
        <v>296</v>
      </c>
      <c r="D350" s="209" t="s">
        <v>297</v>
      </c>
      <c r="E350" s="209" t="s">
        <v>298</v>
      </c>
      <c r="F350" s="349" t="s">
        <v>299</v>
      </c>
      <c r="G350" s="209" t="s">
        <v>157</v>
      </c>
      <c r="H350" s="243">
        <v>8</v>
      </c>
      <c r="I350" s="323">
        <v>14</v>
      </c>
      <c r="J350" s="323">
        <v>8</v>
      </c>
      <c r="K350" s="290">
        <v>1.75</v>
      </c>
      <c r="L350" s="209" t="s">
        <v>3183</v>
      </c>
      <c r="M350" s="209" t="b">
        <v>1</v>
      </c>
      <c r="N350" s="209" t="s">
        <v>3184</v>
      </c>
      <c r="O350" s="209" t="s">
        <v>2832</v>
      </c>
      <c r="P350" s="209" t="s">
        <v>159</v>
      </c>
      <c r="Q350" s="269" t="s">
        <v>160</v>
      </c>
      <c r="R350" s="243"/>
      <c r="S350" s="243"/>
      <c r="Z350" s="209"/>
      <c r="AA350" s="209"/>
      <c r="AB350" s="209"/>
      <c r="AG350" s="269"/>
      <c r="AH350" s="244"/>
      <c r="AI350" s="244"/>
      <c r="AJ350" s="244"/>
      <c r="AQ350" s="209"/>
      <c r="AR350" s="209"/>
      <c r="AS350" s="209"/>
      <c r="BX350" s="274"/>
      <c r="CA350" s="209"/>
      <c r="CO350" s="209" t="s">
        <v>317</v>
      </c>
      <c r="CP350" s="209" t="s">
        <v>149</v>
      </c>
      <c r="CQ350" s="209" t="s">
        <v>277</v>
      </c>
      <c r="CR350" s="209" t="s">
        <v>696</v>
      </c>
      <c r="CS350" s="209" t="s">
        <v>3272</v>
      </c>
      <c r="CT350" s="209" t="s">
        <v>277</v>
      </c>
      <c r="CU350" s="211" t="str">
        <f t="shared" si="157"/>
        <v>N/A</v>
      </c>
      <c r="CV350" s="211" t="str">
        <f t="shared" si="158"/>
        <v>N/A</v>
      </c>
      <c r="CW350" s="211" t="str">
        <f t="shared" si="159"/>
        <v>N/A</v>
      </c>
      <c r="CX350" s="211" t="str">
        <f t="shared" si="160"/>
        <v>N/A</v>
      </c>
      <c r="CY350" s="211" t="str">
        <f t="shared" si="161"/>
        <v>N/A</v>
      </c>
      <c r="CZ350" s="211" t="str">
        <f t="shared" si="162"/>
        <v>N/A</v>
      </c>
      <c r="DA350" s="211" t="str">
        <f t="shared" si="163"/>
        <v>N/A</v>
      </c>
      <c r="DB350" s="211" t="str">
        <f t="shared" si="164"/>
        <v>N/A</v>
      </c>
      <c r="DC350" s="211" t="str">
        <f t="shared" si="165"/>
        <v>N/A</v>
      </c>
      <c r="DD350" s="211" t="str">
        <f t="shared" si="166"/>
        <v>N/A</v>
      </c>
      <c r="DE350" s="211" t="str">
        <f t="shared" si="167"/>
        <v>N/A</v>
      </c>
      <c r="DF350" s="211" t="str">
        <f t="shared" si="168"/>
        <v xml:space="preserve">Dentro del período objeto de reporte se cumplió en su totalidad con el indicador propuesto (100%), en la medida en que los recursos de única instancia fueron resueltos y entregados dentro del término de oportunidad de dos (2) meses contados a partir de la fecha de recepción del respectivo recurso.
A la fecha, se remitieron seis (6) solicitudes para el trámite de recursos de reposición en única instancia, de las cuales seis (6) fueron resueltas dentro del término establecido.
​
</v>
      </c>
    </row>
    <row r="351" spans="1:110" ht="64.5" customHeight="1">
      <c r="A351" s="349" t="s">
        <v>271</v>
      </c>
      <c r="B351" s="209" t="s">
        <v>149</v>
      </c>
      <c r="C351" s="209" t="s">
        <v>301</v>
      </c>
      <c r="D351" s="209" t="s">
        <v>302</v>
      </c>
      <c r="E351" s="209" t="s">
        <v>303</v>
      </c>
      <c r="F351" s="349" t="s">
        <v>304</v>
      </c>
      <c r="G351" s="209" t="s">
        <v>157</v>
      </c>
      <c r="H351" s="243">
        <v>20</v>
      </c>
      <c r="I351" s="323">
        <v>15</v>
      </c>
      <c r="J351" s="323">
        <v>20</v>
      </c>
      <c r="K351" s="290">
        <v>0.75</v>
      </c>
      <c r="L351" s="209" t="s">
        <v>3191</v>
      </c>
      <c r="M351" s="209" t="b">
        <v>1</v>
      </c>
      <c r="N351" s="209" t="s">
        <v>3192</v>
      </c>
      <c r="O351" s="209" t="s">
        <v>2832</v>
      </c>
      <c r="P351" s="209" t="s">
        <v>159</v>
      </c>
      <c r="Q351" s="269" t="s">
        <v>160</v>
      </c>
      <c r="R351" s="243"/>
      <c r="S351" s="243"/>
      <c r="Z351" s="209"/>
      <c r="AA351" s="209"/>
      <c r="AB351" s="209"/>
      <c r="AG351" s="269"/>
      <c r="AH351" s="244"/>
      <c r="AI351" s="244"/>
      <c r="AJ351" s="244"/>
      <c r="AQ351" s="209"/>
      <c r="AR351" s="209"/>
      <c r="AS351" s="209"/>
      <c r="BX351" s="274"/>
      <c r="CA351" s="209"/>
      <c r="CO351" s="209" t="s">
        <v>317</v>
      </c>
      <c r="CP351" s="209" t="s">
        <v>149</v>
      </c>
      <c r="CQ351" s="209" t="s">
        <v>282</v>
      </c>
      <c r="CR351" s="209" t="s">
        <v>699</v>
      </c>
      <c r="CS351" s="209" t="s">
        <v>3273</v>
      </c>
      <c r="CT351" s="209" t="s">
        <v>282</v>
      </c>
      <c r="CU351" s="211" t="str">
        <f t="shared" si="157"/>
        <v>N/A</v>
      </c>
      <c r="CV351" s="211" t="str">
        <f t="shared" si="158"/>
        <v>N/A</v>
      </c>
      <c r="CW351" s="211" t="str">
        <f t="shared" si="159"/>
        <v>N/A</v>
      </c>
      <c r="CX351" s="211" t="str">
        <f t="shared" si="160"/>
        <v>N/A</v>
      </c>
      <c r="CY351" s="211" t="str">
        <f t="shared" si="161"/>
        <v>N/A</v>
      </c>
      <c r="CZ351" s="211" t="str">
        <f t="shared" si="162"/>
        <v>N/A</v>
      </c>
      <c r="DA351" s="211" t="str">
        <f t="shared" si="163"/>
        <v>N/A</v>
      </c>
      <c r="DB351" s="211" t="str">
        <f t="shared" si="164"/>
        <v>N/A</v>
      </c>
      <c r="DC351" s="211" t="str">
        <f t="shared" si="165"/>
        <v>N/A</v>
      </c>
      <c r="DD351" s="211" t="str">
        <f t="shared" si="166"/>
        <v>N/A</v>
      </c>
      <c r="DE351" s="211" t="str">
        <f t="shared" si="167"/>
        <v>N/A</v>
      </c>
      <c r="DF351" s="211" t="str">
        <f t="shared" si="168"/>
        <v xml:space="preserve">Dentro del período objeto de reporte se cumplió con el indicador propuesto (100%),  entregando para firma y notificación 58 actos administrativos que resuelven los recursos de apelación,  queja y solicitudes de revocatoria directa  antes de la fecha de caducidad de que trata el artículo 52 de la ley 1437 de 2011- Código de Procedimiento Administrativo y de lo Contencioso Administrativo.
</v>
      </c>
    </row>
    <row r="352" spans="1:110" ht="64.5" customHeight="1">
      <c r="A352" s="349" t="s">
        <v>271</v>
      </c>
      <c r="B352" s="209" t="s">
        <v>149</v>
      </c>
      <c r="C352" s="209" t="s">
        <v>284</v>
      </c>
      <c r="D352" s="209" t="s">
        <v>285</v>
      </c>
      <c r="E352" s="209" t="s">
        <v>286</v>
      </c>
      <c r="F352" s="349" t="s">
        <v>287</v>
      </c>
      <c r="G352" s="209" t="s">
        <v>178</v>
      </c>
      <c r="H352" s="243">
        <v>1</v>
      </c>
      <c r="I352" s="323">
        <v>1</v>
      </c>
      <c r="J352" s="323">
        <v>1</v>
      </c>
      <c r="K352" s="290">
        <v>1</v>
      </c>
      <c r="L352" s="209" t="s">
        <v>3180</v>
      </c>
      <c r="M352" s="209" t="b">
        <v>0</v>
      </c>
      <c r="O352" s="209" t="s">
        <v>2832</v>
      </c>
      <c r="P352" s="209" t="s">
        <v>159</v>
      </c>
      <c r="Q352" s="269" t="s">
        <v>160</v>
      </c>
      <c r="R352" s="243"/>
      <c r="S352" s="243"/>
      <c r="Z352" s="209"/>
      <c r="AA352" s="209"/>
      <c r="AB352" s="209"/>
      <c r="AG352" s="269"/>
      <c r="AH352" s="244"/>
      <c r="AI352" s="244"/>
      <c r="AJ352" s="244"/>
      <c r="AQ352" s="209"/>
      <c r="AR352" s="209"/>
      <c r="AS352" s="209"/>
      <c r="BX352" s="274"/>
      <c r="CA352" s="209"/>
      <c r="CO352" s="209" t="s">
        <v>271</v>
      </c>
      <c r="CP352" s="209" t="s">
        <v>149</v>
      </c>
      <c r="CQ352" s="209" t="s">
        <v>289</v>
      </c>
      <c r="CR352" s="209" t="s">
        <v>290</v>
      </c>
      <c r="CS352" s="209" t="s">
        <v>3171</v>
      </c>
      <c r="CT352" s="209" t="s">
        <v>289</v>
      </c>
      <c r="CU352" s="211" t="str">
        <f t="shared" si="157"/>
        <v>N/A</v>
      </c>
      <c r="CV352" s="211" t="str">
        <f t="shared" si="158"/>
        <v>N/A</v>
      </c>
      <c r="CW352" s="211" t="str">
        <f t="shared" si="159"/>
        <v>N/A</v>
      </c>
      <c r="CX352" s="211" t="str">
        <f t="shared" si="160"/>
        <v>N/A</v>
      </c>
      <c r="CY352" s="211" t="str">
        <f t="shared" si="161"/>
        <v>N/A</v>
      </c>
      <c r="CZ352" s="211" t="str">
        <f t="shared" si="162"/>
        <v>N/A</v>
      </c>
      <c r="DA352" s="211" t="str">
        <f t="shared" si="163"/>
        <v>N/A</v>
      </c>
      <c r="DB352" s="211" t="str">
        <f t="shared" si="164"/>
        <v>N/A</v>
      </c>
      <c r="DC352" s="211" t="str">
        <f t="shared" si="165"/>
        <v>N/A</v>
      </c>
      <c r="DD352" s="211" t="str">
        <f t="shared" si="166"/>
        <v>N/A</v>
      </c>
      <c r="DE352" s="211" t="str">
        <f t="shared" si="167"/>
        <v>N/A</v>
      </c>
      <c r="DF352" s="211" t="str">
        <f t="shared" si="168"/>
        <v xml:space="preserve">​Durante este periodo, se activó una Red de Controladores en el Departamento del Tomila, cerrando la vigencia con un total de 15 Redes activadas.
</v>
      </c>
    </row>
    <row r="353" spans="1:110" ht="64.5" customHeight="1">
      <c r="A353" s="349" t="s">
        <v>271</v>
      </c>
      <c r="B353" s="209" t="s">
        <v>149</v>
      </c>
      <c r="C353" s="209" t="s">
        <v>272</v>
      </c>
      <c r="D353" s="209" t="s">
        <v>273</v>
      </c>
      <c r="E353" s="209" t="s">
        <v>274</v>
      </c>
      <c r="F353" s="349" t="s">
        <v>275</v>
      </c>
      <c r="G353" s="209" t="s">
        <v>178</v>
      </c>
      <c r="H353" s="243">
        <v>0.66</v>
      </c>
      <c r="I353" s="323">
        <v>66</v>
      </c>
      <c r="J353" s="323">
        <v>66</v>
      </c>
      <c r="K353" s="290">
        <v>1</v>
      </c>
      <c r="L353" s="209" t="s">
        <v>3178</v>
      </c>
      <c r="M353" s="209" t="b">
        <v>1</v>
      </c>
      <c r="N353" s="209" t="s">
        <v>3179</v>
      </c>
      <c r="O353" s="209" t="s">
        <v>2832</v>
      </c>
      <c r="P353" s="209" t="s">
        <v>159</v>
      </c>
      <c r="Q353" s="269" t="s">
        <v>160</v>
      </c>
      <c r="R353" s="243"/>
      <c r="S353" s="243"/>
      <c r="Z353" s="209"/>
      <c r="AA353" s="209"/>
      <c r="AB353" s="209"/>
      <c r="AG353" s="269"/>
      <c r="AH353" s="244"/>
      <c r="AI353" s="244"/>
      <c r="AJ353" s="244"/>
      <c r="AQ353" s="209"/>
      <c r="AR353" s="209"/>
      <c r="AS353" s="209"/>
      <c r="BX353" s="274"/>
      <c r="CA353" s="209"/>
      <c r="CO353" s="209" t="s">
        <v>199</v>
      </c>
      <c r="CP353" s="209" t="s">
        <v>149</v>
      </c>
      <c r="CQ353" s="209" t="s">
        <v>209</v>
      </c>
      <c r="CR353" s="209" t="s">
        <v>210</v>
      </c>
      <c r="CS353" s="209" t="s">
        <v>3235</v>
      </c>
      <c r="CT353" s="209" t="s">
        <v>209</v>
      </c>
      <c r="CU353" s="211" t="str">
        <f t="shared" si="157"/>
        <v>N/A</v>
      </c>
      <c r="CV353" s="211" t="str">
        <f t="shared" si="158"/>
        <v>N/A</v>
      </c>
      <c r="CW353" s="211" t="str">
        <f t="shared" si="159"/>
        <v>N/A</v>
      </c>
      <c r="CX353" s="211" t="str">
        <f t="shared" si="160"/>
        <v>N/A</v>
      </c>
      <c r="CY353" s="211" t="str">
        <f t="shared" si="161"/>
        <v>N/A</v>
      </c>
      <c r="CZ353" s="211" t="str">
        <f t="shared" si="162"/>
        <v>N/A</v>
      </c>
      <c r="DA353" s="211" t="str">
        <f t="shared" si="163"/>
        <v>N/A</v>
      </c>
      <c r="DB353" s="211" t="str">
        <f t="shared" si="164"/>
        <v>N/A</v>
      </c>
      <c r="DC353" s="211" t="str">
        <f t="shared" si="165"/>
        <v>N/A</v>
      </c>
      <c r="DD353" s="211" t="str">
        <f t="shared" si="166"/>
        <v>N/A</v>
      </c>
      <c r="DE353" s="211" t="str">
        <f t="shared" si="167"/>
        <v>N/A</v>
      </c>
      <c r="DF353" s="211" t="str">
        <f t="shared" si="168"/>
        <v xml:space="preserve">Durante el cuarto trimestre de la vigencia 2025, la Dirección de Medidas Especiales para Prestadores de Servicios de Salud ejecutó la totalidad de los siete (7) seguimientos programados a Prestadores de Servicios de Salud (PSS) bajo medida especial, correspondientes a: Nueva ESE Hospital Departamental San Francisco de Asís (2), Hospital Regional Magdalena Medio – Barrancabermeja, ESE Hospital Rosario Pumarejo de López, ESE Hospital de Nazareth, Hospital Luis Ablanque de la Plata ESE y ESE Universitaria del Atlántico, logrando un cumplimiento del 100% de la meta establecida para el periodo evaluado.   
En el marco de sus competencias, la Dirección de Medidas Especiales para Prestadores de Servicios de Salud adelanta seguimientos en campo a las entidades prestadoras de servicios de salud bajo medida especial, con el fin de verificar el cumplimiento de la normatividad vigente, así como de los planes, programas y cronogramas establecidos, desde los componentes administrativo-financiero, jurídico y técnico-científico. De igual manera, realiza el monitoreo de los indicadores de gestión.
A través de estas actuaciones, la Dirección de Medidas Especiales para Prestadores de Servicios de Salud contribuye al fortalecimiento del Sistema General de Seguridad Social en Salud, garantizando la prestación oportuna, continua y de calidad de los servicios, y promoviendo la sostenibilidad financiera de las instituciones prestadoras intervenidas, bajo los principios de eficiencia, eficacia y legalidad.
</v>
      </c>
    </row>
    <row r="354" spans="1:110" ht="64.5" customHeight="1">
      <c r="A354" s="349" t="s">
        <v>271</v>
      </c>
      <c r="B354" s="209" t="s">
        <v>149</v>
      </c>
      <c r="C354" s="209" t="s">
        <v>278</v>
      </c>
      <c r="D354" s="209" t="s">
        <v>279</v>
      </c>
      <c r="E354" s="209" t="s">
        <v>280</v>
      </c>
      <c r="F354" s="349" t="s">
        <v>281</v>
      </c>
      <c r="G354" s="209" t="s">
        <v>178</v>
      </c>
      <c r="H354" s="243">
        <v>1</v>
      </c>
      <c r="I354" s="323">
        <v>1</v>
      </c>
      <c r="J354" s="323">
        <v>1</v>
      </c>
      <c r="K354" s="290">
        <v>1</v>
      </c>
      <c r="L354" s="209" t="s">
        <v>3187</v>
      </c>
      <c r="M354" s="209" t="b">
        <v>1</v>
      </c>
      <c r="N354" s="209" t="s">
        <v>3188</v>
      </c>
      <c r="O354" s="209" t="s">
        <v>2832</v>
      </c>
      <c r="P354" s="209" t="s">
        <v>159</v>
      </c>
      <c r="Q354" s="269" t="s">
        <v>160</v>
      </c>
      <c r="R354" s="243"/>
      <c r="S354" s="243"/>
      <c r="Z354" s="209"/>
      <c r="AA354" s="209"/>
      <c r="AB354" s="209"/>
      <c r="AG354" s="269"/>
      <c r="AH354" s="244"/>
      <c r="AI354" s="244"/>
      <c r="AJ354" s="244"/>
      <c r="AQ354" s="209"/>
      <c r="AR354" s="209"/>
      <c r="AS354" s="209"/>
      <c r="BX354" s="274"/>
      <c r="CA354" s="209"/>
      <c r="CO354" s="209" t="s">
        <v>199</v>
      </c>
      <c r="CP354" s="209" t="s">
        <v>149</v>
      </c>
      <c r="CQ354" s="209" t="s">
        <v>300</v>
      </c>
      <c r="CR354" s="209" t="s">
        <v>796</v>
      </c>
      <c r="CS354" s="209" t="s">
        <v>3237</v>
      </c>
      <c r="CT354" s="209" t="s">
        <v>300</v>
      </c>
      <c r="CU354" s="211" t="str">
        <f t="shared" si="157"/>
        <v>N/A</v>
      </c>
      <c r="CV354" s="211" t="str">
        <f t="shared" si="158"/>
        <v>N/A</v>
      </c>
      <c r="CW354" s="211" t="str">
        <f t="shared" si="159"/>
        <v>N/A</v>
      </c>
      <c r="CX354" s="211" t="str">
        <f t="shared" si="160"/>
        <v>N/A</v>
      </c>
      <c r="CY354" s="211" t="str">
        <f t="shared" si="161"/>
        <v>N/A</v>
      </c>
      <c r="CZ354" s="211" t="str">
        <f t="shared" si="162"/>
        <v>N/A</v>
      </c>
      <c r="DA354" s="211" t="str">
        <f t="shared" si="163"/>
        <v>N/A</v>
      </c>
      <c r="DB354" s="211" t="str">
        <f t="shared" si="164"/>
        <v>N/A</v>
      </c>
      <c r="DC354" s="211" t="str">
        <f t="shared" si="165"/>
        <v>N/A</v>
      </c>
      <c r="DD354" s="211" t="str">
        <f t="shared" si="166"/>
        <v>N/A</v>
      </c>
      <c r="DE354" s="211" t="str">
        <f t="shared" si="167"/>
        <v>N/A</v>
      </c>
      <c r="DF354" s="211" t="str">
        <f t="shared" si="168"/>
        <v xml:space="preserve">Durante el segundo semestre de la vigencia 2025, la Dirección de Medidas Especiales para Prestadores de Servicios de Salud ejecutó la totalidad de las doscientas cuatro (204) acciones de monitoreo y verificación programadas a los agentes interventores de los Prestadores de Servicios de Salud (PSS) con medida especial adoptada. Dichas acciones se distribuyeron en treinta y dos (32) fichas, ocho (8) conceptos, catorce (14) seguimientos en campo, cincuenta y cinco (55) análisis de indicadores Fénix y noventa y cinco (95) seguimientos virtuales a decisiones de impacto, alcanzando un cumplimiento del  100% de la meta establecida para el periodo evaluado.   
Las actuaciones adelantadas permitieron medir y evaluar de manera integral el desempeño de los agentes interventores de los PSS bajo medida especial, así como determinar, a partir del análisis realizado, el nivel de cumplimiento de las metas institucionales, la eficiencia en la gestión y los avances logrados en los procesos de mejora, contribuyendo al fortalecimiento del control y la supervisión del sector salud.
</v>
      </c>
    </row>
    <row r="355" spans="1:110" ht="64.5" customHeight="1">
      <c r="A355" s="349" t="s">
        <v>271</v>
      </c>
      <c r="B355" s="209" t="s">
        <v>149</v>
      </c>
      <c r="C355" s="209" t="s">
        <v>225</v>
      </c>
      <c r="D355" s="209" t="s">
        <v>293</v>
      </c>
      <c r="E355" s="209" t="s">
        <v>294</v>
      </c>
      <c r="F355" s="349" t="s">
        <v>295</v>
      </c>
      <c r="G355" s="209" t="s">
        <v>157</v>
      </c>
      <c r="H355" s="243">
        <v>1</v>
      </c>
      <c r="I355" s="323">
        <v>10</v>
      </c>
      <c r="J355" s="323">
        <v>10</v>
      </c>
      <c r="K355" s="290">
        <v>1</v>
      </c>
      <c r="L355" s="209" t="s">
        <v>3169</v>
      </c>
      <c r="M355" s="209" t="b">
        <v>1</v>
      </c>
      <c r="N355" s="209" t="s">
        <v>3170</v>
      </c>
      <c r="O355" s="209" t="s">
        <v>2832</v>
      </c>
      <c r="P355" s="209" t="s">
        <v>159</v>
      </c>
      <c r="Q355" s="269" t="s">
        <v>160</v>
      </c>
      <c r="R355" s="243"/>
      <c r="S355" s="243"/>
      <c r="Z355" s="209"/>
      <c r="AA355" s="209"/>
      <c r="AB355" s="209"/>
      <c r="AG355" s="269"/>
      <c r="AH355" s="244"/>
      <c r="AI355" s="244"/>
      <c r="AJ355" s="244"/>
      <c r="AQ355" s="209"/>
      <c r="AR355" s="209"/>
      <c r="AS355" s="209"/>
      <c r="BX355" s="274"/>
      <c r="CA355" s="209"/>
      <c r="CO355" s="209" t="s">
        <v>365</v>
      </c>
      <c r="CP355" s="209" t="s">
        <v>149</v>
      </c>
      <c r="CQ355" s="209" t="s">
        <v>311</v>
      </c>
      <c r="CR355" s="209" t="s">
        <v>387</v>
      </c>
      <c r="CS355" s="209" t="s">
        <v>3149</v>
      </c>
      <c r="CT355" s="209" t="s">
        <v>311</v>
      </c>
      <c r="CU355" s="211" t="str">
        <f t="shared" si="157"/>
        <v>N/A</v>
      </c>
      <c r="CV355" s="211" t="str">
        <f t="shared" si="158"/>
        <v>N/A</v>
      </c>
      <c r="CW355" s="211" t="str">
        <f t="shared" si="159"/>
        <v>N/A</v>
      </c>
      <c r="CX355" s="211" t="str">
        <f t="shared" si="160"/>
        <v>N/A</v>
      </c>
      <c r="CY355" s="211" t="str">
        <f t="shared" si="161"/>
        <v>N/A</v>
      </c>
      <c r="CZ355" s="211" t="str">
        <f t="shared" si="162"/>
        <v>N/A</v>
      </c>
      <c r="DA355" s="211" t="str">
        <f t="shared" si="163"/>
        <v>N/A</v>
      </c>
      <c r="DB355" s="211" t="str">
        <f t="shared" si="164"/>
        <v>N/A</v>
      </c>
      <c r="DC355" s="211" t="str">
        <f t="shared" si="165"/>
        <v>N/A</v>
      </c>
      <c r="DD355" s="211" t="str">
        <f t="shared" si="166"/>
        <v>N/A</v>
      </c>
      <c r="DE355" s="211" t="str">
        <f t="shared" si="167"/>
        <v>N/A</v>
      </c>
      <c r="DF355" s="211" t="str">
        <f t="shared" si="168"/>
        <v xml:space="preserve">​
Para el cuarto trimestre se realizó seguimiento a 5 de las 10 EPS que actualmente se encuentran en medida especial, cumpliendo así con el 100% del indicador.
Para la vigencia 2025 se cumplió con la meta propuesta para este indicador, no se presentaron inconvenientes para el cumplimiento del indicador, sin embargo, teniendo en cuenta el cambio de personal se considera importante fortalecer las competencias de los nuevos funcionarios.
</v>
      </c>
    </row>
    <row r="356" spans="1:110" ht="64.5" customHeight="1">
      <c r="A356" s="349" t="s">
        <v>271</v>
      </c>
      <c r="B356" s="209" t="s">
        <v>149</v>
      </c>
      <c r="C356" s="209" t="s">
        <v>540</v>
      </c>
      <c r="D356" s="209" t="s">
        <v>541</v>
      </c>
      <c r="E356" s="209" t="s">
        <v>542</v>
      </c>
      <c r="F356" s="349" t="s">
        <v>543</v>
      </c>
      <c r="G356" s="209" t="s">
        <v>157</v>
      </c>
      <c r="H356" s="243">
        <v>2</v>
      </c>
      <c r="I356" s="323">
        <v>9</v>
      </c>
      <c r="J356" s="323">
        <v>2</v>
      </c>
      <c r="K356" s="290">
        <v>4.5</v>
      </c>
      <c r="L356" s="209" t="s">
        <v>3176</v>
      </c>
      <c r="M356" s="209" t="b">
        <v>1</v>
      </c>
      <c r="N356" s="209" t="s">
        <v>3177</v>
      </c>
      <c r="O356" s="209" t="s">
        <v>2832</v>
      </c>
      <c r="P356" s="209" t="s">
        <v>159</v>
      </c>
      <c r="Q356" s="269" t="s">
        <v>160</v>
      </c>
      <c r="R356" s="243"/>
      <c r="S356" s="243"/>
      <c r="Z356" s="209"/>
      <c r="AA356" s="209"/>
      <c r="AB356" s="209"/>
      <c r="AG356" s="269"/>
      <c r="AH356" s="244"/>
      <c r="AI356" s="244"/>
      <c r="AJ356" s="244"/>
      <c r="AQ356" s="209"/>
      <c r="AR356" s="209"/>
      <c r="AS356" s="209"/>
      <c r="BX356" s="274"/>
      <c r="CA356" s="209"/>
      <c r="CO356" s="209" t="s">
        <v>348</v>
      </c>
      <c r="CP356" s="209" t="s">
        <v>149</v>
      </c>
      <c r="CQ356" s="209" t="s">
        <v>323</v>
      </c>
      <c r="CR356" s="209" t="s">
        <v>349</v>
      </c>
      <c r="CS356" s="209" t="s">
        <v>3145</v>
      </c>
      <c r="CT356" s="209" t="s">
        <v>323</v>
      </c>
      <c r="CU356" s="211" t="str">
        <f t="shared" si="157"/>
        <v>N/A</v>
      </c>
      <c r="CV356" s="211" t="str">
        <f t="shared" si="158"/>
        <v>N/A</v>
      </c>
      <c r="CW356" s="211" t="str">
        <f t="shared" si="159"/>
        <v>N/A</v>
      </c>
      <c r="CX356" s="211" t="str">
        <f t="shared" si="160"/>
        <v>N/A</v>
      </c>
      <c r="CY356" s="211" t="str">
        <f t="shared" si="161"/>
        <v>N/A</v>
      </c>
      <c r="CZ356" s="211" t="str">
        <f t="shared" si="162"/>
        <v>N/A</v>
      </c>
      <c r="DA356" s="211" t="str">
        <f t="shared" si="163"/>
        <v>N/A</v>
      </c>
      <c r="DB356" s="211" t="str">
        <f t="shared" si="164"/>
        <v>N/A</v>
      </c>
      <c r="DC356" s="211" t="str">
        <f t="shared" si="165"/>
        <v>N/A</v>
      </c>
      <c r="DD356" s="211" t="str">
        <f t="shared" si="166"/>
        <v>N/A</v>
      </c>
      <c r="DE356" s="211" t="str">
        <f t="shared" si="167"/>
        <v>N/A</v>
      </c>
      <c r="DF356" s="211" t="str">
        <f t="shared" si="168"/>
        <v xml:space="preserve">​Indicador a demanda, en donde se concluye que se expidieron 318 actos administrativos en el trimestre y el número de solicitudes de investigación aceptadas fueron 147 en total 
</v>
      </c>
    </row>
    <row r="357" spans="1:110" ht="64.5" customHeight="1">
      <c r="A357" s="349" t="s">
        <v>271</v>
      </c>
      <c r="B357" s="209" t="s">
        <v>149</v>
      </c>
      <c r="C357" s="209" t="s">
        <v>547</v>
      </c>
      <c r="D357" s="209" t="s">
        <v>548</v>
      </c>
      <c r="E357" s="209" t="s">
        <v>549</v>
      </c>
      <c r="F357" s="349" t="s">
        <v>550</v>
      </c>
      <c r="G357" s="209" t="s">
        <v>157</v>
      </c>
      <c r="H357" s="243">
        <v>22</v>
      </c>
      <c r="I357" s="323">
        <v>24</v>
      </c>
      <c r="J357" s="323">
        <v>22</v>
      </c>
      <c r="K357" s="290">
        <v>1.0909090909090899</v>
      </c>
      <c r="L357" s="209" t="s">
        <v>3185</v>
      </c>
      <c r="M357" s="209" t="b">
        <v>1</v>
      </c>
      <c r="N357" s="209" t="s">
        <v>3186</v>
      </c>
      <c r="O357" s="209" t="s">
        <v>2832</v>
      </c>
      <c r="P357" s="209" t="s">
        <v>159</v>
      </c>
      <c r="Q357" s="269" t="s">
        <v>160</v>
      </c>
      <c r="R357" s="243"/>
      <c r="S357" s="243"/>
      <c r="Z357" s="209"/>
      <c r="AA357" s="209"/>
      <c r="AB357" s="209"/>
      <c r="AG357" s="269"/>
      <c r="AH357" s="244"/>
      <c r="AI357" s="244"/>
      <c r="AJ357" s="244"/>
      <c r="AQ357" s="209"/>
      <c r="AR357" s="209"/>
      <c r="AS357" s="209"/>
      <c r="BX357" s="274"/>
      <c r="CA357" s="209"/>
      <c r="CO357" s="209" t="s">
        <v>348</v>
      </c>
      <c r="CP357" s="209" t="s">
        <v>149</v>
      </c>
      <c r="CQ357" s="209" t="s">
        <v>329</v>
      </c>
      <c r="CR357" s="209" t="s">
        <v>748</v>
      </c>
      <c r="CS357" s="209" t="s">
        <v>3146</v>
      </c>
      <c r="CT357" s="209" t="s">
        <v>329</v>
      </c>
      <c r="CU357" s="211" t="str">
        <f t="shared" si="157"/>
        <v>N/A</v>
      </c>
      <c r="CV357" s="211" t="str">
        <f t="shared" si="158"/>
        <v>N/A</v>
      </c>
      <c r="CW357" s="211" t="str">
        <f t="shared" si="159"/>
        <v>N/A</v>
      </c>
      <c r="CX357" s="211" t="str">
        <f t="shared" si="160"/>
        <v>N/A</v>
      </c>
      <c r="CY357" s="211" t="str">
        <f t="shared" si="161"/>
        <v>N/A</v>
      </c>
      <c r="CZ357" s="211" t="str">
        <f t="shared" si="162"/>
        <v>N/A</v>
      </c>
      <c r="DA357" s="211" t="str">
        <f t="shared" si="163"/>
        <v>N/A</v>
      </c>
      <c r="DB357" s="211" t="str">
        <f t="shared" si="164"/>
        <v>N/A</v>
      </c>
      <c r="DC357" s="211" t="str">
        <f t="shared" si="165"/>
        <v>N/A</v>
      </c>
      <c r="DD357" s="211" t="str">
        <f t="shared" si="166"/>
        <v>N/A</v>
      </c>
      <c r="DE357" s="211" t="str">
        <f t="shared" si="167"/>
        <v>N/A</v>
      </c>
      <c r="DF357" s="211" t="str">
        <f t="shared" si="168"/>
        <v xml:space="preserve">Para 2025 se identificaron 441 procesos administrativos con riesgo de caducidad 2025 , en el primer trimestre se reportaron como expedidas 166 decisiones equivalentes al 37.6%
Para el segundo trimestre de 2025 se profirieron 136 decisiones con riesgo 2025 equivalente al 30,83%
para el tercer trimestre se profirieron 97 decisiones con riesgos 2025 equivalente al 22% 
y para el cuarto trimestre se profieron 41 decisiones con riesgo 2025 equivalente al 9,5% 
Por lo anterior se entiende que para el 31 de diciembre de 2025 se ha realizado un avance del  99,5% , dando cumplimiento al indicador 
</v>
      </c>
    </row>
    <row r="358" spans="1:110" ht="64.5" customHeight="1">
      <c r="A358" s="349" t="s">
        <v>271</v>
      </c>
      <c r="B358" s="209" t="s">
        <v>149</v>
      </c>
      <c r="C358" s="209" t="s">
        <v>563</v>
      </c>
      <c r="D358" s="209" t="s">
        <v>564</v>
      </c>
      <c r="E358" s="209" t="s">
        <v>565</v>
      </c>
      <c r="F358" s="349" t="s">
        <v>566</v>
      </c>
      <c r="G358" s="209" t="s">
        <v>178</v>
      </c>
      <c r="H358" s="243">
        <v>1</v>
      </c>
      <c r="I358" s="323">
        <v>1</v>
      </c>
      <c r="J358" s="323">
        <v>1</v>
      </c>
      <c r="K358" s="290">
        <v>1</v>
      </c>
      <c r="L358" s="209" t="s">
        <v>3181</v>
      </c>
      <c r="M358" s="209" t="b">
        <v>1</v>
      </c>
      <c r="N358" s="209" t="s">
        <v>3182</v>
      </c>
      <c r="O358" s="209" t="s">
        <v>2832</v>
      </c>
      <c r="P358" s="209" t="s">
        <v>159</v>
      </c>
      <c r="Q358" s="269" t="s">
        <v>160</v>
      </c>
      <c r="R358" s="243"/>
      <c r="S358" s="243"/>
      <c r="Z358" s="209"/>
      <c r="AA358" s="209"/>
      <c r="AB358" s="209"/>
      <c r="AG358" s="269"/>
      <c r="AH358" s="244"/>
      <c r="AI358" s="244"/>
      <c r="AJ358" s="244"/>
      <c r="AQ358" s="209"/>
      <c r="AR358" s="209"/>
      <c r="AS358" s="209"/>
      <c r="BX358" s="274"/>
      <c r="CA358" s="209"/>
      <c r="CO358" s="209" t="s">
        <v>607</v>
      </c>
      <c r="CP358" s="209" t="s">
        <v>149</v>
      </c>
      <c r="CQ358" s="209" t="s">
        <v>335</v>
      </c>
      <c r="CR358" s="209" t="s">
        <v>617</v>
      </c>
      <c r="CS358" s="209" t="s">
        <v>3287</v>
      </c>
      <c r="CT358" s="209" t="s">
        <v>335</v>
      </c>
      <c r="CU358" s="211" t="str">
        <f t="shared" si="157"/>
        <v>N/A</v>
      </c>
      <c r="CV358" s="211" t="str">
        <f t="shared" si="158"/>
        <v>N/A</v>
      </c>
      <c r="CW358" s="211" t="str">
        <f t="shared" si="159"/>
        <v>N/A</v>
      </c>
      <c r="CX358" s="211" t="str">
        <f t="shared" si="160"/>
        <v>N/A</v>
      </c>
      <c r="CY358" s="211" t="str">
        <f t="shared" si="161"/>
        <v>N/A</v>
      </c>
      <c r="CZ358" s="211" t="str">
        <f t="shared" si="162"/>
        <v>N/A</v>
      </c>
      <c r="DA358" s="211" t="str">
        <f t="shared" si="163"/>
        <v>N/A</v>
      </c>
      <c r="DB358" s="211" t="str">
        <f t="shared" si="164"/>
        <v>N/A</v>
      </c>
      <c r="DC358" s="211" t="str">
        <f t="shared" si="165"/>
        <v>N/A</v>
      </c>
      <c r="DD358" s="211" t="str">
        <f t="shared" si="166"/>
        <v>N/A</v>
      </c>
      <c r="DE358" s="211" t="str">
        <f t="shared" si="167"/>
        <v>N/A</v>
      </c>
      <c r="DF358" s="211" t="str">
        <f t="shared" si="168"/>
        <v xml:space="preserve">     Durante el periodo comprendido entre octubre y diciembre de 2025 se atendieron 105 solicitudes de oficialización de documentos en los procesos institucionales de la Superintendencia Nacional de Salud dando cumplimiento al 100% de lo establecido para el periodo respecto a los documentos priorizados a oficializar en la vigencia.
De éstas, 72 solicitudes correspondieron a creación de documentos, 29 correspondieron a actualización y 4 solicitudes de anulación en el marco de los siguientes procesos: Actuaciones disciplinarias: 1 documento, Auditorías: 11 documentos, Control: 8 documentos, Direccionamiento estratégico: 10 documentos, Evaluación independiente: 1 documentos, Gestión de bienes y servicios: 8 documentos, Gestión estratégica de personas: 13 documentos, Gestión financiera: 6 documentos, Gestión jurídica: 9 documentos, Gestión jurisdiccional y de conciliación: 4 documentos, Gobierno y gestión de datos e información: 24 documentos, Relacionamiento con la ciudadanía y grupos de valor: 5 documentos, Seguimiento y evaluación al vigilado: 5 documentos,
Finalmente, y de acuerdo con el tipo documental, durante el periodo se tramitaron oficializaciones asociadas a los tipos documentales: 68 Formatos, 15 Manuales, 15 Procedimientos, 3 Guías, 2 Procesos, y 2 Políticas institucionales.</v>
      </c>
    </row>
    <row r="359" spans="1:110" ht="64.5" customHeight="1">
      <c r="A359" s="349" t="s">
        <v>271</v>
      </c>
      <c r="B359" s="209" t="s">
        <v>149</v>
      </c>
      <c r="C359" s="209" t="s">
        <v>568</v>
      </c>
      <c r="D359" s="209" t="s">
        <v>569</v>
      </c>
      <c r="E359" s="209" t="s">
        <v>570</v>
      </c>
      <c r="F359" s="349" t="s">
        <v>571</v>
      </c>
      <c r="G359" s="209" t="s">
        <v>157</v>
      </c>
      <c r="H359" s="243">
        <v>3</v>
      </c>
      <c r="I359" s="323">
        <v>8</v>
      </c>
      <c r="J359" s="323">
        <v>3</v>
      </c>
      <c r="K359" s="290">
        <v>2.6666666666666701</v>
      </c>
      <c r="L359" s="209" t="s">
        <v>3189</v>
      </c>
      <c r="M359" s="209" t="b">
        <v>1</v>
      </c>
      <c r="N359" s="209" t="s">
        <v>3190</v>
      </c>
      <c r="O359" s="209" t="s">
        <v>2832</v>
      </c>
      <c r="P359" s="209" t="s">
        <v>159</v>
      </c>
      <c r="Q359" s="269" t="s">
        <v>160</v>
      </c>
      <c r="R359" s="243"/>
      <c r="S359" s="243"/>
      <c r="Z359" s="209"/>
      <c r="AA359" s="209"/>
      <c r="AB359" s="209"/>
      <c r="AG359" s="269"/>
      <c r="AH359" s="244"/>
      <c r="AI359" s="244"/>
      <c r="AJ359" s="244"/>
      <c r="AQ359" s="209"/>
      <c r="AR359" s="209"/>
      <c r="AS359" s="209"/>
      <c r="BX359" s="274"/>
      <c r="CA359" s="209"/>
      <c r="CO359" s="209" t="s">
        <v>271</v>
      </c>
      <c r="CP359" s="209" t="s">
        <v>149</v>
      </c>
      <c r="CQ359" s="209" t="s">
        <v>341</v>
      </c>
      <c r="CR359" s="209" t="s">
        <v>3173</v>
      </c>
      <c r="CS359" s="209" t="s">
        <v>3174</v>
      </c>
      <c r="CT359" s="209" t="s">
        <v>341</v>
      </c>
      <c r="CU359" s="211" t="str">
        <f t="shared" si="157"/>
        <v>N/A</v>
      </c>
      <c r="CV359" s="211" t="str">
        <f t="shared" si="158"/>
        <v>N/A</v>
      </c>
      <c r="CW359" s="211" t="str">
        <f t="shared" si="159"/>
        <v>N/A</v>
      </c>
      <c r="CX359" s="211" t="str">
        <f t="shared" si="160"/>
        <v>N/A</v>
      </c>
      <c r="CY359" s="211" t="str">
        <f t="shared" si="161"/>
        <v>N/A</v>
      </c>
      <c r="CZ359" s="211" t="str">
        <f t="shared" si="162"/>
        <v>N/A</v>
      </c>
      <c r="DA359" s="211" t="str">
        <f t="shared" si="163"/>
        <v>N/A</v>
      </c>
      <c r="DB359" s="211" t="str">
        <f t="shared" si="164"/>
        <v>N/A</v>
      </c>
      <c r="DC359" s="211" t="str">
        <f t="shared" si="165"/>
        <v>N/A</v>
      </c>
      <c r="DD359" s="211" t="str">
        <f t="shared" si="166"/>
        <v>N/A</v>
      </c>
      <c r="DE359" s="211" t="str">
        <f t="shared" si="167"/>
        <v>N/A</v>
      </c>
      <c r="DF359" s="211" t="str">
        <f t="shared" si="168"/>
        <v xml:space="preserve">​Se realizó 1 actividad de apropiación del SIG adicional con el proposito de cubrir el rezago presentado en el tercer trimestre.
1. Para el mes de septiembre se realizó una capacitación sobre los procesos, haciendo especial enfasis en el de seguimiento y evaluación al vigilado. Para esta sesión se realizó una dinamica para determinar el nivel de aprehención de las personas participantes.
2. En octubre se capacito sobre el componente de Gestión Ambiental el cual finalizó con un pequeño test para identificar el nivel de aprehensión.
3. Para noviembre se enfatizó en las líneas de defensa y en la importancia que tienen en el marco del MIPG.
4. Para el mes de noviembre se realizó una sesión donde se trabajo de manera dinámica los procedimientos del proceso de Seguimiento y Evaluación al Vigilado y el Código de Integridad.
5. Para diciembre se realizó una sesión de manera articulada con la Oficina de Control Interno y la Oficina Asesora de Planeación con el proposito de hablar de la confidencialidad en la información y de la importancia de preservar los documentos para evitar perdidas de información y accesos por parte de personas no autorizadas.
</v>
      </c>
    </row>
    <row r="360" spans="1:110" ht="64.5" customHeight="1">
      <c r="A360" s="349" t="s">
        <v>391</v>
      </c>
      <c r="B360" s="209" t="s">
        <v>149</v>
      </c>
      <c r="C360" s="209" t="s">
        <v>392</v>
      </c>
      <c r="D360" s="209" t="s">
        <v>393</v>
      </c>
      <c r="E360" s="209" t="s">
        <v>394</v>
      </c>
      <c r="F360" s="349" t="s">
        <v>395</v>
      </c>
      <c r="G360" s="209" t="s">
        <v>178</v>
      </c>
      <c r="H360" s="243">
        <v>1</v>
      </c>
      <c r="I360" s="323">
        <v>12</v>
      </c>
      <c r="J360" s="323">
        <v>17</v>
      </c>
      <c r="K360" s="290">
        <v>0.70588235294117696</v>
      </c>
      <c r="L360" s="209" t="s">
        <v>3205</v>
      </c>
      <c r="M360" s="209" t="b">
        <v>1</v>
      </c>
      <c r="N360" s="209" t="s">
        <v>3206</v>
      </c>
      <c r="O360" s="209" t="s">
        <v>2832</v>
      </c>
      <c r="P360" s="209" t="s">
        <v>159</v>
      </c>
      <c r="Q360" s="269" t="s">
        <v>160</v>
      </c>
      <c r="R360" s="243"/>
      <c r="S360" s="243"/>
      <c r="Z360" s="209"/>
      <c r="AA360" s="209"/>
      <c r="AB360" s="209"/>
      <c r="AG360" s="269"/>
      <c r="AH360" s="244"/>
      <c r="AI360" s="244"/>
      <c r="AJ360" s="244"/>
      <c r="AQ360" s="209"/>
      <c r="AR360" s="209"/>
      <c r="AS360" s="209"/>
      <c r="BX360" s="274"/>
      <c r="CA360" s="209"/>
      <c r="CO360" s="209" t="s">
        <v>238</v>
      </c>
      <c r="CP360" s="209" t="s">
        <v>149</v>
      </c>
      <c r="CQ360" s="209" t="s">
        <v>239</v>
      </c>
      <c r="CR360" s="209" t="s">
        <v>240</v>
      </c>
      <c r="CS360" s="209" t="s">
        <v>3258</v>
      </c>
      <c r="CT360" s="209" t="s">
        <v>239</v>
      </c>
      <c r="CU360" s="211" t="str">
        <f t="shared" si="157"/>
        <v>N/A</v>
      </c>
      <c r="CV360" s="211" t="str">
        <f t="shared" si="158"/>
        <v>N/A</v>
      </c>
      <c r="CW360" s="211" t="str">
        <f t="shared" si="159"/>
        <v>N/A</v>
      </c>
      <c r="CX360" s="211" t="str">
        <f t="shared" si="160"/>
        <v>N/A</v>
      </c>
      <c r="CY360" s="211" t="str">
        <f t="shared" si="161"/>
        <v>N/A</v>
      </c>
      <c r="CZ360" s="211" t="str">
        <f t="shared" si="162"/>
        <v>N/A</v>
      </c>
      <c r="DA360" s="211" t="str">
        <f t="shared" si="163"/>
        <v>N/A</v>
      </c>
      <c r="DB360" s="211" t="str">
        <f t="shared" si="164"/>
        <v>N/A</v>
      </c>
      <c r="DC360" s="211" t="str">
        <f t="shared" si="165"/>
        <v>N/A</v>
      </c>
      <c r="DD360" s="211" t="str">
        <f t="shared" si="166"/>
        <v>N/A</v>
      </c>
      <c r="DE360" s="211" t="str">
        <f t="shared" si="167"/>
        <v>N/A</v>
      </c>
      <c r="DF360" s="211" t="str">
        <f t="shared" si="168"/>
        <v>​Para el periodo reportado, se avanzaron en las siguientes actividades: 
1. Se avanzó En el marco del Sistema de Gestión de Innovación, se retomó la relación con SENATIC – una iniciativa entre MINTIC1 / OIT2/ SENA3 potenciar la formación por competencias en tecnologías de la información y contribuir al cierre de la brecha digital en el país.
Este es un programa de formación en diversos temas tecnológicos, digitales y con aptitudes blandas,
que busca fortalecer las competencias de los funcionarios de la Superintendencia Nacional de Salud  en temáticas como:
1. Tecnologías Emergentes.
2. Experiencia Digital.
3. Gestión de Proyectos.
4. Introducción a las tecnologías.
5. Lenguaje de programación
Durante el mes de septiembre se sostuvo la primera mesa de trabajo con la representante de esta alianza, la Dirección de Innovación y Desarrollo y la Dirección de Talento Humano vía TEAMS.
El día 11 de noviembre se hizo el lanzamiento oficial en la sede principal de la Superintendencia y se hizo socialización por medio del correo electrónico, SUPERBOLETÍN
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"BANCO DE PROYECTOS" para la vigencia 2026. Con esta actividad se abarcan también las siguientes actividades planteadas: Generar estrategia de cierre de brechas de necesidades del conocimiento alineadas a la metodología de función pública yGenerar estrategia de capacitación y sensibilización en gestión del conocimiento
3. Durante el segundo semestre de la presente vigencia, en compañía de la Oficina Asesora de Planeación se gestionó la identifcación de brechas y elaboración de cronograma de actividades para hacer el cierre de éstas, es importante mencionar que la ejecución de las mismas se ha venido desarrollando conforme a lo programado.
4. En el marco de las acciones diseñadas y ejecutadas para mitigar la fuga de conocimiento en la transición de persona, desde la Dirección de Innovación y Desarrollo se estructuraron y pusieron a dispoción de la entidad los REPOSITORIOS DE INFORMACIÓN INSTITUCIONALES para estandarizar un poco el control y accesibilidad de la información producida por las dependencias de la entidad: https://supersalud.sharepoint.com/teams/Gestiondelconocimiento/Shared%20Documents/Forms/AllItems.aspx
5.Los días 24 y 25 de octubre, la Supersalud adelantó la segunda versión de la Hackaton 2025 con el apoyo de la UNICAFAM en la cual se fomentó un espacio de Innovación Abierta y creación de soluciones.</v>
      </c>
    </row>
    <row r="361" spans="1:110" ht="64.5" customHeight="1">
      <c r="A361" s="349" t="s">
        <v>391</v>
      </c>
      <c r="B361" s="209" t="s">
        <v>149</v>
      </c>
      <c r="C361" s="209" t="s">
        <v>435</v>
      </c>
      <c r="D361" s="209" t="s">
        <v>436</v>
      </c>
      <c r="E361" s="209" t="s">
        <v>437</v>
      </c>
      <c r="F361" s="349" t="s">
        <v>438</v>
      </c>
      <c r="G361" s="209" t="s">
        <v>157</v>
      </c>
      <c r="H361" s="243">
        <v>70</v>
      </c>
      <c r="I361" s="323">
        <v>100</v>
      </c>
      <c r="J361" s="323">
        <v>70</v>
      </c>
      <c r="K361" s="290">
        <v>1.4285714285714299</v>
      </c>
      <c r="L361" s="209" t="s">
        <v>3203</v>
      </c>
      <c r="M361" s="209" t="b">
        <v>1</v>
      </c>
      <c r="N361" s="209" t="s">
        <v>3204</v>
      </c>
      <c r="O361" s="209" t="s">
        <v>2832</v>
      </c>
      <c r="P361" s="209" t="s">
        <v>159</v>
      </c>
      <c r="Q361" s="269" t="s">
        <v>160</v>
      </c>
      <c r="R361" s="243"/>
      <c r="S361" s="243"/>
      <c r="Z361" s="209"/>
      <c r="AA361" s="209"/>
      <c r="AB361" s="209"/>
      <c r="AG361" s="269"/>
      <c r="AH361" s="244"/>
      <c r="AI361" s="244"/>
      <c r="AJ361" s="244"/>
      <c r="AQ361" s="209"/>
      <c r="AR361" s="209"/>
      <c r="AS361" s="209"/>
      <c r="BX361" s="274"/>
      <c r="CA361" s="209"/>
      <c r="CO361" s="209" t="s">
        <v>238</v>
      </c>
      <c r="CP361" s="209" t="s">
        <v>149</v>
      </c>
      <c r="CQ361" s="209" t="s">
        <v>259</v>
      </c>
      <c r="CR361" s="209" t="s">
        <v>260</v>
      </c>
      <c r="CS361" s="209" t="s">
        <v>3260</v>
      </c>
      <c r="CT361" s="209" t="s">
        <v>259</v>
      </c>
      <c r="CU361" s="211" t="str">
        <f t="shared" si="157"/>
        <v>N/A</v>
      </c>
      <c r="CV361" s="211" t="str">
        <f t="shared" si="158"/>
        <v>N/A</v>
      </c>
      <c r="CW361" s="211" t="str">
        <f t="shared" si="159"/>
        <v>N/A</v>
      </c>
      <c r="CX361" s="211" t="str">
        <f t="shared" si="160"/>
        <v>N/A</v>
      </c>
      <c r="CY361" s="211" t="str">
        <f t="shared" si="161"/>
        <v>N/A</v>
      </c>
      <c r="CZ361" s="211" t="str">
        <f t="shared" si="162"/>
        <v>N/A</v>
      </c>
      <c r="DA361" s="211" t="str">
        <f t="shared" si="163"/>
        <v>N/A</v>
      </c>
      <c r="DB361" s="211" t="str">
        <f t="shared" si="164"/>
        <v>N/A</v>
      </c>
      <c r="DC361" s="211" t="str">
        <f t="shared" si="165"/>
        <v>N/A</v>
      </c>
      <c r="DD361" s="211" t="str">
        <f t="shared" si="166"/>
        <v>N/A</v>
      </c>
      <c r="DE361" s="211" t="str">
        <f t="shared" si="167"/>
        <v>N/A</v>
      </c>
      <c r="DF361" s="211" t="str">
        <f t="shared" si="168"/>
        <v xml:space="preserve">​de las 6 solicitudes identificadas del DIFT 33 que llegaron a la SMIS se gestionaron 6 solicitudes en el ultimo trimestre del año dando un cumplimiento del 100% frente a la meta programada de realizar gestion al 100% de las solicitudes identificadas. esto se debe al plan de trabajo de cada una de las solicitudes realizadas. 
</v>
      </c>
    </row>
    <row r="362" spans="1:110" ht="64.5" customHeight="1">
      <c r="A362" s="349" t="s">
        <v>391</v>
      </c>
      <c r="B362" s="209" t="s">
        <v>149</v>
      </c>
      <c r="C362" s="209" t="s">
        <v>440</v>
      </c>
      <c r="D362" s="209" t="s">
        <v>441</v>
      </c>
      <c r="E362" s="209" t="s">
        <v>442</v>
      </c>
      <c r="F362" s="349" t="s">
        <v>443</v>
      </c>
      <c r="G362" s="209" t="s">
        <v>157</v>
      </c>
      <c r="H362" s="243">
        <v>5</v>
      </c>
      <c r="I362" s="323">
        <v>13</v>
      </c>
      <c r="J362" s="323">
        <v>5</v>
      </c>
      <c r="K362" s="290">
        <v>2.6</v>
      </c>
      <c r="L362" s="209" t="s">
        <v>3207</v>
      </c>
      <c r="M362" s="209" t="b">
        <v>1</v>
      </c>
      <c r="N362" s="209" t="s">
        <v>3208</v>
      </c>
      <c r="O362" s="209" t="s">
        <v>2832</v>
      </c>
      <c r="P362" s="209" t="s">
        <v>159</v>
      </c>
      <c r="Q362" s="269" t="s">
        <v>160</v>
      </c>
      <c r="R362" s="243"/>
      <c r="S362" s="243"/>
      <c r="Z362" s="209"/>
      <c r="AA362" s="209"/>
      <c r="AB362" s="209"/>
      <c r="AG362" s="269"/>
      <c r="AH362" s="244"/>
      <c r="AI362" s="244"/>
      <c r="AJ362" s="244"/>
      <c r="AQ362" s="209"/>
      <c r="AR362" s="209"/>
      <c r="AS362" s="209"/>
      <c r="BX362" s="274"/>
      <c r="CA362" s="209"/>
      <c r="CO362" s="209" t="s">
        <v>238</v>
      </c>
      <c r="CP362" s="209" t="s">
        <v>149</v>
      </c>
      <c r="CQ362" s="209" t="s">
        <v>353</v>
      </c>
      <c r="CR362" s="209" t="s">
        <v>726</v>
      </c>
      <c r="CS362" s="209" t="s">
        <v>3261</v>
      </c>
      <c r="CT362" s="209" t="s">
        <v>353</v>
      </c>
      <c r="CU362" s="211" t="str">
        <f t="shared" si="157"/>
        <v>N/A</v>
      </c>
      <c r="CV362" s="211" t="str">
        <f t="shared" si="158"/>
        <v>N/A</v>
      </c>
      <c r="CW362" s="211" t="str">
        <f t="shared" si="159"/>
        <v>N/A</v>
      </c>
      <c r="CX362" s="211" t="str">
        <f t="shared" si="160"/>
        <v>N/A</v>
      </c>
      <c r="CY362" s="211" t="str">
        <f t="shared" si="161"/>
        <v>N/A</v>
      </c>
      <c r="CZ362" s="211" t="str">
        <f t="shared" si="162"/>
        <v>N/A</v>
      </c>
      <c r="DA362" s="211" t="str">
        <f t="shared" si="163"/>
        <v>N/A</v>
      </c>
      <c r="DB362" s="211" t="str">
        <f t="shared" si="164"/>
        <v>N/A</v>
      </c>
      <c r="DC362" s="211" t="str">
        <f t="shared" si="165"/>
        <v>N/A</v>
      </c>
      <c r="DD362" s="211" t="str">
        <f t="shared" si="166"/>
        <v>N/A</v>
      </c>
      <c r="DE362" s="211" t="str">
        <f t="shared" si="167"/>
        <v>N/A</v>
      </c>
      <c r="DF362" s="211" t="str">
        <f t="shared" si="168"/>
        <v xml:space="preserve">El resultado para el año 2025 corresponde a la consolidacion de los  4 modelos  de supervision :
 1. modelo de supervision para PSS
 2. Modelo de supervision para entidades territoriales
 3. Modelo de supervision DEAS
 4. Modelo de supervision para operadores Logisticos y/o gestores farmaceuticos.
De las 4 actividades programadas se ejecutaron todas dando cumplimiento al 100% frente a las metas establecidas para está vigencia; esto se debe al trabajo colaborativo entre las diferentes delegaturas, la UDEA y la Subdirección de Metodologías e Instrumentos de Supervisión.
Para el 2026 el 20% faltante corresponde a la implementacion de los modelos, la construccion de la caja de herramientas y el diseño de alertas tempranas. 
</v>
      </c>
    </row>
    <row r="363" spans="1:110" ht="64.5" customHeight="1">
      <c r="A363" s="349" t="s">
        <v>391</v>
      </c>
      <c r="B363" s="209" t="s">
        <v>149</v>
      </c>
      <c r="C363" s="209" t="s">
        <v>214</v>
      </c>
      <c r="D363" s="209" t="s">
        <v>413</v>
      </c>
      <c r="E363" s="209" t="s">
        <v>414</v>
      </c>
      <c r="F363" s="349" t="s">
        <v>415</v>
      </c>
      <c r="G363" s="209" t="s">
        <v>157</v>
      </c>
      <c r="H363" s="243">
        <v>29</v>
      </c>
      <c r="I363" s="323">
        <v>28</v>
      </c>
      <c r="J363" s="323">
        <v>28</v>
      </c>
      <c r="K363" s="290">
        <v>1</v>
      </c>
      <c r="L363" s="209" t="s">
        <v>3195</v>
      </c>
      <c r="M363" s="209" t="b">
        <v>1</v>
      </c>
      <c r="N363" s="209" t="s">
        <v>3196</v>
      </c>
      <c r="O363" s="209" t="s">
        <v>2832</v>
      </c>
      <c r="P363" s="209" t="s">
        <v>159</v>
      </c>
      <c r="Q363" s="269" t="s">
        <v>160</v>
      </c>
      <c r="R363" s="243"/>
      <c r="S363" s="243"/>
      <c r="Z363" s="209"/>
      <c r="AA363" s="209"/>
      <c r="AB363" s="209"/>
      <c r="AG363" s="269"/>
      <c r="AH363" s="244"/>
      <c r="AI363" s="244"/>
      <c r="AJ363" s="244"/>
      <c r="AQ363" s="209"/>
      <c r="AR363" s="209"/>
      <c r="AS363" s="209"/>
      <c r="BX363" s="274"/>
      <c r="CA363" s="209"/>
      <c r="CO363" s="209" t="s">
        <v>238</v>
      </c>
      <c r="CP363" s="209" t="s">
        <v>149</v>
      </c>
      <c r="CQ363" s="209" t="s">
        <v>1306</v>
      </c>
      <c r="CR363" s="209" t="s">
        <v>1307</v>
      </c>
      <c r="CS363" s="209" t="s">
        <v>3263</v>
      </c>
      <c r="CT363" s="209" t="s">
        <v>1306</v>
      </c>
      <c r="CU363" s="211" t="str">
        <f t="shared" si="157"/>
        <v>N/A</v>
      </c>
      <c r="CV363" s="211" t="str">
        <f t="shared" si="158"/>
        <v>N/A</v>
      </c>
      <c r="CW363" s="211" t="str">
        <f t="shared" si="159"/>
        <v>N/A</v>
      </c>
      <c r="CX363" s="211" t="str">
        <f t="shared" si="160"/>
        <v>N/A</v>
      </c>
      <c r="CY363" s="211" t="str">
        <f t="shared" si="161"/>
        <v>N/A</v>
      </c>
      <c r="CZ363" s="211" t="str">
        <f t="shared" si="162"/>
        <v>N/A</v>
      </c>
      <c r="DA363" s="211" t="str">
        <f t="shared" si="163"/>
        <v>N/A</v>
      </c>
      <c r="DB363" s="211" t="str">
        <f t="shared" si="164"/>
        <v>N/A</v>
      </c>
      <c r="DC363" s="211" t="str">
        <f t="shared" si="165"/>
        <v>N/A</v>
      </c>
      <c r="DD363" s="211" t="str">
        <f t="shared" si="166"/>
        <v>N/A</v>
      </c>
      <c r="DE363" s="211" t="str">
        <f t="shared" si="167"/>
        <v>N/A</v>
      </c>
      <c r="DF363" s="211" t="str">
        <f t="shared" si="168"/>
        <v xml:space="preserve">​Para el periodo de tiempo reportado, se avanzó en lo siguiente:
1. Para este indicador se avanzó En el marco del Sistema de Gestión de Innovación, se retomó la relación con SENATIC – una iniciativa entre MINTIC1 / OIT2/ SENA3 potenciar la formación por competencias en tecnologías de la información y contribuir al cierre de la brecha digital en el país.
Este es un programa de formación en diversos temas tecnológicos, digitales y con aptitudes blandas,
que busca fortalecer las competencias de los funcionarios de la Superintendencia Nacional de Salud  en temáticas como:
1. Tecnologías Emergentes.
2. Experiencia Digital.
3. Gestión de Proyectos.
4. Introducción a las tecnologías.
5. Lenguaje de programación
Durante el mes de septiembre se sostuvo la primera mesa de trabajo con la representante de esta alianza, la Dirección de Innovación y Desarrollo y la Dirección de Talento Humano vía TEAMS: SENATIC
El día 11 de noviembre se hizo el lanzamiento oficial en la sede principal de la Superintendencia y se hizo socialización por medio del correo electrónico, SUPERBOLETÍN.
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"BANCO DE PROYECTOS" para la vigencia 2026: INFORME WORKSHOP INNOVACIÓN EN TERRITORIOS 2025.pptx
3. Los días 24 y 25 de octubre, la Supersalud adelantó la segunda versión de la Hackaton 2025 con el apoyo de la UNICAFAM en la cual se fomentó un espacio de Innovación Abierta y creación de soluciones. HACKATON 2025
4. Se ejecutó la primera semana de la Innovación en la Supersalud durante los días 1,2 y 3 de diciembre.
5. Se creó y formalizó el Manual de Innovación de ls Supersalud.(se adjunta en word, toda vez que a la fecha de este reporte elportal web de la entidad presenta fallas en su funcionamiento y no permite descargar el documento directamente)
6. Se realizaron los primeros "CAFÉ CON CONEXIÓN" como estrategia de interrelacionamiento institucional e identificación del conocimiento tácito de la entidad. 
</v>
      </c>
    </row>
    <row r="364" spans="1:110" ht="64.5" customHeight="1">
      <c r="A364" s="349" t="s">
        <v>391</v>
      </c>
      <c r="B364" s="209" t="s">
        <v>149</v>
      </c>
      <c r="C364" s="209" t="s">
        <v>418</v>
      </c>
      <c r="D364" s="209" t="s">
        <v>419</v>
      </c>
      <c r="E364" s="209" t="s">
        <v>420</v>
      </c>
      <c r="F364" s="349" t="s">
        <v>421</v>
      </c>
      <c r="G364" s="209" t="s">
        <v>178</v>
      </c>
      <c r="H364" s="243">
        <v>0.87</v>
      </c>
      <c r="I364" s="323">
        <v>181062</v>
      </c>
      <c r="J364" s="323">
        <v>202681</v>
      </c>
      <c r="K364" s="290">
        <v>0.89333484638422</v>
      </c>
      <c r="L364" s="209" t="s">
        <v>3199</v>
      </c>
      <c r="M364" s="209" t="b">
        <v>1</v>
      </c>
      <c r="N364" s="209" t="s">
        <v>3200</v>
      </c>
      <c r="O364" s="209" t="s">
        <v>2832</v>
      </c>
      <c r="P364" s="209" t="s">
        <v>159</v>
      </c>
      <c r="Q364" s="269" t="s">
        <v>160</v>
      </c>
      <c r="R364" s="243"/>
      <c r="S364" s="243"/>
      <c r="Z364" s="209"/>
      <c r="AA364" s="209"/>
      <c r="AB364" s="209"/>
      <c r="AG364" s="269"/>
      <c r="AH364" s="244"/>
      <c r="AI364" s="244"/>
      <c r="AJ364" s="244"/>
      <c r="AQ364" s="209"/>
      <c r="AR364" s="209"/>
      <c r="AS364" s="209"/>
      <c r="BX364" s="274"/>
      <c r="CA364" s="209"/>
      <c r="CO364" s="209" t="s">
        <v>238</v>
      </c>
      <c r="CP364" s="209" t="s">
        <v>149</v>
      </c>
      <c r="CQ364" s="209" t="s">
        <v>371</v>
      </c>
      <c r="CR364" s="209" t="s">
        <v>521</v>
      </c>
      <c r="CS364" s="209" t="s">
        <v>3265</v>
      </c>
      <c r="CT364" s="209" t="s">
        <v>371</v>
      </c>
      <c r="CU364" s="211" t="str">
        <f t="shared" si="157"/>
        <v>N/A</v>
      </c>
      <c r="CV364" s="211" t="str">
        <f t="shared" si="158"/>
        <v>N/A</v>
      </c>
      <c r="CW364" s="211" t="str">
        <f t="shared" si="159"/>
        <v>N/A</v>
      </c>
      <c r="CX364" s="211" t="str">
        <f t="shared" si="160"/>
        <v>N/A</v>
      </c>
      <c r="CY364" s="211" t="str">
        <f t="shared" si="161"/>
        <v>N/A</v>
      </c>
      <c r="CZ364" s="211" t="str">
        <f t="shared" si="162"/>
        <v>N/A</v>
      </c>
      <c r="DA364" s="211" t="str">
        <f t="shared" si="163"/>
        <v>N/A</v>
      </c>
      <c r="DB364" s="211" t="str">
        <f t="shared" si="164"/>
        <v>N/A</v>
      </c>
      <c r="DC364" s="211" t="str">
        <f t="shared" si="165"/>
        <v>N/A</v>
      </c>
      <c r="DD364" s="211" t="str">
        <f t="shared" si="166"/>
        <v>N/A</v>
      </c>
      <c r="DE364" s="211" t="str">
        <f t="shared" si="167"/>
        <v>N/A</v>
      </c>
      <c r="DF364" s="211" t="str">
        <f t="shared" si="168"/>
        <v xml:space="preserve">​
Justificación:
Se procede a modificar el Plan de Acción de Gestión (PAG) con la eliminación de los proyectos PR_05, PR_11, PR_13 y PR_16 del reporte correspondiente a la vigencia 2025. Esta decisión obedece a diversas circunstancias institucionales que han impedido su ejecución durante el presente año, aunque se prevé su continuidad en la vigencia 2026. A continuación, se detallan las razones específicas para cada proyecto:PR_05 – Consolidación de las PQRS en torno a la prestación de los servicios de salud:
 No se relacionó el perfil profesional adecuado para el desarrollo efectivo del proyecto en el PAA 2025. Durante la vigencia 2026 se tendrán avances sobre este proyecto.
PR_11 – Fortalecimiento de las funciones de IVC de la SNS mediante la implementación de procedimientos y controles de auditoría a sistemas de información, cadena de custodia y laboratorio forense:
Se encuentra pendiente la definición institucional relacionada con el laboratorio forense.PR_13 – Acompañamiento a la implementación del Plan de Continuidad del Negocio (BCP):
 La ejecución de este proyecto depende de la culminación previa del proyecto PR_12. Por esta razón, su desarrollo y reporte están previstos para la vigencia 2026.PR_16 – Fortalecimiento de la Arquitectura Empresarial:
No se relacionó el perfil profesional adecuado para el desarrollo efectivo del proyecto en el PAA 2025. Se aprovisinó en el PAA 2026 para desarrollar este proyecto.
Estas acciones, una vez reactivadas, contribuirán significativamente al fortalecimiento institucional de la Supersalud, mejorando la eficiencia y eficacia de los procesos de inspección, vigilancia y control, mediante el uso de herramientas tecnológicas, metodologías de auditoría, y mecanismos que optimicen la gestión de riesgos, la seguridad de la información y la protección de datos personales.
</v>
      </c>
    </row>
    <row r="365" spans="1:110" ht="64.5" customHeight="1">
      <c r="A365" s="349" t="s">
        <v>391</v>
      </c>
      <c r="B365" s="209" t="s">
        <v>149</v>
      </c>
      <c r="C365" s="209" t="s">
        <v>573</v>
      </c>
      <c r="D365" s="209" t="s">
        <v>660</v>
      </c>
      <c r="E365" s="209" t="s">
        <v>661</v>
      </c>
      <c r="F365" s="349" t="s">
        <v>662</v>
      </c>
      <c r="G365" s="209" t="s">
        <v>157</v>
      </c>
      <c r="H365" s="243">
        <v>7</v>
      </c>
      <c r="I365" s="323">
        <v>16</v>
      </c>
      <c r="J365" s="323">
        <v>7</v>
      </c>
      <c r="K365" s="290">
        <v>2.28571428571429</v>
      </c>
      <c r="L365" s="209" t="s">
        <v>3197</v>
      </c>
      <c r="M365" s="209" t="b">
        <v>1</v>
      </c>
      <c r="N365" s="209" t="s">
        <v>3198</v>
      </c>
      <c r="O365" s="209" t="s">
        <v>2832</v>
      </c>
      <c r="P365" s="209" t="s">
        <v>159</v>
      </c>
      <c r="Q365" s="269" t="s">
        <v>160</v>
      </c>
      <c r="R365" s="243"/>
      <c r="S365" s="243"/>
      <c r="Z365" s="209"/>
      <c r="AA365" s="209"/>
      <c r="AB365" s="209"/>
      <c r="AG365" s="269"/>
      <c r="AH365" s="244"/>
      <c r="AI365" s="244"/>
      <c r="AJ365" s="244"/>
      <c r="AQ365" s="209"/>
      <c r="AR365" s="209"/>
      <c r="AS365" s="209"/>
      <c r="BX365" s="274"/>
      <c r="CA365" s="209"/>
      <c r="CO365" s="209" t="s">
        <v>265</v>
      </c>
      <c r="CP365" s="209" t="s">
        <v>149</v>
      </c>
      <c r="CQ365" s="209" t="s">
        <v>266</v>
      </c>
      <c r="CR365" s="209" t="s">
        <v>267</v>
      </c>
      <c r="CS365" s="209" t="s">
        <v>3283</v>
      </c>
      <c r="CT365" s="209" t="s">
        <v>266</v>
      </c>
      <c r="CU365" s="211" t="str">
        <f t="shared" si="157"/>
        <v>N/A</v>
      </c>
      <c r="CV365" s="211" t="str">
        <f t="shared" si="158"/>
        <v>N/A</v>
      </c>
      <c r="CW365" s="211" t="str">
        <f t="shared" si="159"/>
        <v>N/A</v>
      </c>
      <c r="CX365" s="211" t="str">
        <f t="shared" si="160"/>
        <v>N/A</v>
      </c>
      <c r="CY365" s="211" t="str">
        <f t="shared" si="161"/>
        <v>N/A</v>
      </c>
      <c r="CZ365" s="211" t="str">
        <f t="shared" si="162"/>
        <v>N/A</v>
      </c>
      <c r="DA365" s="211" t="str">
        <f t="shared" si="163"/>
        <v>N/A</v>
      </c>
      <c r="DB365" s="211" t="str">
        <f t="shared" si="164"/>
        <v>N/A</v>
      </c>
      <c r="DC365" s="211" t="str">
        <f t="shared" si="165"/>
        <v>N/A</v>
      </c>
      <c r="DD365" s="211" t="str">
        <f t="shared" si="166"/>
        <v>N/A</v>
      </c>
      <c r="DE365" s="211" t="str">
        <f t="shared" si="167"/>
        <v>N/A</v>
      </c>
      <c r="DF365" s="211" t="str">
        <f t="shared" si="168"/>
        <v xml:space="preserve">​
El informe evidencia un resultado altamente satisfactorio al indicar que el indicador evaluado alcanza un nivel de cumplimiento del 100 %, lo cual da cuenta de la ejecución íntegra de la meta establecida para el periodo analizado. Este resultado refleja una gestión eficaz a nivel de comunicación digital, orientada al logro de los objetivos definidos. La referencia explícita al archivo INF-GESTION-DIGITAL-NOV2025.xlsx constituye un respaldo documental sólido, al aportar evidencia cuantitativa verificable que permite garantizar la trazabilidad, transparencia y consistencia del cumplimiento reportado.
De igual manera, se resalta el incremento tanto en el número de seguidores como en los niveles de interacción en las redes sociales institucionales, lo cual puede interpretarse como un fortalecimiento progresivo del alcance, la visibilidad y el posicionamiento digital de la entidad ante la ciudadanía. Este comportamiento demuestra que las estrategias de comunicación digital implementadas han sido efectivas, al lograr captar el interés de los públicos objetivos y fomentar una relación más cercana y dinámica con los usuarios de los servicios de salud y la sociedad en general.
En este sentido, el fortalecimiento del ecosistema digital resulta especialmente relevante para la Superintendencia Nacional de Salud, cuyo rol misional exige no solo la vigilancia y el control, sino también la generación de confianza, legitimidad institucional y percepción de cercanía con la ciudadanía. Una presencia digital sólida y estratégica contribuye a mejorar la comprensión del quehacer institucional, facilita el acceso a la información pública y promueve la participación ciudadana, en coherencia con los principios de transparencia, y responsabilidad que rigen la función administrativa. En consecuencia, los resultados reportados no solo reflejan un cumplimiento técnico de metas, sino también avances significativos en la consolidación del posicionamiento institucional y en la construcción de una relación más abierta y efectiva con la ciudadanía.
</v>
      </c>
    </row>
    <row r="366" spans="1:110" ht="64.5" customHeight="1">
      <c r="A366" s="349" t="s">
        <v>391</v>
      </c>
      <c r="B366" s="209" t="s">
        <v>149</v>
      </c>
      <c r="C366" s="209" t="s">
        <v>444</v>
      </c>
      <c r="D366" s="209" t="s">
        <v>445</v>
      </c>
      <c r="E366" s="209" t="s">
        <v>446</v>
      </c>
      <c r="F366" s="349" t="s">
        <v>447</v>
      </c>
      <c r="G366" s="209" t="s">
        <v>178</v>
      </c>
      <c r="H366" s="243">
        <v>1</v>
      </c>
      <c r="I366" s="323">
        <v>458199</v>
      </c>
      <c r="J366" s="323">
        <v>458199</v>
      </c>
      <c r="K366" s="290">
        <v>1</v>
      </c>
      <c r="L366" s="209" t="s">
        <v>3201</v>
      </c>
      <c r="M366" s="209" t="b">
        <v>1</v>
      </c>
      <c r="N366" s="209" t="s">
        <v>3202</v>
      </c>
      <c r="O366" s="209" t="s">
        <v>2832</v>
      </c>
      <c r="P366" s="209" t="s">
        <v>159</v>
      </c>
      <c r="Q366" s="269" t="s">
        <v>160</v>
      </c>
      <c r="R366" s="243"/>
      <c r="S366" s="243"/>
      <c r="Z366" s="209"/>
      <c r="AA366" s="209"/>
      <c r="AB366" s="209"/>
      <c r="AG366" s="269"/>
      <c r="AH366" s="244"/>
      <c r="AI366" s="244"/>
      <c r="AJ366" s="244"/>
      <c r="AQ366" s="209"/>
      <c r="AR366" s="209"/>
      <c r="AS366" s="209"/>
      <c r="BX366" s="274"/>
      <c r="CA366" s="209"/>
      <c r="CO366" s="209" t="s">
        <v>190</v>
      </c>
      <c r="CP366" s="209" t="s">
        <v>149</v>
      </c>
      <c r="CQ366" s="209" t="s">
        <v>191</v>
      </c>
      <c r="CR366" s="209" t="s">
        <v>3313</v>
      </c>
      <c r="CS366" s="209" t="s">
        <v>3314</v>
      </c>
      <c r="CT366" s="209" t="s">
        <v>191</v>
      </c>
      <c r="CU366" s="211" t="str">
        <f t="shared" si="157"/>
        <v>N/A</v>
      </c>
      <c r="CV366" s="211" t="str">
        <f t="shared" si="158"/>
        <v>N/A</v>
      </c>
      <c r="CW366" s="211" t="str">
        <f t="shared" si="159"/>
        <v>N/A</v>
      </c>
      <c r="CX366" s="211" t="str">
        <f t="shared" si="160"/>
        <v>N/A</v>
      </c>
      <c r="CY366" s="211" t="str">
        <f t="shared" si="161"/>
        <v>N/A</v>
      </c>
      <c r="CZ366" s="211" t="str">
        <f t="shared" si="162"/>
        <v>N/A</v>
      </c>
      <c r="DA366" s="211" t="str">
        <f t="shared" si="163"/>
        <v>N/A</v>
      </c>
      <c r="DB366" s="211" t="str">
        <f t="shared" si="164"/>
        <v>N/A</v>
      </c>
      <c r="DC366" s="211" t="str">
        <f t="shared" si="165"/>
        <v>N/A</v>
      </c>
      <c r="DD366" s="211" t="str">
        <f t="shared" si="166"/>
        <v>N/A</v>
      </c>
      <c r="DE366" s="211" t="str">
        <f t="shared" si="167"/>
        <v>N/A</v>
      </c>
      <c r="DF366" s="211" t="str">
        <f t="shared" si="168"/>
        <v xml:space="preserve">​Al corte del 31 de diciembre de 2025 en la Entidad se expidieron 12.454 resoluciones de las cuales ingresaron 11.948 al Grupo de Gestión de Notificaciones y Comunicaciones y, se gestionaron 11.870, dejando en trámite 78 actos administrativos en su gran mayoría expedidos en los últimos días del mes y los cuales por distintos tramites se encuentra en gestión al corte del mes de este reporte.
</v>
      </c>
    </row>
    <row r="367" spans="1:110" ht="64.5" customHeight="1">
      <c r="A367" s="349" t="s">
        <v>391</v>
      </c>
      <c r="B367" s="209" t="s">
        <v>149</v>
      </c>
      <c r="C367" s="209" t="s">
        <v>449</v>
      </c>
      <c r="D367" s="209" t="s">
        <v>450</v>
      </c>
      <c r="E367" s="209" t="s">
        <v>451</v>
      </c>
      <c r="F367" s="349" t="s">
        <v>447</v>
      </c>
      <c r="G367" s="209" t="s">
        <v>178</v>
      </c>
      <c r="H367" s="243">
        <v>1</v>
      </c>
      <c r="I367" s="323">
        <v>86630</v>
      </c>
      <c r="J367" s="323">
        <v>86630</v>
      </c>
      <c r="K367" s="290">
        <v>1</v>
      </c>
      <c r="L367" s="209" t="s">
        <v>3209</v>
      </c>
      <c r="M367" s="209" t="b">
        <v>1</v>
      </c>
      <c r="N367" s="209" t="s">
        <v>3210</v>
      </c>
      <c r="O367" s="209" t="s">
        <v>2832</v>
      </c>
      <c r="P367" s="209" t="s">
        <v>159</v>
      </c>
      <c r="Q367" s="269" t="s">
        <v>160</v>
      </c>
      <c r="R367" s="243"/>
      <c r="S367" s="243"/>
      <c r="Z367" s="209"/>
      <c r="AA367" s="209"/>
      <c r="AB367" s="209"/>
      <c r="AG367" s="269"/>
      <c r="AH367" s="244"/>
      <c r="AI367" s="244"/>
      <c r="AJ367" s="244"/>
      <c r="AQ367" s="209"/>
      <c r="AR367" s="209"/>
      <c r="AS367" s="209"/>
      <c r="BX367" s="274"/>
      <c r="CA367" s="209"/>
      <c r="CO367" s="209" t="s">
        <v>190</v>
      </c>
      <c r="CP367" s="209" t="s">
        <v>149</v>
      </c>
      <c r="CQ367" s="209" t="s">
        <v>397</v>
      </c>
      <c r="CR367" s="209" t="s">
        <v>679</v>
      </c>
      <c r="CS367" s="209" t="s">
        <v>3315</v>
      </c>
      <c r="CT367" s="209" t="s">
        <v>397</v>
      </c>
      <c r="CU367" s="211" t="str">
        <f t="shared" si="157"/>
        <v>N/A</v>
      </c>
      <c r="CV367" s="211" t="str">
        <f t="shared" si="158"/>
        <v>N/A</v>
      </c>
      <c r="CW367" s="211" t="str">
        <f t="shared" si="159"/>
        <v>N/A</v>
      </c>
      <c r="CX367" s="211" t="str">
        <f t="shared" si="160"/>
        <v>N/A</v>
      </c>
      <c r="CY367" s="211" t="str">
        <f t="shared" si="161"/>
        <v>N/A</v>
      </c>
      <c r="CZ367" s="211" t="str">
        <f t="shared" si="162"/>
        <v>N/A</v>
      </c>
      <c r="DA367" s="211" t="str">
        <f t="shared" si="163"/>
        <v>N/A</v>
      </c>
      <c r="DB367" s="211" t="str">
        <f t="shared" si="164"/>
        <v>N/A</v>
      </c>
      <c r="DC367" s="211" t="str">
        <f t="shared" si="165"/>
        <v>N/A</v>
      </c>
      <c r="DD367" s="211" t="str">
        <f t="shared" si="166"/>
        <v>N/A</v>
      </c>
      <c r="DE367" s="211" t="str">
        <f t="shared" si="167"/>
        <v>N/A</v>
      </c>
      <c r="DF367" s="211" t="str">
        <f t="shared" si="168"/>
        <v xml:space="preserve">En el mes de julio de 2025 se adelantó con ayuda de la Oficina Asesora de Comunicaciones Estratégicas e Imagen Institucional, la actualización del video de autorización de notificación electrónica en la página web de la entidad dando cumplimiento al indicador en el segundo semestre.
</v>
      </c>
    </row>
    <row r="368" spans="1:110" ht="64.5" customHeight="1">
      <c r="A368" s="349" t="s">
        <v>454</v>
      </c>
      <c r="B368" s="209" t="s">
        <v>149</v>
      </c>
      <c r="C368" s="209" t="s">
        <v>575</v>
      </c>
      <c r="D368" s="209" t="s">
        <v>576</v>
      </c>
      <c r="E368" s="209" t="s">
        <v>577</v>
      </c>
      <c r="F368" s="349" t="s">
        <v>578</v>
      </c>
      <c r="G368" s="209" t="s">
        <v>178</v>
      </c>
      <c r="H368" s="243">
        <v>0.96</v>
      </c>
      <c r="I368" s="323">
        <v>513</v>
      </c>
      <c r="J368" s="323">
        <v>645</v>
      </c>
      <c r="K368" s="290">
        <v>0.79534883720930205</v>
      </c>
      <c r="L368" s="209" t="s">
        <v>3220</v>
      </c>
      <c r="M368" s="209" t="b">
        <v>0</v>
      </c>
      <c r="O368" s="209" t="s">
        <v>2832</v>
      </c>
      <c r="P368" s="209" t="s">
        <v>159</v>
      </c>
      <c r="Q368" s="269" t="s">
        <v>160</v>
      </c>
      <c r="R368" s="243"/>
      <c r="S368" s="243"/>
      <c r="Z368" s="209"/>
      <c r="AA368" s="209"/>
      <c r="AB368" s="209"/>
      <c r="AG368" s="269"/>
      <c r="AH368" s="244"/>
      <c r="AI368" s="244"/>
      <c r="AJ368" s="244"/>
      <c r="AQ368" s="209"/>
      <c r="AR368" s="209"/>
      <c r="AS368" s="209"/>
      <c r="BX368" s="274"/>
      <c r="CA368" s="209"/>
      <c r="CO368" s="209" t="s">
        <v>190</v>
      </c>
      <c r="CP368" s="209" t="s">
        <v>149</v>
      </c>
      <c r="CQ368" s="209" t="s">
        <v>398</v>
      </c>
      <c r="CR368" s="209" t="s">
        <v>399</v>
      </c>
      <c r="CS368" s="209" t="s">
        <v>3317</v>
      </c>
      <c r="CT368" s="209" t="s">
        <v>398</v>
      </c>
      <c r="CU368" s="211" t="str">
        <f t="shared" si="157"/>
        <v>N/A</v>
      </c>
      <c r="CV368" s="211" t="str">
        <f t="shared" si="158"/>
        <v>N/A</v>
      </c>
      <c r="CW368" s="211" t="str">
        <f t="shared" si="159"/>
        <v>N/A</v>
      </c>
      <c r="CX368" s="211" t="str">
        <f t="shared" si="160"/>
        <v>N/A</v>
      </c>
      <c r="CY368" s="211" t="str">
        <f t="shared" si="161"/>
        <v>N/A</v>
      </c>
      <c r="CZ368" s="211" t="str">
        <f t="shared" si="162"/>
        <v>N/A</v>
      </c>
      <c r="DA368" s="211" t="str">
        <f t="shared" si="163"/>
        <v>N/A</v>
      </c>
      <c r="DB368" s="211" t="str">
        <f t="shared" si="164"/>
        <v>N/A</v>
      </c>
      <c r="DC368" s="211" t="str">
        <f t="shared" si="165"/>
        <v>N/A</v>
      </c>
      <c r="DD368" s="211" t="str">
        <f t="shared" si="166"/>
        <v>N/A</v>
      </c>
      <c r="DE368" s="211" t="str">
        <f t="shared" si="167"/>
        <v>N/A</v>
      </c>
      <c r="DF368" s="211" t="str">
        <f t="shared" si="168"/>
        <v xml:space="preserve">​En el trimestre se mantuvieron los siguientes valores en cantidades base (Denominador) Octubre 40.694, Noviembre 47.211 y Diciembre 43.767, para un total de 131.672 con los correspondientes hallazgos:Octubre 22, Noviembre 94 y Diciembre 295, estos representan un 0.31% del total procesado, sin embargo se realizó el análisis de los hallazgos, y se elaboró un plan de calidad específico, el cual se aplicará en el siguiente año con el objetivo de mitigar la cantidad de hallazgos. Se evidencia cumplimiento final de 99.43%
</v>
      </c>
    </row>
    <row r="369" spans="1:110" ht="64.5" customHeight="1">
      <c r="A369" s="349" t="s">
        <v>454</v>
      </c>
      <c r="B369" s="209" t="s">
        <v>149</v>
      </c>
      <c r="C369" s="209" t="s">
        <v>579</v>
      </c>
      <c r="D369" s="209" t="s">
        <v>580</v>
      </c>
      <c r="E369" s="209" t="s">
        <v>581</v>
      </c>
      <c r="F369" s="349" t="s">
        <v>582</v>
      </c>
      <c r="G369" s="209" t="s">
        <v>178</v>
      </c>
      <c r="H369" s="243">
        <v>0.96</v>
      </c>
      <c r="I369" s="323">
        <v>114</v>
      </c>
      <c r="J369" s="323">
        <v>126</v>
      </c>
      <c r="K369" s="290">
        <v>0.90476190476190499</v>
      </c>
      <c r="L369" s="209" t="s">
        <v>3220</v>
      </c>
      <c r="M369" s="209" t="b">
        <v>0</v>
      </c>
      <c r="O369" s="209" t="s">
        <v>2832</v>
      </c>
      <c r="P369" s="209" t="s">
        <v>159</v>
      </c>
      <c r="Q369" s="269" t="s">
        <v>160</v>
      </c>
      <c r="R369" s="243"/>
      <c r="S369" s="243"/>
      <c r="Z369" s="209"/>
      <c r="AA369" s="209"/>
      <c r="AB369" s="209"/>
      <c r="AG369" s="269"/>
      <c r="AH369" s="244"/>
      <c r="AI369" s="244"/>
      <c r="AJ369" s="244"/>
      <c r="AQ369" s="209"/>
      <c r="AR369" s="209"/>
      <c r="AS369" s="209"/>
      <c r="BX369" s="274"/>
      <c r="CA369" s="209"/>
      <c r="CO369" s="209" t="s">
        <v>190</v>
      </c>
      <c r="CP369" s="209" t="s">
        <v>149</v>
      </c>
      <c r="CQ369" s="209" t="s">
        <v>403</v>
      </c>
      <c r="CR369" s="209" t="s">
        <v>404</v>
      </c>
      <c r="CS369" s="209" t="s">
        <v>3319</v>
      </c>
      <c r="CT369" s="209" t="s">
        <v>403</v>
      </c>
      <c r="CU369" s="211" t="str">
        <f t="shared" si="157"/>
        <v>N/A</v>
      </c>
      <c r="CV369" s="211" t="str">
        <f t="shared" si="158"/>
        <v>N/A</v>
      </c>
      <c r="CW369" s="211" t="str">
        <f t="shared" si="159"/>
        <v>N/A</v>
      </c>
      <c r="CX369" s="211" t="str">
        <f t="shared" si="160"/>
        <v>N/A</v>
      </c>
      <c r="CY369" s="211" t="str">
        <f t="shared" si="161"/>
        <v>N/A</v>
      </c>
      <c r="CZ369" s="211" t="str">
        <f t="shared" si="162"/>
        <v>N/A</v>
      </c>
      <c r="DA369" s="211" t="str">
        <f t="shared" si="163"/>
        <v>N/A</v>
      </c>
      <c r="DB369" s="211" t="str">
        <f t="shared" si="164"/>
        <v>N/A</v>
      </c>
      <c r="DC369" s="211" t="str">
        <f t="shared" si="165"/>
        <v>N/A</v>
      </c>
      <c r="DD369" s="211" t="str">
        <f t="shared" si="166"/>
        <v>N/A</v>
      </c>
      <c r="DE369" s="211" t="str">
        <f t="shared" si="167"/>
        <v>N/A</v>
      </c>
      <c r="DF369" s="211" t="str">
        <f t="shared" si="168"/>
        <v xml:space="preserve">​En el trimestre se mantuvieron los siguientes valores en cantidades base (Denominador) Octubre 40.694, Noviembre 47.211 y Diciembre 43.767, para un total de 131.672 con los correspondientes hallazgos:Octubre 191, Noviembre 244 y Diciembre 499, estos representan un 0.71% del total procesado, sin embargo se realizó el análisis de los hallazgos, y se elaboró un plan de calidad específico, el cual se aplicará en el siguiente año con el objetivo de mitigar la cantidad de hallazgos. Se evidencia cumplimiento final de 99.29%
</v>
      </c>
    </row>
    <row r="370" spans="1:110" ht="64.5" customHeight="1">
      <c r="A370" s="349" t="s">
        <v>454</v>
      </c>
      <c r="B370" s="209" t="s">
        <v>149</v>
      </c>
      <c r="C370" s="209" t="s">
        <v>584</v>
      </c>
      <c r="D370" s="209" t="s">
        <v>585</v>
      </c>
      <c r="E370" s="209" t="s">
        <v>586</v>
      </c>
      <c r="F370" s="349" t="s">
        <v>587</v>
      </c>
      <c r="G370" s="209" t="s">
        <v>178</v>
      </c>
      <c r="H370" s="243">
        <v>0.96</v>
      </c>
      <c r="I370" s="323">
        <v>131</v>
      </c>
      <c r="J370" s="323">
        <v>173</v>
      </c>
      <c r="K370" s="290">
        <v>0.75722543352601202</v>
      </c>
      <c r="L370" s="209" t="s">
        <v>3219</v>
      </c>
      <c r="M370" s="209" t="b">
        <v>0</v>
      </c>
      <c r="O370" s="209" t="s">
        <v>2832</v>
      </c>
      <c r="P370" s="209" t="s">
        <v>159</v>
      </c>
      <c r="Q370" s="269" t="s">
        <v>160</v>
      </c>
      <c r="R370" s="243"/>
      <c r="S370" s="243"/>
      <c r="Z370" s="209"/>
      <c r="AA370" s="209"/>
      <c r="AB370" s="209"/>
      <c r="AG370" s="269"/>
      <c r="AH370" s="244"/>
      <c r="AI370" s="244"/>
      <c r="AJ370" s="244"/>
      <c r="AQ370" s="209"/>
      <c r="AR370" s="209"/>
      <c r="AS370" s="209"/>
      <c r="BX370" s="274"/>
      <c r="CA370" s="209"/>
      <c r="CO370" s="209" t="s">
        <v>190</v>
      </c>
      <c r="CP370" s="209" t="s">
        <v>149</v>
      </c>
      <c r="CQ370" s="209" t="s">
        <v>381</v>
      </c>
      <c r="CR370" s="209" t="s">
        <v>382</v>
      </c>
      <c r="CS370" s="209" t="s">
        <v>3320</v>
      </c>
      <c r="CT370" s="209" t="s">
        <v>381</v>
      </c>
      <c r="CU370" s="211" t="str">
        <f t="shared" si="157"/>
        <v>N/A</v>
      </c>
      <c r="CV370" s="211" t="str">
        <f t="shared" si="158"/>
        <v>N/A</v>
      </c>
      <c r="CW370" s="211" t="str">
        <f t="shared" si="159"/>
        <v>N/A</v>
      </c>
      <c r="CX370" s="211" t="str">
        <f t="shared" si="160"/>
        <v>N/A</v>
      </c>
      <c r="CY370" s="211" t="str">
        <f t="shared" si="161"/>
        <v>N/A</v>
      </c>
      <c r="CZ370" s="211" t="str">
        <f t="shared" si="162"/>
        <v>N/A</v>
      </c>
      <c r="DA370" s="211" t="str">
        <f t="shared" si="163"/>
        <v>N/A</v>
      </c>
      <c r="DB370" s="211" t="str">
        <f t="shared" si="164"/>
        <v>N/A</v>
      </c>
      <c r="DC370" s="211" t="str">
        <f t="shared" si="165"/>
        <v>N/A</v>
      </c>
      <c r="DD370" s="211" t="str">
        <f t="shared" si="166"/>
        <v>N/A</v>
      </c>
      <c r="DE370" s="211" t="str">
        <f t="shared" si="167"/>
        <v>N/A</v>
      </c>
      <c r="DF370" s="211" t="str">
        <f t="shared" si="168"/>
        <v xml:space="preserve">​Observamos que, para el cuarto trimestre de 2025, el Indicador DI28 Nivel de madurez de acuerdo con la matriz de cumplimiento del MGDA, alcanzó un cumplimiento satisfactorio del 100% con la ejecución de 12 actividades, llegando a un avance acumulado anual del 100%, con un total acumulado de 52 actividades cumplidas. Las actividades desarrolladas han contribuido al fortalecimiento en el desarrollo de la política de gestión documental y en el incremento de la aplicación de los componentes del Modelo de Gestión Documental y Administración de Archivos, alineándolos con el Ciclo Vital del Documento.
</v>
      </c>
    </row>
    <row r="371" spans="1:110" ht="64.5" customHeight="1">
      <c r="A371" s="349" t="s">
        <v>199</v>
      </c>
      <c r="B371" s="209" t="s">
        <v>149</v>
      </c>
      <c r="C371" s="209" t="s">
        <v>200</v>
      </c>
      <c r="D371" s="209" t="s">
        <v>201</v>
      </c>
      <c r="E371" s="209" t="s">
        <v>202</v>
      </c>
      <c r="F371" s="349" t="s">
        <v>203</v>
      </c>
      <c r="G371" s="209" t="s">
        <v>157</v>
      </c>
      <c r="H371" s="243">
        <v>16</v>
      </c>
      <c r="I371" s="323">
        <v>24</v>
      </c>
      <c r="J371" s="323">
        <v>16</v>
      </c>
      <c r="K371" s="290">
        <v>1.5</v>
      </c>
      <c r="L371" s="209" t="s">
        <v>3225</v>
      </c>
      <c r="M371" s="209" t="b">
        <v>1</v>
      </c>
      <c r="N371" s="209" t="s">
        <v>3226</v>
      </c>
      <c r="O371" s="209" t="s">
        <v>2832</v>
      </c>
      <c r="P371" s="209" t="s">
        <v>159</v>
      </c>
      <c r="Q371" s="269" t="s">
        <v>160</v>
      </c>
      <c r="R371" s="243"/>
      <c r="S371" s="243"/>
      <c r="Z371" s="209"/>
      <c r="AA371" s="209"/>
      <c r="AB371" s="209"/>
      <c r="AG371" s="269"/>
      <c r="AH371" s="244"/>
      <c r="AI371" s="244"/>
      <c r="AJ371" s="244"/>
      <c r="AQ371" s="209"/>
      <c r="AR371" s="209"/>
      <c r="AS371" s="209"/>
      <c r="BX371" s="274"/>
      <c r="CA371" s="209"/>
      <c r="CO371" s="209" t="s">
        <v>238</v>
      </c>
      <c r="CP371" s="209" t="s">
        <v>149</v>
      </c>
      <c r="CQ371" s="209" t="s">
        <v>252</v>
      </c>
      <c r="CR371" s="209" t="s">
        <v>1331</v>
      </c>
      <c r="CS371" s="209" t="s">
        <v>3267</v>
      </c>
      <c r="CT371" s="209" t="s">
        <v>252</v>
      </c>
      <c r="CU371" s="211" t="str">
        <f t="shared" si="157"/>
        <v>N/A</v>
      </c>
      <c r="CV371" s="211" t="str">
        <f t="shared" si="158"/>
        <v>N/A</v>
      </c>
      <c r="CW371" s="211" t="str">
        <f t="shared" si="159"/>
        <v>N/A</v>
      </c>
      <c r="CX371" s="211" t="str">
        <f t="shared" si="160"/>
        <v>N/A</v>
      </c>
      <c r="CY371" s="211" t="str">
        <f t="shared" si="161"/>
        <v>N/A</v>
      </c>
      <c r="CZ371" s="211" t="str">
        <f t="shared" si="162"/>
        <v>N/A</v>
      </c>
      <c r="DA371" s="211" t="str">
        <f t="shared" si="163"/>
        <v>N/A</v>
      </c>
      <c r="DB371" s="211" t="str">
        <f t="shared" si="164"/>
        <v>N/A</v>
      </c>
      <c r="DC371" s="211" t="str">
        <f t="shared" si="165"/>
        <v>N/A</v>
      </c>
      <c r="DD371" s="211" t="str">
        <f t="shared" si="166"/>
        <v>N/A</v>
      </c>
      <c r="DE371" s="211" t="str">
        <f t="shared" si="167"/>
        <v>N/A</v>
      </c>
      <c r="DF371" s="211" t="str">
        <f t="shared" si="168"/>
        <v xml:space="preserve">En realizó la ejecución el contrato 116 de 2025 por valor de $1,634,000,000 con avance técnico del 100%. Este contrato abarca dos proyectos independientes que hacen parte de dos programas y el Objeto es: Desarrollar e Implementar el Programa de Gobernanza de Datos en las etapas restantes de diseño y arquitectura, implementación, y operación y control, y el Programa de Inteligencia de Negocios y Analítica de la Superintendencia Nacional de Salud 
 ALCANCE: Terminar de desarrollar e implementar las etapas restantes del programa de Gobernanza de Datos, iniciado en el 2024: 
Fase 3: Arquitectura y Diseño en las subfases y actividades restantes no desarrolladas en el Contrato 131 de 2024 Subfase 3.1. actividad 3.1.3. para identificar herramientas y tecnología que apoye las capacidades de la GoD, subfases 
Subfase 3.2, Definición de Marcos de operación, 
Subfase 3.3, Formalización del compromiso y flujo de trabajo 
Fase 4: Implementación (implantación) 
Fase 5: Operación y Cambio 
* Desarrollar e Implementar el Programa de Inteligencia de Negocios de la Superintendencia Nacional de Salud: 
Fase 1 Estructuración 
Fase 2 Desarrollo 
Fase 3 Despliegue 
Fase 4 Implementación, operación, seguimiento y evaluación 
</v>
      </c>
    </row>
    <row r="372" spans="1:110" ht="64.5" customHeight="1">
      <c r="A372" s="349" t="s">
        <v>199</v>
      </c>
      <c r="B372" s="209" t="s">
        <v>149</v>
      </c>
      <c r="C372" s="209" t="s">
        <v>204</v>
      </c>
      <c r="D372" s="209" t="s">
        <v>205</v>
      </c>
      <c r="E372" s="209" t="s">
        <v>206</v>
      </c>
      <c r="F372" s="349" t="s">
        <v>207</v>
      </c>
      <c r="G372" s="209" t="s">
        <v>178</v>
      </c>
      <c r="H372" s="243">
        <v>1</v>
      </c>
      <c r="I372" s="323">
        <v>50</v>
      </c>
      <c r="J372" s="323">
        <v>50</v>
      </c>
      <c r="K372" s="290">
        <v>1</v>
      </c>
      <c r="L372" s="209" t="s">
        <v>3227</v>
      </c>
      <c r="M372" s="209" t="b">
        <v>1</v>
      </c>
      <c r="N372" s="209" t="s">
        <v>3228</v>
      </c>
      <c r="O372" s="209" t="s">
        <v>2832</v>
      </c>
      <c r="P372" s="209" t="s">
        <v>159</v>
      </c>
      <c r="Q372" s="269" t="s">
        <v>160</v>
      </c>
      <c r="R372" s="243"/>
      <c r="S372" s="243"/>
      <c r="Z372" s="209"/>
      <c r="AA372" s="209"/>
      <c r="AB372" s="209"/>
      <c r="AG372" s="269"/>
      <c r="AH372" s="244"/>
      <c r="AI372" s="244"/>
      <c r="AJ372" s="244"/>
      <c r="AQ372" s="209"/>
      <c r="AR372" s="209"/>
      <c r="AS372" s="209"/>
      <c r="BX372" s="274"/>
      <c r="CA372" s="209"/>
      <c r="CO372" s="209" t="s">
        <v>190</v>
      </c>
      <c r="CP372" s="209" t="s">
        <v>149</v>
      </c>
      <c r="CQ372" s="209" t="s">
        <v>408</v>
      </c>
      <c r="CR372" s="209" t="s">
        <v>409</v>
      </c>
      <c r="CS372" s="209" t="s">
        <v>3322</v>
      </c>
      <c r="CT372" s="209" t="s">
        <v>408</v>
      </c>
      <c r="CU372" s="211" t="str">
        <f t="shared" si="157"/>
        <v>N/A</v>
      </c>
      <c r="CV372" s="211" t="str">
        <f t="shared" si="158"/>
        <v>N/A</v>
      </c>
      <c r="CW372" s="211" t="str">
        <f t="shared" si="159"/>
        <v>N/A</v>
      </c>
      <c r="CX372" s="211" t="str">
        <f t="shared" si="160"/>
        <v>N/A</v>
      </c>
      <c r="CY372" s="211" t="str">
        <f t="shared" si="161"/>
        <v>N/A</v>
      </c>
      <c r="CZ372" s="211" t="str">
        <f t="shared" si="162"/>
        <v>N/A</v>
      </c>
      <c r="DA372" s="211" t="str">
        <f t="shared" si="163"/>
        <v>N/A</v>
      </c>
      <c r="DB372" s="211" t="str">
        <f t="shared" si="164"/>
        <v>N/A</v>
      </c>
      <c r="DC372" s="211" t="str">
        <f t="shared" si="165"/>
        <v>N/A</v>
      </c>
      <c r="DD372" s="211" t="str">
        <f t="shared" si="166"/>
        <v>N/A</v>
      </c>
      <c r="DE372" s="211" t="str">
        <f t="shared" si="167"/>
        <v>N/A</v>
      </c>
      <c r="DF372" s="211" t="str">
        <f t="shared" si="168"/>
        <v xml:space="preserve">​Para el trimestre reportado (Octubre a Diciembre de 2025) se publicaron a través de los canales oficiales de Supersalud 3 piezas de comunicación con temáticas propias de los procesos del Grupo Interno de Trabajo de Correspondencia, los cuales mostraron un impacto positivo. Cumplimiento final 100%
</v>
      </c>
    </row>
    <row r="373" spans="1:110" ht="64.5" customHeight="1">
      <c r="A373" s="349" t="s">
        <v>199</v>
      </c>
      <c r="B373" s="209" t="s">
        <v>149</v>
      </c>
      <c r="C373" s="209" t="s">
        <v>599</v>
      </c>
      <c r="D373" s="209" t="s">
        <v>779</v>
      </c>
      <c r="E373" s="209" t="s">
        <v>780</v>
      </c>
      <c r="F373" s="349" t="s">
        <v>781</v>
      </c>
      <c r="G373" s="209" t="s">
        <v>178</v>
      </c>
      <c r="H373" s="243">
        <v>1</v>
      </c>
      <c r="I373" s="323">
        <v>102</v>
      </c>
      <c r="J373" s="323">
        <v>102</v>
      </c>
      <c r="K373" s="290">
        <v>1</v>
      </c>
      <c r="L373" s="209" t="s">
        <v>3241</v>
      </c>
      <c r="M373" s="209" t="b">
        <v>1</v>
      </c>
      <c r="N373" s="209" t="s">
        <v>3242</v>
      </c>
      <c r="O373" s="209" t="s">
        <v>2832</v>
      </c>
      <c r="P373" s="209" t="s">
        <v>159</v>
      </c>
      <c r="Q373" s="269" t="s">
        <v>160</v>
      </c>
      <c r="R373" s="243"/>
      <c r="S373" s="243"/>
      <c r="Z373" s="209"/>
      <c r="AA373" s="209"/>
      <c r="AB373" s="209"/>
      <c r="AG373" s="269"/>
      <c r="AH373" s="244"/>
      <c r="AI373" s="244"/>
      <c r="AJ373" s="244"/>
      <c r="AQ373" s="209"/>
      <c r="AR373" s="209"/>
      <c r="AS373" s="209"/>
      <c r="BX373" s="274"/>
      <c r="CA373" s="209"/>
      <c r="CO373" s="209" t="s">
        <v>265</v>
      </c>
      <c r="CP373" s="209" t="s">
        <v>149</v>
      </c>
      <c r="CQ373" s="209" t="s">
        <v>312</v>
      </c>
      <c r="CR373" s="209" t="s">
        <v>313</v>
      </c>
      <c r="CS373" s="209" t="s">
        <v>3284</v>
      </c>
      <c r="CT373" s="209" t="s">
        <v>312</v>
      </c>
      <c r="CU373" s="211" t="str">
        <f t="shared" si="157"/>
        <v>N/A</v>
      </c>
      <c r="CV373" s="211" t="str">
        <f t="shared" si="158"/>
        <v>N/A</v>
      </c>
      <c r="CW373" s="211" t="str">
        <f t="shared" si="159"/>
        <v>N/A</v>
      </c>
      <c r="CX373" s="211" t="str">
        <f t="shared" si="160"/>
        <v>N/A</v>
      </c>
      <c r="CY373" s="211" t="str">
        <f t="shared" si="161"/>
        <v>N/A</v>
      </c>
      <c r="CZ373" s="211" t="str">
        <f t="shared" si="162"/>
        <v>N/A</v>
      </c>
      <c r="DA373" s="211" t="str">
        <f t="shared" si="163"/>
        <v>N/A</v>
      </c>
      <c r="DB373" s="211" t="str">
        <f t="shared" si="164"/>
        <v>N/A</v>
      </c>
      <c r="DC373" s="211" t="str">
        <f t="shared" si="165"/>
        <v>N/A</v>
      </c>
      <c r="DD373" s="211" t="str">
        <f t="shared" si="166"/>
        <v>N/A</v>
      </c>
      <c r="DE373" s="211" t="str">
        <f t="shared" si="167"/>
        <v>N/A</v>
      </c>
      <c r="DF373" s="211" t="str">
        <f t="shared" si="168"/>
        <v xml:space="preserve">El resultado del indicador se sustenta en la implementación de dos campañas institucionales estratégicas —la Campaña SENATIC y la Campaña Semana de la Innovación— orientadas a promover la formación, la innovación y la participación activa de los funcionarios, mediante el uso planificado y coherente de canales de comunicación interna, mensajes segmentados y recursos visuales de alto impacto.
La Campaña SENATIC estuvo dirigida a incentivar el registro y la participación de los servidores en los cursos de formación y certificación tecnológica, mediante la articulación de piezas comunicativas multicanal como correos electrónicos, banners en intranet, contenidos audiovisuales, notas informativas y un evento presencial de alto nivel de convocatoria. Esta estrategia permitió reforzar el valor del aprendizaje continuo como eje del desarrollo profesional y herramienta clave para el fortalecimiento de las capacidades institucionales, lo que contribuye al posicionamiento de la entidad como promotora de la transformación digital y la cualificación del talento humano.
Por su parte, la Campaña Semana de la Innovación se orientó a fomentar la participación activa de los funcionarios en espacios de reflexión, aprendizaje y construcción colectiva alrededor de la innovación institucional. A través de una agenda estructurada de workshops, masterclass, foros y actividades participativas, difundidas mediante afiches, wallpapers, correos institucionales, piezas audiovisuales y publicaciones informativas, se fortaleció la apropiación de conceptos relacionados con la innovación, la gestión del conocimiento, la modernización de procesos y el uso estratégico de herramientas tecnológicas. Esta campaña contribuyó, además, a consolidar una narrativa institucional alineada con el eslogan “Innovar para cuidar: el futuro al servicio de la salud”, lo que refuerza la identidad y el propósito misional de la entidad.
En conjunto, ambas campañas evidencian una gestión comunicacional planificada, consistente y orientada a resultados, que no solo permitió alcanzar los objetivos específicos de participación y formación, sino que también fortaleció el posicionamiento institucional de la Superintendencia Nacional de Salud ante su público interno y ante la ciudadanía. Una entidad que comunica de forma clara, estratégica y coherente sus acciones de formación e innovación consolida la confianza, la legitimidad y la percepción de capacidad institucional, elementos fundamentales para una gestión pública moderna, transparente y centrada en el servicio al ciudadano.
</v>
      </c>
    </row>
    <row r="374" spans="1:110" ht="64.5" customHeight="1">
      <c r="A374" s="349" t="s">
        <v>199</v>
      </c>
      <c r="B374" s="209" t="s">
        <v>149</v>
      </c>
      <c r="C374" s="209" t="s">
        <v>598</v>
      </c>
      <c r="D374" s="209" t="s">
        <v>743</v>
      </c>
      <c r="E374" s="209" t="s">
        <v>744</v>
      </c>
      <c r="F374" s="349" t="s">
        <v>990</v>
      </c>
      <c r="G374" s="209" t="s">
        <v>178</v>
      </c>
      <c r="H374" s="243">
        <v>1</v>
      </c>
      <c r="I374" s="323">
        <v>1</v>
      </c>
      <c r="J374" s="323">
        <v>1</v>
      </c>
      <c r="K374" s="290">
        <v>1</v>
      </c>
      <c r="L374" s="209" t="s">
        <v>3239</v>
      </c>
      <c r="M374" s="209" t="b">
        <v>1</v>
      </c>
      <c r="N374" s="209" t="s">
        <v>3240</v>
      </c>
      <c r="O374" s="209" t="s">
        <v>2832</v>
      </c>
      <c r="P374" s="209" t="s">
        <v>159</v>
      </c>
      <c r="Q374" s="269" t="s">
        <v>160</v>
      </c>
      <c r="R374" s="243"/>
      <c r="S374" s="243"/>
      <c r="Z374" s="209"/>
      <c r="AA374" s="209"/>
      <c r="AB374" s="209"/>
      <c r="AG374" s="269"/>
      <c r="AH374" s="244"/>
      <c r="AI374" s="244"/>
      <c r="AJ374" s="244"/>
      <c r="AQ374" s="209"/>
      <c r="AR374" s="209"/>
      <c r="AS374" s="209"/>
      <c r="BX374" s="274"/>
      <c r="CA374" s="209"/>
      <c r="CO374" s="209" t="s">
        <v>238</v>
      </c>
      <c r="CP374" s="209" t="s">
        <v>149</v>
      </c>
      <c r="CQ374" s="209" t="s">
        <v>245</v>
      </c>
      <c r="CR374" s="209" t="s">
        <v>1337</v>
      </c>
      <c r="CS374" s="209" t="s">
        <v>3268</v>
      </c>
      <c r="CT374" s="209" t="s">
        <v>245</v>
      </c>
      <c r="CU374" s="211" t="str">
        <f t="shared" si="157"/>
        <v>N/A</v>
      </c>
      <c r="CV374" s="211" t="str">
        <f t="shared" si="158"/>
        <v>N/A</v>
      </c>
      <c r="CW374" s="211" t="str">
        <f t="shared" si="159"/>
        <v>N/A</v>
      </c>
      <c r="CX374" s="211" t="str">
        <f t="shared" si="160"/>
        <v>N/A</v>
      </c>
      <c r="CY374" s="211" t="str">
        <f t="shared" si="161"/>
        <v>N/A</v>
      </c>
      <c r="CZ374" s="211" t="str">
        <f t="shared" si="162"/>
        <v>N/A</v>
      </c>
      <c r="DA374" s="211" t="str">
        <f t="shared" si="163"/>
        <v>N/A</v>
      </c>
      <c r="DB374" s="211" t="str">
        <f t="shared" si="164"/>
        <v>N/A</v>
      </c>
      <c r="DC374" s="211" t="str">
        <f t="shared" si="165"/>
        <v>N/A</v>
      </c>
      <c r="DD374" s="211" t="str">
        <f t="shared" si="166"/>
        <v>N/A</v>
      </c>
      <c r="DE374" s="211" t="str">
        <f t="shared" si="167"/>
        <v>N/A</v>
      </c>
      <c r="DF374" s="211" t="str">
        <f t="shared" si="168"/>
        <v xml:space="preserve">
En lo relacionado con la Implementación de la Política de Gestión de Información Estadística, para lo cual se realizó la contratación prestación de servicios de dos OPS, por valor de $71,093,972, que apoyaron a la entidad en avanzar en la formulación del Plan Estadístico Institucional y en la preparación para la certificación de las operaciones estadísticas y en el desarrollo de los mecanismos de la Política de Gestión de la Información Estadística de la Superintendencia Nacional de Salud. 
Los profesionales contratados fueron Yamit Juliana Tovar y Hernado Trilleros, con los cuales se realizó ajuste y socialización del Procedimiento de Gestión de Información Estadística (PRGIE) en la SNS.  
Se envió a Planeación el procedimiento PRGIE actualizado para su publicación. 
Se revisó el procedimiento de Formular y Gestionar el Plan Estadístico Institucional PESI.
Se participó en reuniones con las Delegaturas y Direcciones para revisar la calidad de los archivos tipos y su uso, para generar análisis de fortalecimiento de registros administrativos (RRAA). 
Se trabajó en la metodología para el fortalecimiento de RRAA, en la metodología para anonimización de bases de datos, y en una Propuesta de actualización del Plan estadístico institucional. 
 </v>
      </c>
    </row>
    <row r="375" spans="1:110" ht="64.5" customHeight="1">
      <c r="A375" s="349" t="s">
        <v>199</v>
      </c>
      <c r="B375" s="209" t="s">
        <v>149</v>
      </c>
      <c r="C375" s="209" t="s">
        <v>651</v>
      </c>
      <c r="D375" s="209" t="s">
        <v>755</v>
      </c>
      <c r="E375" s="209" t="s">
        <v>756</v>
      </c>
      <c r="F375" s="349" t="s">
        <v>757</v>
      </c>
      <c r="G375" s="209" t="s">
        <v>178</v>
      </c>
      <c r="H375" s="243">
        <v>1</v>
      </c>
      <c r="I375" s="323">
        <v>7</v>
      </c>
      <c r="J375" s="323">
        <v>7</v>
      </c>
      <c r="K375" s="290">
        <v>1</v>
      </c>
      <c r="L375" s="209" t="s">
        <v>3251</v>
      </c>
      <c r="M375" s="209" t="b">
        <v>1</v>
      </c>
      <c r="N375" s="209" t="s">
        <v>3252</v>
      </c>
      <c r="O375" s="209" t="s">
        <v>2832</v>
      </c>
      <c r="P375" s="209" t="s">
        <v>159</v>
      </c>
      <c r="Q375" s="269" t="s">
        <v>160</v>
      </c>
      <c r="R375" s="243"/>
      <c r="S375" s="243"/>
      <c r="Z375" s="209"/>
      <c r="AA375" s="209"/>
      <c r="AB375" s="209"/>
      <c r="AG375" s="269"/>
      <c r="AH375" s="244"/>
      <c r="AI375" s="244"/>
      <c r="AJ375" s="244"/>
      <c r="AQ375" s="209"/>
      <c r="AR375" s="209"/>
      <c r="AS375" s="209"/>
      <c r="BX375" s="274"/>
      <c r="CA375" s="209"/>
      <c r="CO375" s="209" t="s">
        <v>238</v>
      </c>
      <c r="CP375" s="209" t="s">
        <v>149</v>
      </c>
      <c r="CQ375" s="209" t="s">
        <v>1320</v>
      </c>
      <c r="CR375" s="209" t="s">
        <v>1325</v>
      </c>
      <c r="CS375" s="209" t="s">
        <v>3269</v>
      </c>
      <c r="CT375" s="209" t="s">
        <v>1320</v>
      </c>
      <c r="CU375" s="211" t="str">
        <f t="shared" si="157"/>
        <v>N/A</v>
      </c>
      <c r="CV375" s="211" t="str">
        <f t="shared" si="158"/>
        <v>N/A</v>
      </c>
      <c r="CW375" s="211" t="str">
        <f t="shared" si="159"/>
        <v>N/A</v>
      </c>
      <c r="CX375" s="211" t="str">
        <f t="shared" si="160"/>
        <v>N/A</v>
      </c>
      <c r="CY375" s="211" t="str">
        <f t="shared" si="161"/>
        <v>N/A</v>
      </c>
      <c r="CZ375" s="211" t="str">
        <f t="shared" si="162"/>
        <v>N/A</v>
      </c>
      <c r="DA375" s="211" t="str">
        <f t="shared" si="163"/>
        <v>N/A</v>
      </c>
      <c r="DB375" s="211" t="str">
        <f t="shared" si="164"/>
        <v>N/A</v>
      </c>
      <c r="DC375" s="211" t="str">
        <f t="shared" si="165"/>
        <v>N/A</v>
      </c>
      <c r="DD375" s="211" t="str">
        <f t="shared" si="166"/>
        <v>N/A</v>
      </c>
      <c r="DE375" s="211" t="str">
        <f t="shared" si="167"/>
        <v>N/A</v>
      </c>
      <c r="DF375" s="211" t="str">
        <f t="shared" si="168"/>
        <v>Durante el periodo evaluado se han adelantado las actvidades correspondientes para mantener actualizada la Base Única de Vigilados (grupo de valor), realizando, además, procesos de revisiones y/o actualizaciones en los sistemas de Génesis y nRVCC sobre los vigilados. 
Y se alcanzó el 100% de propuesto en la vigencia, para lo cual se ha mantenido permanente interlocución con las Delegaturas y Direccciones de la Entidad como Financiera y el Grupo de Contribución.  </v>
      </c>
    </row>
    <row r="376" spans="1:110" ht="64.5" customHeight="1">
      <c r="A376" s="349" t="s">
        <v>199</v>
      </c>
      <c r="B376" s="209" t="s">
        <v>149</v>
      </c>
      <c r="C376" s="209" t="s">
        <v>658</v>
      </c>
      <c r="D376" s="209" t="s">
        <v>761</v>
      </c>
      <c r="E376" s="209" t="s">
        <v>762</v>
      </c>
      <c r="F376" s="349" t="s">
        <v>763</v>
      </c>
      <c r="G376" s="209" t="s">
        <v>178</v>
      </c>
      <c r="H376" s="243">
        <v>1</v>
      </c>
      <c r="I376" s="323">
        <v>1</v>
      </c>
      <c r="J376" s="323">
        <v>1</v>
      </c>
      <c r="K376" s="290">
        <v>1</v>
      </c>
      <c r="L376" s="209" t="s">
        <v>3253</v>
      </c>
      <c r="M376" s="209" t="b">
        <v>0</v>
      </c>
      <c r="O376" s="209" t="s">
        <v>2832</v>
      </c>
      <c r="P376" s="209" t="s">
        <v>159</v>
      </c>
      <c r="Q376" s="269" t="s">
        <v>160</v>
      </c>
      <c r="R376" s="243"/>
      <c r="S376" s="243"/>
      <c r="Z376" s="209"/>
      <c r="AA376" s="209"/>
      <c r="AB376" s="209"/>
      <c r="AG376" s="269"/>
      <c r="AH376" s="244"/>
      <c r="AI376" s="244"/>
      <c r="AJ376" s="244"/>
      <c r="AQ376" s="209"/>
      <c r="AR376" s="209"/>
      <c r="AS376" s="209"/>
      <c r="BX376" s="274"/>
      <c r="CA376" s="209"/>
      <c r="CO376" s="209" t="s">
        <v>190</v>
      </c>
      <c r="CP376" s="209" t="s">
        <v>149</v>
      </c>
      <c r="CQ376" s="209" t="s">
        <v>226</v>
      </c>
      <c r="CR376" s="209" t="s">
        <v>227</v>
      </c>
      <c r="CS376" s="209" t="s">
        <v>3323</v>
      </c>
      <c r="CT376" s="209" t="s">
        <v>226</v>
      </c>
      <c r="CU376" s="211" t="str">
        <f t="shared" si="157"/>
        <v>N/A</v>
      </c>
      <c r="CV376" s="211" t="str">
        <f t="shared" si="158"/>
        <v>N/A</v>
      </c>
      <c r="CW376" s="211" t="str">
        <f t="shared" si="159"/>
        <v>N/A</v>
      </c>
      <c r="CX376" s="211" t="str">
        <f t="shared" si="160"/>
        <v>N/A</v>
      </c>
      <c r="CY376" s="211" t="str">
        <f t="shared" si="161"/>
        <v>N/A</v>
      </c>
      <c r="CZ376" s="211" t="str">
        <f t="shared" si="162"/>
        <v>N/A</v>
      </c>
      <c r="DA376" s="211" t="str">
        <f t="shared" si="163"/>
        <v>N/A</v>
      </c>
      <c r="DB376" s="211" t="str">
        <f t="shared" si="164"/>
        <v>N/A</v>
      </c>
      <c r="DC376" s="211" t="str">
        <f t="shared" si="165"/>
        <v>N/A</v>
      </c>
      <c r="DD376" s="211" t="str">
        <f t="shared" si="166"/>
        <v>N/A</v>
      </c>
      <c r="DE376" s="211" t="str">
        <f t="shared" si="167"/>
        <v>N/A</v>
      </c>
      <c r="DF376" s="211" t="str">
        <f t="shared" si="168"/>
        <v xml:space="preserve">Se llevó a cabo el cumplimiento de las 4 actividades programadas para el cuarto trimestre de la siguiente manera:
Cierre de Septiembre 2025 - Octubre: 
Actividad 1:
*Se envió el 3 y el 6 de Octubre de 2025 a través de correo electrónico institucional el Informe de la Ejecución Presupuestal a cada una de las Dependencias junto con los saldos de RP al corte de Septiembre de 2025.
*Se realizó Mesa de trabajo el 8 de Octubre de 2025 con los enlaces de las dependencias que tienen asignado recursos de funcionamiento e inversión en la vigencia 2025 abordar los siguientes temas:
1. Informar la Ejecución Presupuestal de la entidad y de las dependencias al 30 de septiembre 2025
2. Reservas Presupuestales al 31 de diciembre de 2024 (Ejecutadas en 2025)
3. Lineamientos y recomendaciones para las áreas en Octubre.
De la mesa de trabajo se generó el acta GE-12073 del 8 de Octubre de 2025 por ITS Gestión, aplicativo de la entidad.
Cierre de Octubre 2025 - Noviembre:
Actividad 2:
*Se envió el 4 y 6 de noviembre de 2025 a través de correo electrónico institucional el Informe de la Ejecución Presupuestal a cada una de las Dependencias junto con los saldos de RP al corte de octubre de 2025.
*Se realizó Mesa de trabajo el 10 de noviembre de 2025 con los enlaces de las dependencias que tienen asignado recursos de funcionamiento e inversión en la vigencia 2025 abordando los siguientes temas:
1. Informar la Ejecución Presupuestal de la entidad y de las dependencias al 31 de octubre 2025.
2. Reservas Presupuestales al 31 de diciembre de 2024 (Ejecutadas en 2025).
3. Lineamientos frente a trámites presupuestales.
De la mesa de trabajo se genera el acta GE-12227 del 10-11-2025 por ITS Gestión, aplicativo de la entidad.
Es importante informar a las áreas sobre la ejecución presupuestal para que la corroboren contra el control que maneja cada uno de los enlaces y aclarar todas las dudas que puedan presentar sobre los trámites presupuestales.
Cierre de Noviembre 2025 - Diciembre:
Actividad 3:
*Se envió entre el 2 y 9 de diciembre de 2025 a través de correo electrónico institucional, el Informe de la Ejecución Presupuestal a cada una de las Dependencias junto con los saldos de RP al corte de noviembre de 2025.
*Se realizó Mesa de trabajo el 9 de diciembre de 2025 con los enlaces de las dependencias que tienen asignado recursos de funcionamiento e inversión en la vigencia 2025 abordando los siguientes temas:
1. Informar la Ejecución Presupuestal de la entidad y de las dependencias al 30 de noviembre 2025.
2. Reservas Presupuestales al 31 de diciembre de 2024 (Ejecutadas en 2025).
3. Lineamientos frente a trámites presupuestales.
De la mesa de trabajo se genera el acta mediante ITS Gestión, aplicativo de la entidad.
Es importante informar a las áreas sobre la ejecución presupuestal para que la corroboren contra el control que maneja cada uno de los enlaces y aclarar todas las dudas que puedan presentar sobre los trámites presupuestales.
Actividad 4 - Noviembre:
Se realizó la segunda capacitación a las dependencias que ejecutan el presupuesto sobre los procedimientos y trámites de gestión presupuestal en la cual se abordo temas como:
-Programación Presupuestal
-Ejecución Presupuestal (CDP, Registro Presupuestal, Reserva Presupuestal, (ezago Presupuestal)
-Traslados Presupuestales y Vigencias Futuras
-Seguimiento a la Ejecución Presupuestal
Se adjuntan carpetas con evidencias de las actividades realizadas.
</v>
      </c>
    </row>
    <row r="377" spans="1:110" ht="64.5" customHeight="1">
      <c r="A377" s="349" t="s">
        <v>199</v>
      </c>
      <c r="B377" s="209" t="s">
        <v>149</v>
      </c>
      <c r="C377" s="209" t="s">
        <v>635</v>
      </c>
      <c r="D377" s="209" t="s">
        <v>3247</v>
      </c>
      <c r="E377" s="209" t="s">
        <v>738</v>
      </c>
      <c r="F377" s="349" t="s">
        <v>739</v>
      </c>
      <c r="G377" s="209" t="s">
        <v>157</v>
      </c>
      <c r="H377" s="243">
        <v>8</v>
      </c>
      <c r="I377" s="323">
        <v>17</v>
      </c>
      <c r="J377" s="323">
        <v>8</v>
      </c>
      <c r="K377" s="290">
        <v>2.125</v>
      </c>
      <c r="L377" s="209" t="s">
        <v>3248</v>
      </c>
      <c r="M377" s="209" t="b">
        <v>1</v>
      </c>
      <c r="N377" s="209" t="s">
        <v>3249</v>
      </c>
      <c r="O377" s="209" t="s">
        <v>2832</v>
      </c>
      <c r="P377" s="209" t="s">
        <v>159</v>
      </c>
      <c r="Q377" s="269" t="s">
        <v>160</v>
      </c>
      <c r="R377" s="243"/>
      <c r="S377" s="243"/>
      <c r="Z377" s="209"/>
      <c r="AA377" s="209"/>
      <c r="AB377" s="209"/>
      <c r="AG377" s="269"/>
      <c r="AH377" s="244"/>
      <c r="AI377" s="244"/>
      <c r="AJ377" s="244"/>
      <c r="AQ377" s="209"/>
      <c r="AR377" s="209"/>
      <c r="AS377" s="209"/>
      <c r="BX377" s="274"/>
      <c r="CA377" s="209"/>
      <c r="CO377" s="209" t="s">
        <v>190</v>
      </c>
      <c r="CP377" s="209" t="s">
        <v>149</v>
      </c>
      <c r="CQ377" s="209" t="s">
        <v>231</v>
      </c>
      <c r="CR377" s="209" t="s">
        <v>232</v>
      </c>
      <c r="CS377" s="209" t="s">
        <v>3324</v>
      </c>
      <c r="CT377" s="209" t="s">
        <v>231</v>
      </c>
      <c r="CU377" s="211" t="str">
        <f t="shared" si="157"/>
        <v>N/A</v>
      </c>
      <c r="CV377" s="211" t="str">
        <f t="shared" si="158"/>
        <v>N/A</v>
      </c>
      <c r="CW377" s="211" t="str">
        <f t="shared" si="159"/>
        <v>N/A</v>
      </c>
      <c r="CX377" s="211" t="str">
        <f t="shared" si="160"/>
        <v>N/A</v>
      </c>
      <c r="CY377" s="211" t="str">
        <f t="shared" si="161"/>
        <v>N/A</v>
      </c>
      <c r="CZ377" s="211" t="str">
        <f t="shared" si="162"/>
        <v>N/A</v>
      </c>
      <c r="DA377" s="211" t="str">
        <f t="shared" si="163"/>
        <v>N/A</v>
      </c>
      <c r="DB377" s="211" t="str">
        <f t="shared" si="164"/>
        <v>N/A</v>
      </c>
      <c r="DC377" s="211" t="str">
        <f t="shared" si="165"/>
        <v>N/A</v>
      </c>
      <c r="DD377" s="211" t="str">
        <f t="shared" si="166"/>
        <v>N/A</v>
      </c>
      <c r="DE377" s="211" t="str">
        <f t="shared" si="167"/>
        <v>N/A</v>
      </c>
      <c r="DF377" s="211" t="str">
        <f t="shared" si="168"/>
        <v xml:space="preserve">​ La apropiación asignada a la Superintendencia Nacional de Salud (SNS) para la vigencia 2025 ascendió a $316.593.914.285. De este total, se ejecutaron compromisos por la suma de $315.358.112.464, lo que representa el 99,6% de la apropiación. Este resultado es mayor al 90% al programado en los indicadores de gestión, significa que se cumple a satisfacción el indicador.
En cuanto a la ejecución presupuestal de los recursos de funcionamiento e inversión, se presenta lo siguiente:
• Recursos de funcionamiento: $231.232.090.186, lo que representa el 99,6% de la apropiación vigente de $232.066.462.183.
• Recursos de inversión: $84.126.022.278, equivalente al 99,5% de la apropiación vigente de $84.527.452.102
Es importante resaltar que la ejecución por obligaciones alcanzó los $307.679.490.143 lo que representa el 97,2%, y la ejecución por pagos fue de $287.917.019.157 equivalente al 90,9%.
Se reporta el avance con corte al 31 de diciembre de 2025, según reporte del SIIF Nación del día 09 de enero de 2026. La información está sujeta a actualización en el marco del proceso de cierre presupuestal de la vigencia 2025 que finaliza el 20 de enero de 2026.​
</v>
      </c>
    </row>
    <row r="378" spans="1:110" ht="64.5" customHeight="1">
      <c r="A378" s="349" t="s">
        <v>199</v>
      </c>
      <c r="B378" s="209" t="s">
        <v>149</v>
      </c>
      <c r="C378" s="209" t="s">
        <v>612</v>
      </c>
      <c r="D378" s="209" t="s">
        <v>715</v>
      </c>
      <c r="E378" s="209" t="s">
        <v>716</v>
      </c>
      <c r="F378" s="349" t="s">
        <v>717</v>
      </c>
      <c r="G378" s="209" t="s">
        <v>157</v>
      </c>
      <c r="H378" s="243">
        <v>3</v>
      </c>
      <c r="I378" s="323">
        <v>3</v>
      </c>
      <c r="J378" s="323">
        <v>3</v>
      </c>
      <c r="K378" s="290">
        <v>1</v>
      </c>
      <c r="L378" s="209" t="s">
        <v>3243</v>
      </c>
      <c r="M378" s="209" t="b">
        <v>1</v>
      </c>
      <c r="N378" s="209" t="s">
        <v>3244</v>
      </c>
      <c r="O378" s="209" t="s">
        <v>2832</v>
      </c>
      <c r="P378" s="209" t="s">
        <v>159</v>
      </c>
      <c r="Q378" s="269" t="s">
        <v>160</v>
      </c>
      <c r="R378" s="243"/>
      <c r="S378" s="243"/>
      <c r="Z378" s="209"/>
      <c r="AA378" s="209"/>
      <c r="AB378" s="209"/>
      <c r="AG378" s="269"/>
      <c r="AH378" s="244"/>
      <c r="AI378" s="244"/>
      <c r="AJ378" s="244"/>
      <c r="AQ378" s="209"/>
      <c r="AR378" s="209"/>
      <c r="AS378" s="209"/>
      <c r="BX378" s="274"/>
      <c r="CA378" s="209"/>
      <c r="CO378" s="209" t="s">
        <v>190</v>
      </c>
      <c r="CP378" s="209" t="s">
        <v>149</v>
      </c>
      <c r="CQ378" s="209" t="s">
        <v>216</v>
      </c>
      <c r="CR378" s="209" t="s">
        <v>217</v>
      </c>
      <c r="CS378" s="209" t="s">
        <v>3325</v>
      </c>
      <c r="CT378" s="209" t="s">
        <v>216</v>
      </c>
      <c r="CU378" s="211" t="str">
        <f t="shared" si="157"/>
        <v>N/A</v>
      </c>
      <c r="CV378" s="211" t="str">
        <f t="shared" si="158"/>
        <v>N/A</v>
      </c>
      <c r="CW378" s="211" t="str">
        <f t="shared" si="159"/>
        <v>N/A</v>
      </c>
      <c r="CX378" s="211" t="str">
        <f t="shared" si="160"/>
        <v>N/A</v>
      </c>
      <c r="CY378" s="211" t="str">
        <f t="shared" si="161"/>
        <v>N/A</v>
      </c>
      <c r="CZ378" s="211" t="str">
        <f t="shared" si="162"/>
        <v>N/A</v>
      </c>
      <c r="DA378" s="211" t="str">
        <f t="shared" si="163"/>
        <v>N/A</v>
      </c>
      <c r="DB378" s="211" t="str">
        <f t="shared" si="164"/>
        <v>N/A</v>
      </c>
      <c r="DC378" s="211" t="str">
        <f t="shared" si="165"/>
        <v>N/A</v>
      </c>
      <c r="DD378" s="211" t="str">
        <f t="shared" si="166"/>
        <v>N/A</v>
      </c>
      <c r="DE378" s="211" t="str">
        <f t="shared" si="167"/>
        <v>N/A</v>
      </c>
      <c r="DF378" s="211" t="str">
        <f t="shared" si="168"/>
        <v xml:space="preserve">​Durante el mes de Diciembre, se gestionaron  829 cuentas que fueron radicadas en los tiempos estipulados de acuerdo con la Circular Interna 2022920020000026-4 de 2022, asi mismo, los documentos radicados despúes del dia 25 calendario se tramitaron en el siguiente mes (328 cuentas). Por lo cual, se cumplió con la meta del indicador del 100%, (829/829) habiendo gestionado la totalidad de las cuentas radicadas con un tiempo de gestión de 3,6 dias hábiles. Se adjunta base con relación de cuentas radicadas y gestionadas, asi como el reporte del indicador con la correspondiente gráfica.
</v>
      </c>
    </row>
    <row r="379" spans="1:110" ht="64.5" customHeight="1">
      <c r="A379" s="349" t="s">
        <v>199</v>
      </c>
      <c r="B379" s="209" t="s">
        <v>149</v>
      </c>
      <c r="C379" s="209" t="s">
        <v>209</v>
      </c>
      <c r="D379" s="209" t="s">
        <v>210</v>
      </c>
      <c r="E379" s="209" t="s">
        <v>211</v>
      </c>
      <c r="F379" s="349" t="s">
        <v>212</v>
      </c>
      <c r="G379" s="209" t="s">
        <v>178</v>
      </c>
      <c r="H379" s="243">
        <v>0.25</v>
      </c>
      <c r="I379" s="323">
        <v>7</v>
      </c>
      <c r="J379" s="323">
        <v>7</v>
      </c>
      <c r="K379" s="290">
        <v>1</v>
      </c>
      <c r="L379" s="209" t="s">
        <v>3235</v>
      </c>
      <c r="M379" s="209" t="b">
        <v>1</v>
      </c>
      <c r="N379" s="209" t="s">
        <v>3236</v>
      </c>
      <c r="O379" s="209" t="s">
        <v>2832</v>
      </c>
      <c r="P379" s="209" t="s">
        <v>159</v>
      </c>
      <c r="Q379" s="269" t="s">
        <v>160</v>
      </c>
      <c r="R379" s="243"/>
      <c r="S379" s="243"/>
      <c r="Z379" s="209"/>
      <c r="AA379" s="209"/>
      <c r="AB379" s="209"/>
      <c r="AG379" s="269"/>
      <c r="AH379" s="244"/>
      <c r="AI379" s="244"/>
      <c r="AJ379" s="244"/>
      <c r="AQ379" s="209"/>
      <c r="AR379" s="209"/>
      <c r="AS379" s="209"/>
      <c r="BX379" s="274"/>
      <c r="CA379" s="209"/>
      <c r="CO379" s="209" t="s">
        <v>190</v>
      </c>
      <c r="CP379" s="209" t="s">
        <v>149</v>
      </c>
      <c r="CQ379" s="209" t="s">
        <v>453</v>
      </c>
      <c r="CR379" s="209" t="s">
        <v>751</v>
      </c>
      <c r="CS379" s="209" t="s">
        <v>3327</v>
      </c>
      <c r="CT379" s="209" t="s">
        <v>453</v>
      </c>
      <c r="CU379" s="211" t="str">
        <f t="shared" si="157"/>
        <v>N/A</v>
      </c>
      <c r="CV379" s="211" t="str">
        <f t="shared" si="158"/>
        <v>N/A</v>
      </c>
      <c r="CW379" s="211" t="str">
        <f t="shared" si="159"/>
        <v>N/A</v>
      </c>
      <c r="CX379" s="211" t="str">
        <f t="shared" si="160"/>
        <v>N/A</v>
      </c>
      <c r="CY379" s="211" t="str">
        <f t="shared" si="161"/>
        <v>N/A</v>
      </c>
      <c r="CZ379" s="211" t="str">
        <f t="shared" si="162"/>
        <v>N/A</v>
      </c>
      <c r="DA379" s="211" t="str">
        <f t="shared" si="163"/>
        <v>N/A</v>
      </c>
      <c r="DB379" s="211" t="str">
        <f t="shared" si="164"/>
        <v>N/A</v>
      </c>
      <c r="DC379" s="211" t="str">
        <f t="shared" si="165"/>
        <v>N/A</v>
      </c>
      <c r="DD379" s="211" t="str">
        <f t="shared" si="166"/>
        <v>N/A</v>
      </c>
      <c r="DE379" s="211" t="str">
        <f t="shared" si="167"/>
        <v>N/A</v>
      </c>
      <c r="DF379" s="211" t="str">
        <f t="shared" si="168"/>
        <v xml:space="preserve"> El Grupo de Cobro Persuasivo reporta el avance del recaudo hasta los primeros días de enero de 2026 por valor de $22.676.335.912, sobre el 20% del valor total de cartera clasificada como cobrable con corte al cierre de la vigencia 2024 ($130.809.600.838) equivalente a = $26.161.920.186, con lo cual, se reporta un 87% de avance. Lo anterior, con motivo de dificultades y/o demoras  presentadas en  aspectos logísticos de alto nivel. El grupo de cobro persuasivo y jurisdicción coactiva obtiene recaudo por pago directo, autorización directa del deudor por impulsos de cobro y acceso a recursos por actividades de cobro coactivo que incluyen embargo de cuentas bancarias. Para estas dos últimas actividades se requiere de roles de preparador y autorizador , los cuales son avalados por el señor Superintendente Nacional de Salud, y confirmados por banco agrario, lo cual, es un trámite dispendioso. Con los cambios de personal por salida de provisionales, coordinador y directivos en el último semestre de 2025 se perdió la disponibilidad de roles para plenos de operación, roles para gestionar títulos y aspectos de transferencia de conocimiento que impactaron en la operación.
Se efectuó el trámite en tres oportunidades por cambios de funcionarios vinculados (octubre, noviembre y diciembre 2025), con las validaciones de formatos de despacho y de la entidad financiera, logrando una aplicación única a finales de Noviembre y solo hasta  el 19  Diciembre 2025, una estabilidad en disponibilidad de roles de autorización avalados por SNS y por Banco Agrario.
Con esta logramos gestionar alrededor de 900 millones en aplicación en noviembre 2025 y esperábamos en diciembre 2025 impulsar una adicional de liquidaciones de aproximadamente 1.800 millones, fruto de liquidaciones de crédito y de autorizaciones de deudores en comisiones de recíprocas, con las cuales a pesar de los inconvenientes se perseguía entrar en terreno positivo del indicador , superior al 90%.
</v>
      </c>
    </row>
    <row r="380" spans="1:110" ht="64.5" customHeight="1">
      <c r="A380" s="349" t="s">
        <v>199</v>
      </c>
      <c r="B380" s="209" t="s">
        <v>149</v>
      </c>
      <c r="C380" s="209" t="s">
        <v>300</v>
      </c>
      <c r="D380" s="209" t="s">
        <v>796</v>
      </c>
      <c r="E380" s="209" t="s">
        <v>797</v>
      </c>
      <c r="F380" s="349" t="s">
        <v>798</v>
      </c>
      <c r="G380" s="209" t="s">
        <v>178</v>
      </c>
      <c r="H380" s="243">
        <v>1</v>
      </c>
      <c r="I380" s="323">
        <v>204</v>
      </c>
      <c r="J380" s="323">
        <v>204</v>
      </c>
      <c r="K380" s="290">
        <v>1</v>
      </c>
      <c r="L380" s="209" t="s">
        <v>3237</v>
      </c>
      <c r="M380" s="209" t="b">
        <v>1</v>
      </c>
      <c r="N380" s="209" t="s">
        <v>3238</v>
      </c>
      <c r="O380" s="209" t="s">
        <v>2832</v>
      </c>
      <c r="P380" s="209" t="s">
        <v>159</v>
      </c>
      <c r="Q380" s="269" t="s">
        <v>160</v>
      </c>
      <c r="R380" s="243"/>
      <c r="S380" s="243"/>
      <c r="Z380" s="209"/>
      <c r="AA380" s="209"/>
      <c r="AB380" s="209"/>
      <c r="AG380" s="269"/>
      <c r="AH380" s="244"/>
      <c r="AI380" s="244"/>
      <c r="AJ380" s="244"/>
      <c r="AQ380" s="209"/>
      <c r="AR380" s="209"/>
      <c r="AS380" s="209"/>
      <c r="BX380" s="274"/>
      <c r="CA380" s="209"/>
      <c r="CO380" s="209" t="s">
        <v>190</v>
      </c>
      <c r="CP380" s="209" t="s">
        <v>149</v>
      </c>
      <c r="CQ380" s="209" t="s">
        <v>459</v>
      </c>
      <c r="CR380" s="209" t="s">
        <v>552</v>
      </c>
      <c r="CS380" s="209" t="s">
        <v>3328</v>
      </c>
      <c r="CT380" s="209" t="s">
        <v>459</v>
      </c>
      <c r="CU380" s="211" t="str">
        <f t="shared" si="157"/>
        <v>N/A</v>
      </c>
      <c r="CV380" s="211" t="str">
        <f t="shared" si="158"/>
        <v>N/A</v>
      </c>
      <c r="CW380" s="211" t="str">
        <f t="shared" si="159"/>
        <v>N/A</v>
      </c>
      <c r="CX380" s="211" t="str">
        <f t="shared" si="160"/>
        <v>N/A</v>
      </c>
      <c r="CY380" s="211" t="str">
        <f t="shared" si="161"/>
        <v>N/A</v>
      </c>
      <c r="CZ380" s="211" t="str">
        <f t="shared" si="162"/>
        <v>N/A</v>
      </c>
      <c r="DA380" s="211" t="str">
        <f t="shared" si="163"/>
        <v>N/A</v>
      </c>
      <c r="DB380" s="211" t="str">
        <f t="shared" si="164"/>
        <v>N/A</v>
      </c>
      <c r="DC380" s="211" t="str">
        <f t="shared" si="165"/>
        <v>N/A</v>
      </c>
      <c r="DD380" s="211" t="str">
        <f t="shared" si="166"/>
        <v>N/A</v>
      </c>
      <c r="DE380" s="211" t="str">
        <f t="shared" si="167"/>
        <v>N/A</v>
      </c>
      <c r="DF380" s="211" t="str">
        <f t="shared" si="168"/>
        <v xml:space="preserve">​Desde el grupo de cobro persuasivo y jurisdicción coactiva, durante el tercer cuatrimestre del año 2025, se recibieron 13 facilidades de pago y 3 excepciones a mandamiento de pago, para un total de 16 solicitudes, de las cuales 13 solicitudes cumplían con las condiciones necesarias para finalizar el trámite correspondiente al corte de Diciembre de 2025, por lo cual, estas  fueron atendidas dentro del plazo legal, alcanzando así un cumplimiento del 100% del indicador. Se adjunta anexo soporte.
</v>
      </c>
    </row>
    <row r="381" spans="1:110" ht="64.5" customHeight="1">
      <c r="A381" s="349" t="s">
        <v>199</v>
      </c>
      <c r="B381" s="209" t="s">
        <v>149</v>
      </c>
      <c r="C381" s="209" t="s">
        <v>649</v>
      </c>
      <c r="D381" s="209" t="s">
        <v>800</v>
      </c>
      <c r="E381" s="209" t="s">
        <v>801</v>
      </c>
      <c r="F381" s="349" t="s">
        <v>802</v>
      </c>
      <c r="G381" s="209" t="s">
        <v>178</v>
      </c>
      <c r="H381" s="243">
        <v>1</v>
      </c>
      <c r="I381" s="323">
        <v>1</v>
      </c>
      <c r="J381" s="323">
        <v>1</v>
      </c>
      <c r="K381" s="290">
        <v>1</v>
      </c>
      <c r="L381" s="209" t="s">
        <v>3250</v>
      </c>
      <c r="M381" s="209" t="b">
        <v>0</v>
      </c>
      <c r="O381" s="209" t="s">
        <v>2832</v>
      </c>
      <c r="P381" s="209" t="s">
        <v>159</v>
      </c>
      <c r="Q381" s="269" t="s">
        <v>160</v>
      </c>
      <c r="R381" s="243"/>
      <c r="S381" s="243"/>
      <c r="Z381" s="209"/>
      <c r="AA381" s="209"/>
      <c r="AB381" s="209"/>
      <c r="AG381" s="269"/>
      <c r="AH381" s="244"/>
      <c r="AI381" s="244"/>
      <c r="AJ381" s="244"/>
      <c r="AQ381" s="209"/>
      <c r="AR381" s="209"/>
      <c r="AS381" s="209"/>
      <c r="BX381" s="274"/>
      <c r="CA381" s="209"/>
      <c r="CO381" s="209" t="s">
        <v>190</v>
      </c>
      <c r="CP381" s="209" t="s">
        <v>149</v>
      </c>
      <c r="CQ381" s="209" t="s">
        <v>465</v>
      </c>
      <c r="CR381" s="209" t="s">
        <v>559</v>
      </c>
      <c r="CS381" s="209" t="s">
        <v>3329</v>
      </c>
      <c r="CT381" s="209" t="s">
        <v>465</v>
      </c>
      <c r="CU381" s="211" t="str">
        <f t="shared" si="157"/>
        <v>N/A</v>
      </c>
      <c r="CV381" s="211" t="str">
        <f t="shared" si="158"/>
        <v>N/A</v>
      </c>
      <c r="CW381" s="211" t="str">
        <f t="shared" si="159"/>
        <v>N/A</v>
      </c>
      <c r="CX381" s="211" t="str">
        <f t="shared" si="160"/>
        <v>N/A</v>
      </c>
      <c r="CY381" s="211" t="str">
        <f t="shared" si="161"/>
        <v>N/A</v>
      </c>
      <c r="CZ381" s="211" t="str">
        <f t="shared" si="162"/>
        <v>N/A</v>
      </c>
      <c r="DA381" s="211" t="str">
        <f t="shared" si="163"/>
        <v>N/A</v>
      </c>
      <c r="DB381" s="211" t="str">
        <f t="shared" si="164"/>
        <v>N/A</v>
      </c>
      <c r="DC381" s="211" t="str">
        <f t="shared" si="165"/>
        <v>N/A</v>
      </c>
      <c r="DD381" s="211" t="str">
        <f t="shared" si="166"/>
        <v>N/A</v>
      </c>
      <c r="DE381" s="211" t="str">
        <f t="shared" si="167"/>
        <v>N/A</v>
      </c>
      <c r="DF381" s="211" t="str">
        <f t="shared" si="168"/>
        <v xml:space="preserve">​Durante el tercer cuatrimestre de la vigencia 2025, se logró la conciliación de cartera con 74 entidades sin proceso concursal, enlistadas a continuación: Gobernacion amazonas
Alcaldia de leticia
Alcaldia Salamina
Saludarte Domiciliaria S.A.S
Sinapsis-Centro
Municipio de Remolino
Fundación Grupo de estudio Barranquilla
Clinica Regional Inmaculada
Cardiocenter Barraquilla
Departamento Atlantico
Universidad del Atlantico
City Optica Sas
Salud Ocupacional Horizonte
Asociación para la salud mental
Bingos Codere
Codere Colombia SA
Familia IPS Salud intergral SAS
Intersare SA
Sociedad Estetic Dent
SUBRED INTEGRADA CENTRO ORIENTE E.S.E
DENTIX COLOMBIA SAS
Keep Salud Ocupacional SAS
LUIS GUILLERMO VELEZ ATEHORTUA
Urgencias Clave 911 Ambulancias EU
Asoder consultores S.A.S
Servitraumax SAS
Casa la viña LTDA
GUIAR SALUD IPS Y HSEQS EN CS
CLINICA DE ESTETICA ORAL Y ORTODONCIA ORTOESTETICA CON SIGLA ORTOESTETICA
Secretaria de salud Bogota
Fondo financiero distrital de salud
Imagenes Diagnosticas
Linda flor chavez_fusionado
COVINAL
IPS TRASTORNOS SOMOS
Acer servicios_liquidada
Ambulancias Unidad Soporte Asistencial
Asmet Salud
Asociacion indigena del Cauca AIC EPS
BIO PREVENAR
COMFENALCO VALLE
Centro Neuropsiquiatrico limitada
Centro de salud Indigena del resguardo de males
Christus Sinergia salud SAS
Clinica Salud Proteccion IPS
Clinica el Treblol SAS
Cuerpo de bomberos voluntarios de Yumbo
EMPRESA SOCIAL DEL ESTADO NORTE 3
Municipio de Florencia
Fundacion Innovagen
Herrota y Asociados SAS
Homecare de la mano
Unidad Respiratoria Respirar SAS
Sinergia
Clinica Palma Real SAS
MALLAMAS
MERCADERES
Municipio Valledupar
 Asociacion cabildos indigenas guajira DUSAKAWI
Departamento Caqueta
SOS Medical Services SAS
Gobernacion Vichada
IPS DIPOSALUD
FUNDACION PARA EL DESARROLLO SOCIAL EN SALUD, EDUCACION Y VIVIENDA
Alcaldia de Nobsa
MINISTERIO DE DEFENSA     
UNIVERSIDAD DEL VALLE
ESE CENTRO DE SALUD SAN PEDRO CABRERA
Fabrica de Licores y Alcoholes de Antioquia
ESE San Vicente de Paul - Salento
Departamento del Meta
HOSPITAL SAN ANTONIO DE SOATÁ
Distrito Especial de Ciencia, Tecnología e Innovación de Medellín
EMPRESA SOCIAL DEL ESTADO HOSPITAL SAN JULIAN
Logrando cumplir la meta del 100%. Se adjuntan los debidos soportes.
</v>
      </c>
    </row>
    <row r="382" spans="1:110" ht="64.5" customHeight="1">
      <c r="A382" s="349" t="s">
        <v>199</v>
      </c>
      <c r="B382" s="209" t="s">
        <v>149</v>
      </c>
      <c r="C382" s="209" t="s">
        <v>264</v>
      </c>
      <c r="D382" s="209" t="s">
        <v>804</v>
      </c>
      <c r="E382" s="209" t="s">
        <v>805</v>
      </c>
      <c r="F382" s="349" t="s">
        <v>806</v>
      </c>
      <c r="G382" s="209" t="s">
        <v>178</v>
      </c>
      <c r="H382" s="243">
        <v>1</v>
      </c>
      <c r="I382" s="323">
        <v>1</v>
      </c>
      <c r="J382" s="323">
        <v>1</v>
      </c>
      <c r="K382" s="290">
        <v>1</v>
      </c>
      <c r="L382" s="209" t="s">
        <v>3229</v>
      </c>
      <c r="M382" s="209" t="b">
        <v>1</v>
      </c>
      <c r="N382" s="209" t="s">
        <v>3230</v>
      </c>
      <c r="O382" s="209" t="s">
        <v>2832</v>
      </c>
      <c r="P382" s="209" t="s">
        <v>159</v>
      </c>
      <c r="Q382" s="269" t="s">
        <v>160</v>
      </c>
      <c r="R382" s="243"/>
      <c r="S382" s="243"/>
      <c r="Z382" s="209"/>
      <c r="AA382" s="209"/>
      <c r="AB382" s="209"/>
      <c r="AG382" s="269"/>
      <c r="AH382" s="244"/>
      <c r="AI382" s="244"/>
      <c r="AJ382" s="244"/>
      <c r="AQ382" s="209"/>
      <c r="AR382" s="209"/>
      <c r="AS382" s="209"/>
      <c r="BX382" s="274"/>
      <c r="CA382" s="209"/>
      <c r="CO382" s="209" t="s">
        <v>317</v>
      </c>
      <c r="CP382" s="209" t="s">
        <v>149</v>
      </c>
      <c r="CQ382" s="209" t="s">
        <v>471</v>
      </c>
      <c r="CR382" s="209" t="s">
        <v>782</v>
      </c>
      <c r="CS382" s="209" t="s">
        <v>3274</v>
      </c>
      <c r="CT382" s="209" t="s">
        <v>471</v>
      </c>
      <c r="CU382" s="211" t="str">
        <f t="shared" si="157"/>
        <v>N/A</v>
      </c>
      <c r="CV382" s="211" t="str">
        <f t="shared" si="158"/>
        <v>N/A</v>
      </c>
      <c r="CW382" s="211" t="str">
        <f t="shared" si="159"/>
        <v>N/A</v>
      </c>
      <c r="CX382" s="211" t="str">
        <f t="shared" si="160"/>
        <v>N/A</v>
      </c>
      <c r="CY382" s="211" t="str">
        <f t="shared" si="161"/>
        <v>N/A</v>
      </c>
      <c r="CZ382" s="211" t="str">
        <f t="shared" si="162"/>
        <v>N/A</v>
      </c>
      <c r="DA382" s="211" t="str">
        <f t="shared" si="163"/>
        <v>N/A</v>
      </c>
      <c r="DB382" s="211" t="str">
        <f t="shared" si="164"/>
        <v>N/A</v>
      </c>
      <c r="DC382" s="211" t="str">
        <f t="shared" si="165"/>
        <v>N/A</v>
      </c>
      <c r="DD382" s="211" t="str">
        <f t="shared" si="166"/>
        <v>N/A</v>
      </c>
      <c r="DE382" s="211" t="str">
        <f t="shared" si="167"/>
        <v>N/A</v>
      </c>
      <c r="DF382" s="211" t="str">
        <f t="shared" si="168"/>
        <v xml:space="preserve">​El grupo de tutelas obtuvo un 93.76% de efectividad frente a las respuestas de procesos de tutelas asignadas.  El porcentaje de efectividad disminuyó frente al reporte del semestre anterior en la medida que se aumentó  progresivamente el flujo de tutelas en los que la SNS hace parte  y la capacidad instalada de la Dirección jurídica no creció en la misma proporción.
</v>
      </c>
    </row>
    <row r="383" spans="1:110" ht="64.5" customHeight="1">
      <c r="A383" s="349" t="s">
        <v>199</v>
      </c>
      <c r="B383" s="209" t="s">
        <v>149</v>
      </c>
      <c r="C383" s="209" t="s">
        <v>1032</v>
      </c>
      <c r="D383" s="209" t="s">
        <v>1034</v>
      </c>
      <c r="E383" s="209" t="s">
        <v>3221</v>
      </c>
      <c r="F383" s="349" t="s">
        <v>3222</v>
      </c>
      <c r="G383" s="209" t="s">
        <v>178</v>
      </c>
      <c r="H383" s="243">
        <v>1</v>
      </c>
      <c r="I383" s="323">
        <v>11</v>
      </c>
      <c r="J383" s="323">
        <v>11</v>
      </c>
      <c r="K383" s="290">
        <v>1</v>
      </c>
      <c r="L383" s="209" t="s">
        <v>3231</v>
      </c>
      <c r="M383" s="209" t="b">
        <v>1</v>
      </c>
      <c r="N383" s="209" t="s">
        <v>3232</v>
      </c>
      <c r="O383" s="209" t="s">
        <v>2832</v>
      </c>
      <c r="P383" s="209" t="s">
        <v>159</v>
      </c>
      <c r="Q383" s="269" t="s">
        <v>160</v>
      </c>
      <c r="R383" s="243"/>
      <c r="S383" s="243"/>
      <c r="Z383" s="209"/>
      <c r="AA383" s="209"/>
      <c r="AB383" s="209"/>
      <c r="AG383" s="269"/>
      <c r="AH383" s="244"/>
      <c r="AI383" s="244"/>
      <c r="AJ383" s="244"/>
      <c r="AQ383" s="209"/>
      <c r="AR383" s="209"/>
      <c r="AS383" s="209"/>
      <c r="BX383" s="274"/>
      <c r="CA383" s="209"/>
      <c r="CO383" s="209" t="s">
        <v>317</v>
      </c>
      <c r="CP383" s="209" t="s">
        <v>149</v>
      </c>
      <c r="CQ383" s="209" t="s">
        <v>475</v>
      </c>
      <c r="CR383" s="209" t="s">
        <v>718</v>
      </c>
      <c r="CS383" s="209" t="s">
        <v>3275</v>
      </c>
      <c r="CT383" s="209" t="s">
        <v>475</v>
      </c>
      <c r="CU383" s="211" t="str">
        <f t="shared" si="157"/>
        <v>N/A</v>
      </c>
      <c r="CV383" s="211" t="str">
        <f t="shared" si="158"/>
        <v>N/A</v>
      </c>
      <c r="CW383" s="211" t="str">
        <f t="shared" si="159"/>
        <v>N/A</v>
      </c>
      <c r="CX383" s="211" t="str">
        <f t="shared" si="160"/>
        <v>N/A</v>
      </c>
      <c r="CY383" s="211" t="str">
        <f t="shared" si="161"/>
        <v>N/A</v>
      </c>
      <c r="CZ383" s="211" t="str">
        <f t="shared" si="162"/>
        <v>N/A</v>
      </c>
      <c r="DA383" s="211" t="str">
        <f t="shared" si="163"/>
        <v>N/A</v>
      </c>
      <c r="DB383" s="211" t="str">
        <f t="shared" si="164"/>
        <v>N/A</v>
      </c>
      <c r="DC383" s="211" t="str">
        <f t="shared" si="165"/>
        <v>N/A</v>
      </c>
      <c r="DD383" s="211" t="str">
        <f t="shared" si="166"/>
        <v>N/A</v>
      </c>
      <c r="DE383" s="211" t="str">
        <f t="shared" si="167"/>
        <v>N/A</v>
      </c>
      <c r="DF383" s="211" t="str">
        <f t="shared" si="168"/>
        <v>Dentro del periodo reportado se gestionó  la respuesta de 524 solicitudes de conceptos cumpliendo con el  trámite del  100% de los radicados, de esta forma señalar la oportunidad y resolutividad en el cumplimiento de las funciones asignadas con el control  efectivo del indicador​</v>
      </c>
    </row>
    <row r="384" spans="1:110" ht="64.5" customHeight="1">
      <c r="A384" s="349" t="s">
        <v>199</v>
      </c>
      <c r="B384" s="209" t="s">
        <v>149</v>
      </c>
      <c r="C384" s="209" t="s">
        <v>270</v>
      </c>
      <c r="D384" s="209" t="s">
        <v>808</v>
      </c>
      <c r="E384" s="209" t="s">
        <v>809</v>
      </c>
      <c r="F384" s="349" t="s">
        <v>810</v>
      </c>
      <c r="G384" s="209" t="s">
        <v>178</v>
      </c>
      <c r="H384" s="243">
        <v>1</v>
      </c>
      <c r="I384" s="323">
        <v>2</v>
      </c>
      <c r="J384" s="323">
        <v>2</v>
      </c>
      <c r="K384" s="290">
        <v>1</v>
      </c>
      <c r="L384" s="209" t="s">
        <v>3233</v>
      </c>
      <c r="M384" s="209" t="b">
        <v>1</v>
      </c>
      <c r="N384" s="209" t="s">
        <v>3234</v>
      </c>
      <c r="O384" s="209" t="s">
        <v>2832</v>
      </c>
      <c r="P384" s="209" t="s">
        <v>159</v>
      </c>
      <c r="Q384" s="269" t="s">
        <v>160</v>
      </c>
      <c r="R384" s="243"/>
      <c r="S384" s="243"/>
      <c r="Z384" s="209"/>
      <c r="AA384" s="209"/>
      <c r="AB384" s="209"/>
      <c r="AG384" s="269"/>
      <c r="AH384" s="244"/>
      <c r="AI384" s="244"/>
      <c r="AJ384" s="244"/>
      <c r="AQ384" s="209"/>
      <c r="AR384" s="209"/>
      <c r="AS384" s="209"/>
      <c r="BX384" s="274"/>
      <c r="CA384" s="209"/>
      <c r="CO384" s="209" t="s">
        <v>317</v>
      </c>
      <c r="CP384" s="209" t="s">
        <v>149</v>
      </c>
      <c r="CQ384" s="209" t="s">
        <v>336</v>
      </c>
      <c r="CR384" s="209" t="s">
        <v>337</v>
      </c>
      <c r="CS384" s="209" t="s">
        <v>3276</v>
      </c>
      <c r="CT384" s="209" t="s">
        <v>336</v>
      </c>
      <c r="CU384" s="211" t="str">
        <f t="shared" si="157"/>
        <v>N/A</v>
      </c>
      <c r="CV384" s="211" t="str">
        <f t="shared" si="158"/>
        <v>N/A</v>
      </c>
      <c r="CW384" s="211" t="str">
        <f t="shared" si="159"/>
        <v>N/A</v>
      </c>
      <c r="CX384" s="211" t="str">
        <f t="shared" si="160"/>
        <v>N/A</v>
      </c>
      <c r="CY384" s="211" t="str">
        <f t="shared" si="161"/>
        <v>N/A</v>
      </c>
      <c r="CZ384" s="211" t="str">
        <f t="shared" si="162"/>
        <v>N/A</v>
      </c>
      <c r="DA384" s="211" t="str">
        <f t="shared" si="163"/>
        <v>N/A</v>
      </c>
      <c r="DB384" s="211" t="str">
        <f t="shared" si="164"/>
        <v>N/A</v>
      </c>
      <c r="DC384" s="211" t="str">
        <f t="shared" si="165"/>
        <v>N/A</v>
      </c>
      <c r="DD384" s="211" t="str">
        <f t="shared" si="166"/>
        <v>N/A</v>
      </c>
      <c r="DE384" s="211" t="str">
        <f t="shared" si="167"/>
        <v>N/A</v>
      </c>
      <c r="DF384" s="211" t="str">
        <f t="shared" si="168"/>
        <v xml:space="preserve">​Durante el periodo informado se tramitó 74 acciones contencioso adminstrativas y ordinarias atendiendo el 100% de los autos admisorios recepcionados,   lo que impactó favorablemente la prevención del daño antijurídico al cumplir con  los términos de ley.
</v>
      </c>
    </row>
    <row r="385" spans="1:110" ht="64.5" customHeight="1">
      <c r="A385" s="349" t="s">
        <v>199</v>
      </c>
      <c r="B385" s="209" t="s">
        <v>149</v>
      </c>
      <c r="C385" s="209" t="s">
        <v>630</v>
      </c>
      <c r="D385" s="209" t="s">
        <v>705</v>
      </c>
      <c r="E385" s="209" t="s">
        <v>706</v>
      </c>
      <c r="F385" s="349" t="s">
        <v>707</v>
      </c>
      <c r="G385" s="209" t="s">
        <v>157</v>
      </c>
      <c r="H385" s="243">
        <v>60</v>
      </c>
      <c r="I385" s="323">
        <v>72</v>
      </c>
      <c r="J385" s="323">
        <v>60</v>
      </c>
      <c r="K385" s="290">
        <v>1.2</v>
      </c>
      <c r="L385" s="209" t="s">
        <v>3245</v>
      </c>
      <c r="M385" s="209" t="b">
        <v>1</v>
      </c>
      <c r="N385" s="209" t="s">
        <v>3246</v>
      </c>
      <c r="O385" s="209" t="s">
        <v>2832</v>
      </c>
      <c r="P385" s="209" t="s">
        <v>159</v>
      </c>
      <c r="Q385" s="269" t="s">
        <v>160</v>
      </c>
      <c r="R385" s="243"/>
      <c r="S385" s="243"/>
      <c r="Z385" s="209"/>
      <c r="AA385" s="209"/>
      <c r="AB385" s="209"/>
      <c r="AG385" s="269"/>
      <c r="AH385" s="244"/>
      <c r="AI385" s="244"/>
      <c r="AJ385" s="244"/>
      <c r="AQ385" s="209"/>
      <c r="AR385" s="209"/>
      <c r="AS385" s="209"/>
      <c r="BX385" s="274"/>
      <c r="CA385" s="209"/>
      <c r="CO385" s="209" t="s">
        <v>317</v>
      </c>
      <c r="CP385" s="209" t="s">
        <v>149</v>
      </c>
      <c r="CQ385" s="209" t="s">
        <v>342</v>
      </c>
      <c r="CR385" s="209" t="s">
        <v>343</v>
      </c>
      <c r="CS385" s="209" t="s">
        <v>3277</v>
      </c>
      <c r="CT385" s="209" t="s">
        <v>342</v>
      </c>
      <c r="CU385" s="211" t="str">
        <f t="shared" si="157"/>
        <v>N/A</v>
      </c>
      <c r="CV385" s="211" t="str">
        <f t="shared" si="158"/>
        <v>N/A</v>
      </c>
      <c r="CW385" s="211" t="str">
        <f t="shared" si="159"/>
        <v>N/A</v>
      </c>
      <c r="CX385" s="211" t="str">
        <f t="shared" si="160"/>
        <v>N/A</v>
      </c>
      <c r="CY385" s="211" t="str">
        <f t="shared" si="161"/>
        <v>N/A</v>
      </c>
      <c r="CZ385" s="211" t="str">
        <f t="shared" si="162"/>
        <v>N/A</v>
      </c>
      <c r="DA385" s="211" t="str">
        <f t="shared" si="163"/>
        <v>N/A</v>
      </c>
      <c r="DB385" s="211" t="str">
        <f t="shared" si="164"/>
        <v>N/A</v>
      </c>
      <c r="DC385" s="211" t="str">
        <f t="shared" si="165"/>
        <v>N/A</v>
      </c>
      <c r="DD385" s="211" t="str">
        <f t="shared" si="166"/>
        <v>N/A</v>
      </c>
      <c r="DE385" s="211" t="str">
        <f t="shared" si="167"/>
        <v>N/A</v>
      </c>
      <c r="DF385" s="211" t="str">
        <f t="shared" si="168"/>
        <v xml:space="preserve">​Dentro del periodo se reporta en el 100%  este indicador,  al estudiar y resolver en términos 83 solicitudes de conciliación de un total de 83 recibidas conforme al aplicativo E-kogui,  por lo tanto se garantiza el debido proceso y la respuesta  oportuna de la Superintendencia  en el área de defensa técnica de la entidad 
</v>
      </c>
    </row>
    <row r="386" spans="1:110" ht="64.5" customHeight="1">
      <c r="A386" s="349" t="s">
        <v>238</v>
      </c>
      <c r="B386" s="209" t="s">
        <v>149</v>
      </c>
      <c r="C386" s="209" t="s">
        <v>239</v>
      </c>
      <c r="D386" s="209" t="s">
        <v>240</v>
      </c>
      <c r="E386" s="209" t="s">
        <v>241</v>
      </c>
      <c r="F386" s="349" t="s">
        <v>242</v>
      </c>
      <c r="G386" s="209" t="s">
        <v>178</v>
      </c>
      <c r="H386" s="243">
        <v>1</v>
      </c>
      <c r="I386" s="323">
        <v>5</v>
      </c>
      <c r="J386" s="323">
        <v>5</v>
      </c>
      <c r="K386" s="290">
        <v>1</v>
      </c>
      <c r="L386" s="209" t="s">
        <v>3258</v>
      </c>
      <c r="M386" s="209" t="b">
        <v>1</v>
      </c>
      <c r="N386" s="209" t="s">
        <v>3259</v>
      </c>
      <c r="O386" s="209" t="s">
        <v>2832</v>
      </c>
      <c r="P386" s="209" t="s">
        <v>159</v>
      </c>
      <c r="Q386" s="269" t="s">
        <v>160</v>
      </c>
      <c r="R386" s="243"/>
      <c r="S386" s="243"/>
      <c r="Z386" s="209"/>
      <c r="AA386" s="209"/>
      <c r="AB386" s="209"/>
      <c r="AG386" s="269"/>
      <c r="AH386" s="244"/>
      <c r="AI386" s="244"/>
      <c r="AJ386" s="244"/>
      <c r="AQ386" s="209"/>
      <c r="AR386" s="209"/>
      <c r="AS386" s="209"/>
      <c r="BX386" s="274"/>
      <c r="CA386" s="209"/>
      <c r="CO386" s="209" t="s">
        <v>317</v>
      </c>
      <c r="CP386" s="209" t="s">
        <v>149</v>
      </c>
      <c r="CQ386" s="209" t="s">
        <v>330</v>
      </c>
      <c r="CR386" s="209" t="s">
        <v>331</v>
      </c>
      <c r="CS386" s="209" t="s">
        <v>3278</v>
      </c>
      <c r="CT386" s="209" t="s">
        <v>330</v>
      </c>
      <c r="CU386" s="211" t="str">
        <f t="shared" si="157"/>
        <v>N/A</v>
      </c>
      <c r="CV386" s="211" t="str">
        <f t="shared" si="158"/>
        <v>N/A</v>
      </c>
      <c r="CW386" s="211" t="str">
        <f t="shared" si="159"/>
        <v>N/A</v>
      </c>
      <c r="CX386" s="211" t="str">
        <f t="shared" si="160"/>
        <v>N/A</v>
      </c>
      <c r="CY386" s="211" t="str">
        <f t="shared" si="161"/>
        <v>N/A</v>
      </c>
      <c r="CZ386" s="211" t="str">
        <f t="shared" si="162"/>
        <v>N/A</v>
      </c>
      <c r="DA386" s="211" t="str">
        <f t="shared" si="163"/>
        <v>N/A</v>
      </c>
      <c r="DB386" s="211" t="str">
        <f t="shared" si="164"/>
        <v>N/A</v>
      </c>
      <c r="DC386" s="211" t="str">
        <f t="shared" si="165"/>
        <v>N/A</v>
      </c>
      <c r="DD386" s="211" t="str">
        <f t="shared" si="166"/>
        <v>N/A</v>
      </c>
      <c r="DE386" s="211" t="str">
        <f t="shared" si="167"/>
        <v>N/A</v>
      </c>
      <c r="DF386" s="211" t="str">
        <f t="shared" si="168"/>
        <v>​
​Se ejecutaron las 6 actividades programadas para el mes de diciembre conforme al cronograma de implementación y sostenibilidad de la Política de Mejora Normativa.  Con estas actividades se da por gestionado el cronograma establecido  y demás compromisos adquiridos en la implementación y sostenibilidad de la política de mejora normativa.  Se cumplieron con la expedición del manual de mejora normativa.</v>
      </c>
    </row>
    <row r="387" spans="1:110" ht="64.5" customHeight="1">
      <c r="A387" s="349" t="s">
        <v>238</v>
      </c>
      <c r="B387" s="209" t="s">
        <v>149</v>
      </c>
      <c r="C387" s="209" t="s">
        <v>1306</v>
      </c>
      <c r="D387" s="209" t="s">
        <v>1307</v>
      </c>
      <c r="E387" s="209" t="s">
        <v>1308</v>
      </c>
      <c r="F387" s="349" t="s">
        <v>2887</v>
      </c>
      <c r="G387" s="209" t="s">
        <v>178</v>
      </c>
      <c r="H387" s="243">
        <v>1</v>
      </c>
      <c r="I387" s="323">
        <v>1</v>
      </c>
      <c r="J387" s="323">
        <v>1</v>
      </c>
      <c r="K387" s="290">
        <v>1</v>
      </c>
      <c r="L387" s="209" t="s">
        <v>3263</v>
      </c>
      <c r="M387" s="209" t="b">
        <v>1</v>
      </c>
      <c r="N387" s="209" t="s">
        <v>3264</v>
      </c>
      <c r="O387" s="209" t="s">
        <v>2832</v>
      </c>
      <c r="P387" s="209" t="s">
        <v>159</v>
      </c>
      <c r="Q387" s="269" t="s">
        <v>160</v>
      </c>
      <c r="R387" s="243"/>
      <c r="S387" s="243"/>
      <c r="Z387" s="209"/>
      <c r="AA387" s="209"/>
      <c r="AB387" s="209"/>
      <c r="AG387" s="269"/>
      <c r="AH387" s="244"/>
      <c r="AI387" s="244"/>
      <c r="AJ387" s="244"/>
      <c r="AQ387" s="209"/>
      <c r="AR387" s="209"/>
      <c r="AS387" s="209"/>
      <c r="BX387" s="274"/>
      <c r="CA387" s="209"/>
      <c r="CO387" s="209" t="s">
        <v>317</v>
      </c>
      <c r="CP387" s="209" t="s">
        <v>149</v>
      </c>
      <c r="CQ387" s="209" t="s">
        <v>318</v>
      </c>
      <c r="CR387" s="209" t="s">
        <v>319</v>
      </c>
      <c r="CS387" s="209" t="s">
        <v>3279</v>
      </c>
      <c r="CT387" s="209" t="s">
        <v>318</v>
      </c>
      <c r="CU387" s="211" t="str">
        <f t="shared" ref="CU387:CU438" si="169">+IF(CP387=$CU$1,CS387,"N/A")</f>
        <v>N/A</v>
      </c>
      <c r="CV387" s="211" t="str">
        <f t="shared" ref="CV387:CV438" si="170">+IF(CP387=$CV$1,CS387,"N/A")</f>
        <v>N/A</v>
      </c>
      <c r="CW387" s="211" t="str">
        <f t="shared" ref="CW387:CW438" si="171">+IF(CP387=$CW$1,CS387,"N/A")</f>
        <v>N/A</v>
      </c>
      <c r="CX387" s="211" t="str">
        <f t="shared" ref="CX387:CX438" si="172">+IF(CP387=$CX$1,CS387,"N/A")</f>
        <v>N/A</v>
      </c>
      <c r="CY387" s="211" t="str">
        <f t="shared" ref="CY387:CY438" si="173">+IF(CP387=$CY$1,CS387,"N/A")</f>
        <v>N/A</v>
      </c>
      <c r="CZ387" s="211" t="str">
        <f t="shared" ref="CZ387:CZ438" si="174">+IF(CP387=$CZ$1,CS387,"N/A")</f>
        <v>N/A</v>
      </c>
      <c r="DA387" s="211" t="str">
        <f t="shared" ref="DA387:DA438" si="175">+IF(CP387=$DA$1,CS387,"N/A")</f>
        <v>N/A</v>
      </c>
      <c r="DB387" s="211" t="str">
        <f t="shared" ref="DB387:DB438" si="176">+IF(CP387=$DB$1,CS387,"N/A")</f>
        <v>N/A</v>
      </c>
      <c r="DC387" s="211" t="str">
        <f t="shared" ref="DC387:DC438" si="177">+IF(CP387=$DC$1,CS387,"N/A")</f>
        <v>N/A</v>
      </c>
      <c r="DD387" s="211" t="str">
        <f t="shared" ref="DD387:DD438" si="178">+IF(CP387=$DD$1,CS387,"N/A")</f>
        <v>N/A</v>
      </c>
      <c r="DE387" s="211" t="str">
        <f t="shared" ref="DE387:DE438" si="179">+IF(CP387=$DE$1,CS387,"N/A")</f>
        <v>N/A</v>
      </c>
      <c r="DF387" s="211" t="str">
        <f t="shared" ref="DF387:DF437" si="180">+IF(CP387=$DF$1,CS387,"N/A")</f>
        <v xml:space="preserve">​En el cuarto trimestre de 2025 y en desarrollo de la politica de gestion y desempeño de defensa juridica se desarrollaron las 4 actividades programadas  en el plan de gestión, por lo que se dio cumplimiento al 100% del indicador previsto.
</v>
      </c>
    </row>
    <row r="388" spans="1:110" ht="64.5" customHeight="1">
      <c r="A388" s="349" t="s">
        <v>238</v>
      </c>
      <c r="B388" s="209" t="s">
        <v>149</v>
      </c>
      <c r="C388" s="209" t="s">
        <v>259</v>
      </c>
      <c r="D388" s="209" t="s">
        <v>260</v>
      </c>
      <c r="E388" s="209" t="s">
        <v>261</v>
      </c>
      <c r="F388" s="349" t="s">
        <v>262</v>
      </c>
      <c r="G388" s="209" t="s">
        <v>178</v>
      </c>
      <c r="H388" s="243">
        <v>1</v>
      </c>
      <c r="I388" s="323">
        <v>6</v>
      </c>
      <c r="J388" s="323">
        <v>6</v>
      </c>
      <c r="K388" s="290">
        <v>1</v>
      </c>
      <c r="L388" s="209" t="s">
        <v>3260</v>
      </c>
      <c r="M388" s="209" t="b">
        <v>0</v>
      </c>
      <c r="O388" s="209" t="s">
        <v>2832</v>
      </c>
      <c r="P388" s="209" t="s">
        <v>159</v>
      </c>
      <c r="Q388" s="269" t="s">
        <v>160</v>
      </c>
      <c r="R388" s="243"/>
      <c r="S388" s="243"/>
      <c r="Z388" s="209"/>
      <c r="AA388" s="209"/>
      <c r="AB388" s="209"/>
      <c r="AG388" s="269"/>
      <c r="AH388" s="244"/>
      <c r="AI388" s="244"/>
      <c r="AJ388" s="244"/>
      <c r="AQ388" s="209"/>
      <c r="AR388" s="209"/>
      <c r="AS388" s="209"/>
      <c r="BX388" s="274"/>
      <c r="CA388" s="209"/>
      <c r="CO388" s="209" t="s">
        <v>317</v>
      </c>
      <c r="CP388" s="209" t="s">
        <v>149</v>
      </c>
      <c r="CQ388" s="209" t="s">
        <v>509</v>
      </c>
      <c r="CR388" s="209" t="s">
        <v>774</v>
      </c>
      <c r="CS388" s="209" t="s">
        <v>3280</v>
      </c>
      <c r="CT388" s="209" t="s">
        <v>509</v>
      </c>
      <c r="CU388" s="211" t="str">
        <f t="shared" si="169"/>
        <v>N/A</v>
      </c>
      <c r="CV388" s="211" t="str">
        <f t="shared" si="170"/>
        <v>N/A</v>
      </c>
      <c r="CW388" s="211" t="str">
        <f t="shared" si="171"/>
        <v>N/A</v>
      </c>
      <c r="CX388" s="211" t="str">
        <f t="shared" si="172"/>
        <v>N/A</v>
      </c>
      <c r="CY388" s="211" t="str">
        <f t="shared" si="173"/>
        <v>N/A</v>
      </c>
      <c r="CZ388" s="211" t="str">
        <f t="shared" si="174"/>
        <v>N/A</v>
      </c>
      <c r="DA388" s="211" t="str">
        <f t="shared" si="175"/>
        <v>N/A</v>
      </c>
      <c r="DB388" s="211" t="str">
        <f t="shared" si="176"/>
        <v>N/A</v>
      </c>
      <c r="DC388" s="211" t="str">
        <f t="shared" si="177"/>
        <v>N/A</v>
      </c>
      <c r="DD388" s="211" t="str">
        <f t="shared" si="178"/>
        <v>N/A</v>
      </c>
      <c r="DE388" s="211" t="str">
        <f t="shared" si="179"/>
        <v>N/A</v>
      </c>
      <c r="DF388" s="211" t="str">
        <f t="shared" si="180"/>
        <v xml:space="preserve">​ De 21 sanciones enviadas en grado de consulta, 21 sanciones fueron  revocadas. En el periodo informado no se materializó  ninguna sancion en contra del superintendente.
</v>
      </c>
    </row>
    <row r="389" spans="1:110" ht="64.5" customHeight="1">
      <c r="A389" s="349" t="s">
        <v>238</v>
      </c>
      <c r="B389" s="209" t="s">
        <v>149</v>
      </c>
      <c r="C389" s="209" t="s">
        <v>353</v>
      </c>
      <c r="D389" s="209" t="s">
        <v>726</v>
      </c>
      <c r="E389" s="209" t="s">
        <v>727</v>
      </c>
      <c r="F389" s="349" t="s">
        <v>728</v>
      </c>
      <c r="G389" s="209" t="s">
        <v>157</v>
      </c>
      <c r="H389" s="243">
        <v>1</v>
      </c>
      <c r="I389" s="323">
        <v>4</v>
      </c>
      <c r="J389" s="323">
        <v>4</v>
      </c>
      <c r="K389" s="290">
        <v>1</v>
      </c>
      <c r="L389" s="209" t="s">
        <v>3261</v>
      </c>
      <c r="M389" s="209" t="b">
        <v>1</v>
      </c>
      <c r="N389" s="209" t="s">
        <v>3262</v>
      </c>
      <c r="O389" s="209" t="s">
        <v>2832</v>
      </c>
      <c r="P389" s="209" t="s">
        <v>159</v>
      </c>
      <c r="Q389" s="269" t="s">
        <v>160</v>
      </c>
      <c r="R389" s="243"/>
      <c r="S389" s="243"/>
      <c r="Z389" s="209"/>
      <c r="AA389" s="209"/>
      <c r="AB389" s="209"/>
      <c r="AG389" s="269"/>
      <c r="AH389" s="244"/>
      <c r="AI389" s="244"/>
      <c r="AJ389" s="244"/>
      <c r="AQ389" s="209"/>
      <c r="AR389" s="209"/>
      <c r="AS389" s="209"/>
      <c r="BX389" s="274"/>
      <c r="CA389" s="209"/>
      <c r="CO389" s="209" t="s">
        <v>317</v>
      </c>
      <c r="CP389" s="209" t="s">
        <v>149</v>
      </c>
      <c r="CQ389" s="209" t="s">
        <v>513</v>
      </c>
      <c r="CR389" s="209" t="s">
        <v>711</v>
      </c>
      <c r="CS389" s="209" t="s">
        <v>3281</v>
      </c>
      <c r="CT389" s="209" t="s">
        <v>513</v>
      </c>
      <c r="CU389" s="211" t="str">
        <f t="shared" si="169"/>
        <v>N/A</v>
      </c>
      <c r="CV389" s="211" t="str">
        <f t="shared" si="170"/>
        <v>N/A</v>
      </c>
      <c r="CW389" s="211" t="str">
        <f t="shared" si="171"/>
        <v>N/A</v>
      </c>
      <c r="CX389" s="211" t="str">
        <f t="shared" si="172"/>
        <v>N/A</v>
      </c>
      <c r="CY389" s="211" t="str">
        <f t="shared" si="173"/>
        <v>N/A</v>
      </c>
      <c r="CZ389" s="211" t="str">
        <f t="shared" si="174"/>
        <v>N/A</v>
      </c>
      <c r="DA389" s="211" t="str">
        <f t="shared" si="175"/>
        <v>N/A</v>
      </c>
      <c r="DB389" s="211" t="str">
        <f t="shared" si="176"/>
        <v>N/A</v>
      </c>
      <c r="DC389" s="211" t="str">
        <f t="shared" si="177"/>
        <v>N/A</v>
      </c>
      <c r="DD389" s="211" t="str">
        <f t="shared" si="178"/>
        <v>N/A</v>
      </c>
      <c r="DE389" s="211" t="str">
        <f t="shared" si="179"/>
        <v>N/A</v>
      </c>
      <c r="DF389" s="211" t="str">
        <f t="shared" si="180"/>
        <v xml:space="preserve">​Durante el segundo  semestre de 2025  se confirmó la realización de 2  capacitaciones en cumplimiento al seguimiento a la PPDA.
</v>
      </c>
    </row>
    <row r="390" spans="1:110" ht="64.5" customHeight="1">
      <c r="A390" s="349" t="s">
        <v>238</v>
      </c>
      <c r="B390" s="209" t="s">
        <v>149</v>
      </c>
      <c r="C390" s="209" t="s">
        <v>252</v>
      </c>
      <c r="D390" s="209" t="s">
        <v>1331</v>
      </c>
      <c r="E390" s="209" t="s">
        <v>1332</v>
      </c>
      <c r="F390" s="349" t="s">
        <v>1333</v>
      </c>
      <c r="G390" s="209" t="s">
        <v>157</v>
      </c>
      <c r="H390" s="243">
        <v>7</v>
      </c>
      <c r="I390" s="323">
        <v>40</v>
      </c>
      <c r="J390" s="323">
        <v>40</v>
      </c>
      <c r="K390" s="290">
        <v>1</v>
      </c>
      <c r="L390" s="209" t="s">
        <v>3267</v>
      </c>
      <c r="M390" s="209" t="b">
        <v>0</v>
      </c>
      <c r="O390" s="209" t="s">
        <v>2832</v>
      </c>
      <c r="P390" s="209" t="s">
        <v>159</v>
      </c>
      <c r="Q390" s="269" t="s">
        <v>160</v>
      </c>
      <c r="R390" s="243"/>
      <c r="S390" s="243"/>
      <c r="Z390" s="209"/>
      <c r="AA390" s="209"/>
      <c r="AB390" s="209"/>
      <c r="AG390" s="269"/>
      <c r="AH390" s="244"/>
      <c r="AI390" s="244"/>
      <c r="AJ390" s="244"/>
      <c r="AQ390" s="209"/>
      <c r="AR390" s="209"/>
      <c r="AS390" s="209"/>
      <c r="BX390" s="274"/>
      <c r="CA390" s="209"/>
      <c r="CO390" s="209" t="s">
        <v>317</v>
      </c>
      <c r="CP390" s="209" t="s">
        <v>149</v>
      </c>
      <c r="CQ390" s="209" t="s">
        <v>515</v>
      </c>
      <c r="CR390" s="209" t="s">
        <v>734</v>
      </c>
      <c r="CS390" s="209" t="s">
        <v>3282</v>
      </c>
      <c r="CT390" s="209" t="s">
        <v>515</v>
      </c>
      <c r="CU390" s="211" t="str">
        <f t="shared" si="169"/>
        <v>N/A</v>
      </c>
      <c r="CV390" s="211" t="str">
        <f t="shared" si="170"/>
        <v>N/A</v>
      </c>
      <c r="CW390" s="211" t="str">
        <f t="shared" si="171"/>
        <v>N/A</v>
      </c>
      <c r="CX390" s="211" t="str">
        <f t="shared" si="172"/>
        <v>N/A</v>
      </c>
      <c r="CY390" s="211" t="str">
        <f t="shared" si="173"/>
        <v>N/A</v>
      </c>
      <c r="CZ390" s="211" t="str">
        <f t="shared" si="174"/>
        <v>N/A</v>
      </c>
      <c r="DA390" s="211" t="str">
        <f t="shared" si="175"/>
        <v>N/A</v>
      </c>
      <c r="DB390" s="211" t="str">
        <f t="shared" si="176"/>
        <v>N/A</v>
      </c>
      <c r="DC390" s="211" t="str">
        <f t="shared" si="177"/>
        <v>N/A</v>
      </c>
      <c r="DD390" s="211" t="str">
        <f t="shared" si="178"/>
        <v>N/A</v>
      </c>
      <c r="DE390" s="211" t="str">
        <f t="shared" si="179"/>
        <v>N/A</v>
      </c>
      <c r="DF390" s="211" t="str">
        <f t="shared" si="180"/>
        <v xml:space="preserve">​Durante el segundo semestre se desarrolló  3  acciones para el diseño del sistema integral de seguimiento a sentencias.  Se evolucionó el procedimiento de seguimiento de sentencias judiciales y conjuntamente con  la Subdirección de Tecnologías de la Información se adelantó  el desarrollo del aplicativo que apoyará la identificación, seguimiento y cumplimiento de las diferentes órdenes judiciales.  En esta etapa se superó  la generación del insumo  por parte de la Dirección jurídica para la fase de diseño ( (1. Análisis de requerimientos  y  2, Diseño técnico y funcional) de manera tal que la subdirección de tecnologías de la información pueda dar continuidad a la elaboración e implementación  del programa informático que facilite el ejercicio de control y seguimiento a cargo de la Dirección Jurídica.
</v>
      </c>
    </row>
    <row r="391" spans="1:110" ht="64.5" customHeight="1">
      <c r="A391" s="349" t="s">
        <v>238</v>
      </c>
      <c r="B391" s="209" t="s">
        <v>149</v>
      </c>
      <c r="C391" s="209" t="s">
        <v>245</v>
      </c>
      <c r="D391" s="209" t="s">
        <v>1337</v>
      </c>
      <c r="E391" s="209" t="s">
        <v>1338</v>
      </c>
      <c r="F391" s="349" t="s">
        <v>1339</v>
      </c>
      <c r="G391" s="209" t="s">
        <v>178</v>
      </c>
      <c r="H391" s="243">
        <v>1</v>
      </c>
      <c r="I391" s="323">
        <v>10</v>
      </c>
      <c r="J391" s="323">
        <v>10</v>
      </c>
      <c r="K391" s="290">
        <v>1</v>
      </c>
      <c r="L391" s="209" t="s">
        <v>3268</v>
      </c>
      <c r="M391" s="209" t="b">
        <v>0</v>
      </c>
      <c r="O391" s="209" t="s">
        <v>2832</v>
      </c>
      <c r="P391" s="209" t="s">
        <v>159</v>
      </c>
      <c r="Q391" s="269" t="s">
        <v>160</v>
      </c>
      <c r="R391" s="243"/>
      <c r="S391" s="243"/>
      <c r="Z391" s="209"/>
      <c r="AA391" s="209"/>
      <c r="AB391" s="209"/>
      <c r="AG391" s="269"/>
      <c r="AH391" s="244"/>
      <c r="AI391" s="244"/>
      <c r="AJ391" s="244"/>
      <c r="AQ391" s="209"/>
      <c r="AR391" s="209"/>
      <c r="AS391" s="209"/>
      <c r="BX391" s="274"/>
      <c r="CA391" s="209"/>
      <c r="CO391" s="209" t="s">
        <v>607</v>
      </c>
      <c r="CP391" s="209" t="s">
        <v>149</v>
      </c>
      <c r="CQ391" s="209" t="s">
        <v>525</v>
      </c>
      <c r="CR391" s="209" t="s">
        <v>613</v>
      </c>
      <c r="CS391" s="209" t="s">
        <v>3288</v>
      </c>
      <c r="CT391" s="209" t="s">
        <v>525</v>
      </c>
      <c r="CU391" s="211" t="str">
        <f t="shared" si="169"/>
        <v>N/A</v>
      </c>
      <c r="CV391" s="211" t="str">
        <f t="shared" si="170"/>
        <v>N/A</v>
      </c>
      <c r="CW391" s="211" t="str">
        <f t="shared" si="171"/>
        <v>N/A</v>
      </c>
      <c r="CX391" s="211" t="str">
        <f t="shared" si="172"/>
        <v>N/A</v>
      </c>
      <c r="CY391" s="211" t="str">
        <f t="shared" si="173"/>
        <v>N/A</v>
      </c>
      <c r="CZ391" s="211" t="str">
        <f t="shared" si="174"/>
        <v>N/A</v>
      </c>
      <c r="DA391" s="211" t="str">
        <f t="shared" si="175"/>
        <v>N/A</v>
      </c>
      <c r="DB391" s="211" t="str">
        <f t="shared" si="176"/>
        <v>N/A</v>
      </c>
      <c r="DC391" s="211" t="str">
        <f t="shared" si="177"/>
        <v>N/A</v>
      </c>
      <c r="DD391" s="211" t="str">
        <f t="shared" si="178"/>
        <v>N/A</v>
      </c>
      <c r="DE391" s="211" t="str">
        <f t="shared" si="179"/>
        <v>N/A</v>
      </c>
      <c r="DF391" s="211" t="str">
        <f t="shared" si="180"/>
        <v>Al 31 de diciembre de 2025, del total de recursos de inversión asignados para la presente vigencia, y una vez aplicada la reducción presupuestal (Decreto No. 1484 de 2025) que fijó la nueva apropiación en $84.527.452.102, se han comprometido $84.130.515.250, equivalentes al 99,53% de la apropiación definitiva. De este valor, se generaron obligaciones por $78.459.265.382, cifra que corresponde al 93,25% de los recursos comprometidos y al 92,83% del total de recursos asignados para la vigencia. En términos generales el nivel de compromisos fue 19 puntos porcentuales respecto al 2024, y las obligaciones superaron en 20 punto porcentuales con relación al año anterior.
La mayoría de las 18 dependencias ejecutoras registraron niveles de compromiso iguales o superiores al 98%, destacándose varias con ejecución del 100%, como: Superintendencia Delegada de Investigaciones Administrativas, Despacho del Superintendente Nacional de Salud, Dirección Jurídica, Dirección Administrativa – Grupo de Recursos Físicos
Asimismo, en materia de obligaciones,  la mayor parte de las dependencias presenta ejecuciones superiores al 85% de los compromisos, destacándose: Superintendencia Delegada de Investigaciones Administrativas (97,7%), Dirección Jurídica (97,5%), Dirección de Innovación y Desarrollo – Subdirección de Tecnologías de la Información (94,8%), Superintendencia Delegada para la Protección al Usuario (94,5%)</v>
      </c>
    </row>
    <row r="392" spans="1:110" ht="64.5" customHeight="1">
      <c r="A392" s="349" t="s">
        <v>238</v>
      </c>
      <c r="B392" s="209" t="s">
        <v>149</v>
      </c>
      <c r="C392" s="209" t="s">
        <v>1320</v>
      </c>
      <c r="D392" s="209" t="s">
        <v>1325</v>
      </c>
      <c r="E392" s="209" t="s">
        <v>1326</v>
      </c>
      <c r="F392" s="349" t="s">
        <v>2808</v>
      </c>
      <c r="G392" s="209" t="s">
        <v>178</v>
      </c>
      <c r="H392" s="243">
        <v>0.33</v>
      </c>
      <c r="I392" s="434">
        <v>0.34</v>
      </c>
      <c r="J392" s="434">
        <v>1</v>
      </c>
      <c r="K392" s="290">
        <v>0.34</v>
      </c>
      <c r="L392" s="209" t="s">
        <v>3269</v>
      </c>
      <c r="M392" s="209" t="b">
        <v>0</v>
      </c>
      <c r="O392" s="209" t="s">
        <v>2832</v>
      </c>
      <c r="P392" s="209" t="s">
        <v>159</v>
      </c>
      <c r="Q392" s="243" t="s">
        <v>160</v>
      </c>
      <c r="R392" s="243"/>
      <c r="S392" s="243"/>
      <c r="Z392" s="209"/>
      <c r="AA392" s="209"/>
      <c r="AB392" s="209"/>
      <c r="AG392" s="269"/>
      <c r="AH392" s="244"/>
      <c r="AI392" s="244"/>
      <c r="AJ392" s="244"/>
      <c r="AQ392" s="209"/>
      <c r="AR392" s="209"/>
      <c r="AS392" s="209"/>
      <c r="BX392" s="274"/>
      <c r="CA392" s="209"/>
      <c r="CO392" s="209" t="s">
        <v>359</v>
      </c>
      <c r="CP392" s="209" t="s">
        <v>149</v>
      </c>
      <c r="CQ392" s="209" t="s">
        <v>529</v>
      </c>
      <c r="CR392" s="209" t="s">
        <v>690</v>
      </c>
      <c r="CS392" s="209" t="s">
        <v>3290</v>
      </c>
      <c r="CT392" s="209" t="s">
        <v>529</v>
      </c>
      <c r="CU392" s="211" t="str">
        <f t="shared" si="169"/>
        <v>N/A</v>
      </c>
      <c r="CV392" s="211" t="str">
        <f t="shared" si="170"/>
        <v>N/A</v>
      </c>
      <c r="CW392" s="211" t="str">
        <f t="shared" si="171"/>
        <v>N/A</v>
      </c>
      <c r="CX392" s="211" t="str">
        <f t="shared" si="172"/>
        <v>N/A</v>
      </c>
      <c r="CY392" s="211" t="str">
        <f t="shared" si="173"/>
        <v>N/A</v>
      </c>
      <c r="CZ392" s="211" t="str">
        <f t="shared" si="174"/>
        <v>N/A</v>
      </c>
      <c r="DA392" s="211" t="str">
        <f t="shared" si="175"/>
        <v>N/A</v>
      </c>
      <c r="DB392" s="211" t="str">
        <f t="shared" si="176"/>
        <v>N/A</v>
      </c>
      <c r="DC392" s="211" t="str">
        <f t="shared" si="177"/>
        <v>N/A</v>
      </c>
      <c r="DD392" s="211" t="str">
        <f t="shared" si="178"/>
        <v>N/A</v>
      </c>
      <c r="DE392" s="211" t="str">
        <f t="shared" si="179"/>
        <v>N/A</v>
      </c>
      <c r="DF392" s="211" t="str">
        <f t="shared" si="180"/>
        <v xml:space="preserve">De conformidad a la programación establecida en el PAAS para la vigencia 2025 y en atención a la actividad "Ejecutar Programa Anual Seguimiento a la Gestión Institucional", alusiva al indicador "Auditorías realizadas de acuerdo con el Plan Anual de Auditorías", la Oficina de Control Interno definió reportar en el mes de diciembre el cumplimiento correspondiente al segundo semestre de la vigencia 2025; de ello, se puede precisar, que fueron presentadas ante el CICCI cuatro (4) de las dos (2) auditorías programadas; las dos adicionales se encontraban rezagadas del primer semestre referentes a los procesos de "Gestión Financiera" y "Gestión de Bienes y Servicios".
Por lo anteriormente señalado, el porcentaje de cumplimiento para el período ahora reportado obedece al 200% de ejecución de acuerdo con lo definido en el Plan Anual de Auditorías.
Al cierre de diciembre se realizaron seis (6) auditorias las cuales se encontraban programadas para realizar en la vigencia, lo que representa un cumplimiento del 100% en la ejecución del PAAS.
</v>
      </c>
    </row>
    <row r="393" spans="1:110" ht="64.5" customHeight="1">
      <c r="A393" s="349" t="s">
        <v>238</v>
      </c>
      <c r="B393" s="209" t="s">
        <v>149</v>
      </c>
      <c r="C393" s="209" t="s">
        <v>371</v>
      </c>
      <c r="D393" s="209" t="s">
        <v>521</v>
      </c>
      <c r="E393" s="209" t="s">
        <v>817</v>
      </c>
      <c r="F393" s="349" t="s">
        <v>523</v>
      </c>
      <c r="G393" s="209" t="s">
        <v>178</v>
      </c>
      <c r="H393" s="243">
        <v>21</v>
      </c>
      <c r="I393" s="323">
        <v>17</v>
      </c>
      <c r="J393" s="323">
        <v>21</v>
      </c>
      <c r="K393" s="290">
        <v>0.80952380952380998</v>
      </c>
      <c r="L393" s="209" t="s">
        <v>3265</v>
      </c>
      <c r="M393" s="209" t="b">
        <v>1</v>
      </c>
      <c r="N393" s="209" t="s">
        <v>3266</v>
      </c>
      <c r="O393" s="209" t="s">
        <v>2832</v>
      </c>
      <c r="P393" s="209" t="s">
        <v>159</v>
      </c>
      <c r="Q393" s="243" t="s">
        <v>160</v>
      </c>
      <c r="R393" s="243"/>
      <c r="S393" s="243"/>
      <c r="Z393" s="209"/>
      <c r="AA393" s="209"/>
      <c r="AB393" s="209"/>
      <c r="AG393" s="269"/>
      <c r="AH393" s="244"/>
      <c r="AI393" s="244"/>
      <c r="AJ393" s="244"/>
      <c r="AQ393" s="209"/>
      <c r="AR393" s="209"/>
      <c r="AS393" s="209"/>
      <c r="BX393" s="274"/>
      <c r="CA393" s="209"/>
      <c r="CO393" s="209" t="s">
        <v>359</v>
      </c>
      <c r="CP393" s="209" t="s">
        <v>149</v>
      </c>
      <c r="CQ393" s="209" t="s">
        <v>360</v>
      </c>
      <c r="CR393" s="209" t="s">
        <v>361</v>
      </c>
      <c r="CS393" s="209" t="s">
        <v>3291</v>
      </c>
      <c r="CT393" s="209" t="s">
        <v>360</v>
      </c>
      <c r="CU393" s="211" t="str">
        <f t="shared" si="169"/>
        <v>N/A</v>
      </c>
      <c r="CV393" s="211" t="str">
        <f t="shared" si="170"/>
        <v>N/A</v>
      </c>
      <c r="CW393" s="211" t="str">
        <f t="shared" si="171"/>
        <v>N/A</v>
      </c>
      <c r="CX393" s="211" t="str">
        <f t="shared" si="172"/>
        <v>N/A</v>
      </c>
      <c r="CY393" s="211" t="str">
        <f t="shared" si="173"/>
        <v>N/A</v>
      </c>
      <c r="CZ393" s="211" t="str">
        <f t="shared" si="174"/>
        <v>N/A</v>
      </c>
      <c r="DA393" s="211" t="str">
        <f t="shared" si="175"/>
        <v>N/A</v>
      </c>
      <c r="DB393" s="211" t="str">
        <f t="shared" si="176"/>
        <v>N/A</v>
      </c>
      <c r="DC393" s="211" t="str">
        <f t="shared" si="177"/>
        <v>N/A</v>
      </c>
      <c r="DD393" s="211" t="str">
        <f t="shared" si="178"/>
        <v>N/A</v>
      </c>
      <c r="DE393" s="211" t="str">
        <f t="shared" si="179"/>
        <v>N/A</v>
      </c>
      <c r="DF393" s="211" t="str">
        <f t="shared" si="180"/>
        <v xml:space="preserve">De conformidad con la programación establecida en el Plan Anual de Seguimiento a la Gestión Institucional (PAAS) para la vigencia 2025, y en atención a la actividad “Ejecutar Programa Anual de Seguimiento a la Gestión Institucional”, correspondiente al indicador “Seguimientos y evaluaciones efectuadas al control institucional”, la Oficina de Control Interno reporta el cumplimiento del cuarto trimestre de la presente anualidad. 
Durante el cuarto trimestre de 2025 se ejecutaron un total de diecinueve (19) actividades de las trece (13) programadas; la diferencia corresponde a seis (6) actividades a acciones rezagadas del tercer trimestre, producto de situaciones administrativas relacionadas con el concurso de mérito. Por lo anteriormente señalado, el porcentaje de cumplimiento para el período reportado corresponde al 146% de ejecución.
Al cierre de la vigencia 2025 se realizaron cincuenta y cuatro (54) actividades las cuales se encontraban programadas para realizar en la vigencia, lo que representa un cumplimiento del 100% en la ejecución del PAAS.
Adicionalmente, en el transcurso del trimestre se llevaron a cabo actividades complementarias no previstas en el plan, derivadas de requerimientos formulados por entes de control, atención de derechos de petición, actividades de gestores, entre otros.
</v>
      </c>
    </row>
    <row r="394" spans="1:110" ht="64.5" customHeight="1">
      <c r="A394" s="349" t="s">
        <v>238</v>
      </c>
      <c r="B394" s="209" t="s">
        <v>149</v>
      </c>
      <c r="C394" s="209" t="s">
        <v>1313</v>
      </c>
      <c r="D394" s="209" t="s">
        <v>1315</v>
      </c>
      <c r="E394" s="209" t="s">
        <v>1316</v>
      </c>
      <c r="F394" s="349" t="s">
        <v>2880</v>
      </c>
      <c r="G394" s="209" t="s">
        <v>157</v>
      </c>
      <c r="H394" s="243">
        <v>1</v>
      </c>
      <c r="I394" s="323">
        <v>1</v>
      </c>
      <c r="J394" s="323">
        <v>1</v>
      </c>
      <c r="K394" s="290">
        <v>1</v>
      </c>
      <c r="L394" s="209" t="s">
        <v>3401</v>
      </c>
      <c r="M394" s="209" t="b">
        <v>0</v>
      </c>
      <c r="O394" s="209" t="s">
        <v>2832</v>
      </c>
      <c r="P394" s="209" t="s">
        <v>159</v>
      </c>
      <c r="Q394" s="243" t="s">
        <v>160</v>
      </c>
      <c r="R394" s="243"/>
      <c r="S394" s="243"/>
      <c r="Z394" s="209"/>
      <c r="AA394" s="209"/>
      <c r="AB394" s="209"/>
      <c r="AG394" s="269"/>
      <c r="AH394" s="244"/>
      <c r="AI394" s="244"/>
      <c r="AJ394" s="244"/>
      <c r="AQ394" s="209"/>
      <c r="AR394" s="209"/>
      <c r="AS394" s="209"/>
      <c r="BX394" s="274"/>
      <c r="CA394" s="209"/>
      <c r="CO394" s="209" t="s">
        <v>607</v>
      </c>
      <c r="CP394" s="209" t="s">
        <v>149</v>
      </c>
      <c r="CQ394" s="209" t="s">
        <v>1218</v>
      </c>
      <c r="CR394" s="209" t="s">
        <v>1219</v>
      </c>
      <c r="CS394" s="209" t="s">
        <v>3289</v>
      </c>
      <c r="CT394" s="209" t="s">
        <v>1218</v>
      </c>
      <c r="CU394" s="211" t="str">
        <f t="shared" si="169"/>
        <v>N/A</v>
      </c>
      <c r="CV394" s="211" t="str">
        <f t="shared" si="170"/>
        <v>N/A</v>
      </c>
      <c r="CW394" s="211" t="str">
        <f t="shared" si="171"/>
        <v>N/A</v>
      </c>
      <c r="CX394" s="211" t="str">
        <f t="shared" si="172"/>
        <v>N/A</v>
      </c>
      <c r="CY394" s="211" t="str">
        <f t="shared" si="173"/>
        <v>N/A</v>
      </c>
      <c r="CZ394" s="211" t="str">
        <f t="shared" si="174"/>
        <v>N/A</v>
      </c>
      <c r="DA394" s="211" t="str">
        <f t="shared" si="175"/>
        <v>N/A</v>
      </c>
      <c r="DB394" s="211" t="str">
        <f t="shared" si="176"/>
        <v>N/A</v>
      </c>
      <c r="DC394" s="211" t="str">
        <f t="shared" si="177"/>
        <v>N/A</v>
      </c>
      <c r="DD394" s="211" t="str">
        <f t="shared" si="178"/>
        <v>N/A</v>
      </c>
      <c r="DE394" s="211" t="str">
        <f t="shared" si="179"/>
        <v>N/A</v>
      </c>
      <c r="DF394" s="211" t="str">
        <f t="shared" si="180"/>
        <v xml:space="preserve">E l plan de cierre de brechas para la vigencia 2025 contempla un total de 77 acciones, de las cuales 68 se gestionaron y tuvieron cierre en su totalidad con lo cual se cerró el 88.3% de las brechas logrando un sobrecumplimiento del 110% con respecto a la meta establecida para 2025; mostrando con ello un resultado positivo con respecto al monitoreo y seguimiento realizado por la OAP y el compromiso de las áreas para la mejora continua, pesé a lo anterior quedaron pendientes 9 brechas por gestión, las cuales se distribuyen así: Gestión del conocimiento: 1; Gestión de información estadística: 4; Integridad: 1; Racionalización de trámites: 1; y Seguridad digital: 2, estás serán incluidas en el Plan de trabajo para la vigencia 2026.
</v>
      </c>
    </row>
    <row r="395" spans="1:110" ht="64.5" customHeight="1">
      <c r="A395" s="349" t="s">
        <v>317</v>
      </c>
      <c r="B395" s="209" t="s">
        <v>149</v>
      </c>
      <c r="C395" s="209" t="s">
        <v>509</v>
      </c>
      <c r="D395" s="209" t="s">
        <v>774</v>
      </c>
      <c r="E395" s="209" t="s">
        <v>775</v>
      </c>
      <c r="F395" s="349" t="s">
        <v>776</v>
      </c>
      <c r="G395" s="209" t="s">
        <v>178</v>
      </c>
      <c r="H395" s="243">
        <v>1</v>
      </c>
      <c r="I395" s="323">
        <v>21</v>
      </c>
      <c r="J395" s="323">
        <v>21</v>
      </c>
      <c r="K395" s="290">
        <v>1</v>
      </c>
      <c r="L395" s="209" t="s">
        <v>3280</v>
      </c>
      <c r="M395" s="209" t="b">
        <v>0</v>
      </c>
      <c r="O395" s="209" t="s">
        <v>2832</v>
      </c>
      <c r="P395" s="209" t="s">
        <v>159</v>
      </c>
      <c r="Q395" s="243" t="s">
        <v>160</v>
      </c>
      <c r="R395" s="243"/>
      <c r="S395" s="243"/>
      <c r="Z395" s="209"/>
      <c r="AA395" s="209"/>
      <c r="AB395" s="209"/>
      <c r="AH395" s="244"/>
      <c r="AI395" s="244"/>
      <c r="AJ395" s="244"/>
      <c r="AQ395" s="209"/>
      <c r="AR395" s="209"/>
      <c r="AS395" s="209"/>
      <c r="BX395" s="274"/>
      <c r="CA395" s="209"/>
      <c r="CO395" s="209" t="s">
        <v>152</v>
      </c>
      <c r="CP395" s="209" t="s">
        <v>149</v>
      </c>
      <c r="CQ395" s="209" t="s">
        <v>534</v>
      </c>
      <c r="CR395" s="209" t="s">
        <v>636</v>
      </c>
      <c r="CS395" s="209" t="s">
        <v>3153</v>
      </c>
      <c r="CT395" s="209" t="s">
        <v>534</v>
      </c>
      <c r="CU395" s="211" t="str">
        <f t="shared" si="169"/>
        <v>N/A</v>
      </c>
      <c r="CV395" s="211" t="str">
        <f t="shared" si="170"/>
        <v>N/A</v>
      </c>
      <c r="CW395" s="211" t="str">
        <f t="shared" si="171"/>
        <v>N/A</v>
      </c>
      <c r="CX395" s="211" t="str">
        <f t="shared" si="172"/>
        <v>N/A</v>
      </c>
      <c r="CY395" s="211" t="str">
        <f t="shared" si="173"/>
        <v>N/A</v>
      </c>
      <c r="CZ395" s="211" t="str">
        <f t="shared" si="174"/>
        <v>N/A</v>
      </c>
      <c r="DA395" s="211" t="str">
        <f t="shared" si="175"/>
        <v>N/A</v>
      </c>
      <c r="DB395" s="211" t="str">
        <f t="shared" si="176"/>
        <v>N/A</v>
      </c>
      <c r="DC395" s="211" t="str">
        <f t="shared" si="177"/>
        <v>N/A</v>
      </c>
      <c r="DD395" s="211" t="str">
        <f t="shared" si="178"/>
        <v>N/A</v>
      </c>
      <c r="DE395" s="211" t="str">
        <f t="shared" si="179"/>
        <v>N/A</v>
      </c>
      <c r="DF395" s="211" t="str">
        <f t="shared" si="180"/>
        <v xml:space="preserve">Se realizaron 5 prejornadas en el ultimo trimestre , las otras 2 corresponden al tercer trimestre. Se da cumplimiento a la meta establecida para el semestre, esto se logro a travez del ejercicio de la facultad oficiosa consagrada en el artículo 38 de la Ley 1122 de 2007, la Delegada  para la Función Jurisdiccional y de Conciliación cita  de oficio a a los actores involucrados del SGSS de estas regiones que atendieron la invitacion y se inicia el proceso para llevar posterioremente los acuerdos conciliatorios en las jornadas . se anexan las evidencias de las prejornadas . 
</v>
      </c>
    </row>
    <row r="396" spans="1:110" ht="64.5" customHeight="1">
      <c r="A396" s="349" t="s">
        <v>317</v>
      </c>
      <c r="B396" s="209" t="s">
        <v>149</v>
      </c>
      <c r="C396" s="209" t="s">
        <v>471</v>
      </c>
      <c r="D396" s="209" t="s">
        <v>782</v>
      </c>
      <c r="E396" s="209" t="s">
        <v>783</v>
      </c>
      <c r="F396" s="349" t="s">
        <v>784</v>
      </c>
      <c r="G396" s="209" t="s">
        <v>178</v>
      </c>
      <c r="H396" s="243">
        <v>1</v>
      </c>
      <c r="I396" s="323">
        <v>115491</v>
      </c>
      <c r="J396" s="323">
        <v>123166</v>
      </c>
      <c r="K396" s="290">
        <v>0.93768572495656299</v>
      </c>
      <c r="L396" s="209" t="s">
        <v>3274</v>
      </c>
      <c r="M396" s="209" t="b">
        <v>0</v>
      </c>
      <c r="O396" s="209" t="s">
        <v>2832</v>
      </c>
      <c r="P396" s="209" t="s">
        <v>159</v>
      </c>
      <c r="Q396" s="243" t="s">
        <v>160</v>
      </c>
      <c r="R396" s="243"/>
      <c r="S396" s="243"/>
      <c r="Z396" s="209"/>
      <c r="AA396" s="209"/>
      <c r="AB396" s="209"/>
      <c r="AH396" s="244"/>
      <c r="AI396" s="244"/>
      <c r="AJ396" s="244"/>
      <c r="AQ396" s="209"/>
      <c r="AR396" s="209"/>
      <c r="AS396" s="209"/>
      <c r="BX396" s="274"/>
      <c r="CA396" s="209"/>
      <c r="CO396" s="209" t="s">
        <v>152</v>
      </c>
      <c r="CP396" s="209" t="s">
        <v>149</v>
      </c>
      <c r="CQ396" s="209" t="s">
        <v>536</v>
      </c>
      <c r="CR396" s="209" t="s">
        <v>643</v>
      </c>
      <c r="CS396" s="209" t="s">
        <v>3154</v>
      </c>
      <c r="CT396" s="209" t="s">
        <v>536</v>
      </c>
      <c r="CU396" s="211" t="str">
        <f t="shared" si="169"/>
        <v>N/A</v>
      </c>
      <c r="CV396" s="211" t="str">
        <f t="shared" si="170"/>
        <v>N/A</v>
      </c>
      <c r="CW396" s="211" t="str">
        <f t="shared" si="171"/>
        <v>N/A</v>
      </c>
      <c r="CX396" s="211" t="str">
        <f t="shared" si="172"/>
        <v>N/A</v>
      </c>
      <c r="CY396" s="211" t="str">
        <f t="shared" si="173"/>
        <v>N/A</v>
      </c>
      <c r="CZ396" s="211" t="str">
        <f t="shared" si="174"/>
        <v>N/A</v>
      </c>
      <c r="DA396" s="211" t="str">
        <f t="shared" si="175"/>
        <v>N/A</v>
      </c>
      <c r="DB396" s="211" t="str">
        <f t="shared" si="176"/>
        <v>N/A</v>
      </c>
      <c r="DC396" s="211" t="str">
        <f t="shared" si="177"/>
        <v>N/A</v>
      </c>
      <c r="DD396" s="211" t="str">
        <f t="shared" si="178"/>
        <v>N/A</v>
      </c>
      <c r="DE396" s="211" t="str">
        <f t="shared" si="179"/>
        <v>N/A</v>
      </c>
      <c r="DF396" s="211" t="str">
        <f t="shared" si="180"/>
        <v xml:space="preserve">​La Delegada para la Función Jurisdiccional y de Conciliación, en cumplimiento de sus funciones  procedió a convocar de manera virtual, por llamada, por correos para citar a las 7 jornadas de conciliación extrajudicial en derecho, las cuales se realizaron  en la modalidad presencial y/o virtual con la red de prestadoras de servicios de salud , se dio cumplimento a cabalidad con los requisitos exigidos para la  celebración de audiencias de conciliación extrajudicial en derecho y trámites conciliatorios,  evidenciado que el proceso fue útil para la continuidad de la gestión de conciliación, la recuperación  del flujo los recursos independientemente de su monto, permitió establecer acercamientos entre las  partes, quienes se comprometieron a aclarar y depurar las cuentas, realizar trámites de auditoría y de  liquidación de contratos, verificar el estado de glosas y devoluciones; entre otras, de manera virtual, a  través de correos electrónicos, llamadas telefónicas y/o reuniones vía Skype, con el fin de determinar  la deuda real y establecer posibles acuerdos de pago, logrando uno de losl objetivos primordiales de la DJFC. 
</v>
      </c>
    </row>
    <row r="397" spans="1:110" ht="64.5" customHeight="1">
      <c r="A397" s="349" t="s">
        <v>317</v>
      </c>
      <c r="B397" s="209" t="s">
        <v>149</v>
      </c>
      <c r="C397" s="209" t="s">
        <v>277</v>
      </c>
      <c r="D397" s="209" t="s">
        <v>696</v>
      </c>
      <c r="E397" s="209" t="s">
        <v>697</v>
      </c>
      <c r="F397" s="349" t="s">
        <v>698</v>
      </c>
      <c r="G397" s="209" t="s">
        <v>178</v>
      </c>
      <c r="H397" s="243">
        <v>1</v>
      </c>
      <c r="I397" s="323">
        <v>6</v>
      </c>
      <c r="J397" s="323">
        <v>6</v>
      </c>
      <c r="K397" s="290">
        <v>1</v>
      </c>
      <c r="L397" s="209" t="s">
        <v>3272</v>
      </c>
      <c r="M397" s="209" t="b">
        <v>0</v>
      </c>
      <c r="O397" s="209" t="s">
        <v>2832</v>
      </c>
      <c r="P397" s="209" t="s">
        <v>159</v>
      </c>
      <c r="Q397" s="243" t="s">
        <v>160</v>
      </c>
      <c r="R397" s="243"/>
      <c r="S397" s="243"/>
      <c r="Z397" s="209"/>
      <c r="AA397" s="209"/>
      <c r="AB397" s="209"/>
      <c r="AH397" s="244"/>
      <c r="AI397" s="244"/>
      <c r="AJ397" s="244"/>
      <c r="AQ397" s="209"/>
      <c r="AR397" s="209"/>
      <c r="AS397" s="209"/>
      <c r="BX397" s="274"/>
      <c r="CA397" s="209"/>
      <c r="CO397" s="209" t="s">
        <v>152</v>
      </c>
      <c r="CP397" s="209" t="s">
        <v>149</v>
      </c>
      <c r="CQ397" s="209" t="s">
        <v>174</v>
      </c>
      <c r="CR397" s="209" t="s">
        <v>175</v>
      </c>
      <c r="CS397" s="209" t="s">
        <v>3155</v>
      </c>
      <c r="CT397" s="209" t="s">
        <v>174</v>
      </c>
      <c r="CU397" s="211" t="str">
        <f t="shared" si="169"/>
        <v>N/A</v>
      </c>
      <c r="CV397" s="211" t="str">
        <f t="shared" si="170"/>
        <v>N/A</v>
      </c>
      <c r="CW397" s="211" t="str">
        <f t="shared" si="171"/>
        <v>N/A</v>
      </c>
      <c r="CX397" s="211" t="str">
        <f t="shared" si="172"/>
        <v>N/A</v>
      </c>
      <c r="CY397" s="211" t="str">
        <f t="shared" si="173"/>
        <v>N/A</v>
      </c>
      <c r="CZ397" s="211" t="str">
        <f t="shared" si="174"/>
        <v>N/A</v>
      </c>
      <c r="DA397" s="211" t="str">
        <f t="shared" si="175"/>
        <v>N/A</v>
      </c>
      <c r="DB397" s="211" t="str">
        <f t="shared" si="176"/>
        <v>N/A</v>
      </c>
      <c r="DC397" s="211" t="str">
        <f t="shared" si="177"/>
        <v>N/A</v>
      </c>
      <c r="DD397" s="211" t="str">
        <f t="shared" si="178"/>
        <v>N/A</v>
      </c>
      <c r="DE397" s="211" t="str">
        <f t="shared" si="179"/>
        <v>N/A</v>
      </c>
      <c r="DF397" s="211" t="str">
        <f t="shared" si="180"/>
        <v xml:space="preserve">​En el cuarto trimestre del 2025, la Dirección de conciliación programó y surtió un total de audiencias de conciliación extrajudiciales en Derecho 2.737, de las cuales 879 se atendieron en Sede Bogotá de manera virtual, como resultado del reparto ordinario, aplazamientos, reprogramaciones y/o suspensiones y 1.858 en el desarrollo de 5 jornadas de conciliación adelantadas en territorio. 
</v>
      </c>
    </row>
    <row r="398" spans="1:110" ht="64.5" customHeight="1">
      <c r="A398" s="349" t="s">
        <v>317</v>
      </c>
      <c r="B398" s="209" t="s">
        <v>149</v>
      </c>
      <c r="C398" s="209" t="s">
        <v>282</v>
      </c>
      <c r="D398" s="209" t="s">
        <v>699</v>
      </c>
      <c r="E398" s="209" t="s">
        <v>700</v>
      </c>
      <c r="F398" s="349" t="s">
        <v>701</v>
      </c>
      <c r="G398" s="209" t="s">
        <v>178</v>
      </c>
      <c r="H398" s="243">
        <v>1</v>
      </c>
      <c r="I398" s="323">
        <v>58</v>
      </c>
      <c r="J398" s="323">
        <v>58</v>
      </c>
      <c r="K398" s="290">
        <v>1</v>
      </c>
      <c r="L398" s="209" t="s">
        <v>3273</v>
      </c>
      <c r="M398" s="209" t="b">
        <v>0</v>
      </c>
      <c r="O398" s="209" t="s">
        <v>2832</v>
      </c>
      <c r="P398" s="209" t="s">
        <v>159</v>
      </c>
      <c r="Q398" s="243" t="s">
        <v>160</v>
      </c>
      <c r="R398" s="243"/>
      <c r="S398" s="243"/>
      <c r="Z398" s="209"/>
      <c r="AA398" s="209"/>
      <c r="AB398" s="209"/>
      <c r="AH398" s="244"/>
      <c r="AI398" s="244"/>
      <c r="AJ398" s="244"/>
      <c r="AQ398" s="209"/>
      <c r="AR398" s="209"/>
      <c r="AS398" s="209"/>
      <c r="BX398" s="274"/>
      <c r="CA398" s="209"/>
      <c r="CO398" s="209" t="s">
        <v>152</v>
      </c>
      <c r="CP398" s="209" t="s">
        <v>149</v>
      </c>
      <c r="CQ398" s="209" t="s">
        <v>183</v>
      </c>
      <c r="CR398" s="209" t="s">
        <v>184</v>
      </c>
      <c r="CS398" s="209" t="s">
        <v>3156</v>
      </c>
      <c r="CT398" s="209" t="s">
        <v>183</v>
      </c>
      <c r="CU398" s="211" t="str">
        <f t="shared" si="169"/>
        <v>N/A</v>
      </c>
      <c r="CV398" s="211" t="str">
        <f t="shared" si="170"/>
        <v>N/A</v>
      </c>
      <c r="CW398" s="211" t="str">
        <f t="shared" si="171"/>
        <v>N/A</v>
      </c>
      <c r="CX398" s="211" t="str">
        <f t="shared" si="172"/>
        <v>N/A</v>
      </c>
      <c r="CY398" s="211" t="str">
        <f t="shared" si="173"/>
        <v>N/A</v>
      </c>
      <c r="CZ398" s="211" t="str">
        <f t="shared" si="174"/>
        <v>N/A</v>
      </c>
      <c r="DA398" s="211" t="str">
        <f t="shared" si="175"/>
        <v>N/A</v>
      </c>
      <c r="DB398" s="211" t="str">
        <f t="shared" si="176"/>
        <v>N/A</v>
      </c>
      <c r="DC398" s="211" t="str">
        <f t="shared" si="177"/>
        <v>N/A</v>
      </c>
      <c r="DD398" s="211" t="str">
        <f t="shared" si="178"/>
        <v>N/A</v>
      </c>
      <c r="DE398" s="211" t="str">
        <f t="shared" si="179"/>
        <v>N/A</v>
      </c>
      <c r="DF398" s="211" t="str">
        <f t="shared" si="180"/>
        <v xml:space="preserve">Se realizaron juiciosa y adecuadamente las prejornadas y las jornadas de CONCILIACION , en estas se concilian los valores determinados y se llegan a acuerdos de pago que prestan merito ejecutivo y hacen transito a cosa juzgada. Una vez el documento es exigible, los actores participes del proceso conciliatorio informan si las obligaciones consignadas dentro del acta de conciliacion se cumplieron.
Para el caso en particular se observa que en el ultimo trimestre el cumplimiento de los acuerdos conciliatorios segun lo informado por los actores corresponde al 99.02% de las actas de conciliacion.    
</v>
      </c>
    </row>
    <row r="399" spans="1:110" ht="64.5" customHeight="1">
      <c r="A399" s="349" t="s">
        <v>317</v>
      </c>
      <c r="B399" s="209" t="s">
        <v>149</v>
      </c>
      <c r="C399" s="209" t="s">
        <v>475</v>
      </c>
      <c r="D399" s="209" t="s">
        <v>718</v>
      </c>
      <c r="E399" s="209" t="s">
        <v>719</v>
      </c>
      <c r="F399" s="349" t="s">
        <v>720</v>
      </c>
      <c r="G399" s="209" t="s">
        <v>2807</v>
      </c>
      <c r="H399" s="243">
        <v>1</v>
      </c>
      <c r="I399" s="323">
        <v>524</v>
      </c>
      <c r="J399" s="323">
        <v>524</v>
      </c>
      <c r="K399" s="290">
        <v>1</v>
      </c>
      <c r="L399" s="209" t="s">
        <v>3275</v>
      </c>
      <c r="M399" s="209" t="b">
        <v>0</v>
      </c>
      <c r="O399" s="209" t="s">
        <v>2832</v>
      </c>
      <c r="P399" s="209" t="s">
        <v>159</v>
      </c>
      <c r="Q399" s="243" t="s">
        <v>160</v>
      </c>
      <c r="R399" s="243"/>
      <c r="S399" s="243"/>
      <c r="Z399" s="209"/>
      <c r="AA399" s="209"/>
      <c r="AB399" s="209"/>
      <c r="AH399" s="244"/>
      <c r="AI399" s="244"/>
      <c r="AJ399" s="244"/>
      <c r="AQ399" s="209"/>
      <c r="AR399" s="209"/>
      <c r="AS399" s="209"/>
      <c r="BX399" s="274"/>
      <c r="CA399" s="209"/>
      <c r="CO399" s="209" t="s">
        <v>152</v>
      </c>
      <c r="CP399" s="209" t="s">
        <v>149</v>
      </c>
      <c r="CQ399" s="209" t="s">
        <v>153</v>
      </c>
      <c r="CR399" s="209" t="s">
        <v>154</v>
      </c>
      <c r="CS399" s="209" t="s">
        <v>3157</v>
      </c>
      <c r="CT399" s="209" t="s">
        <v>153</v>
      </c>
      <c r="CU399" s="211" t="str">
        <f t="shared" si="169"/>
        <v>N/A</v>
      </c>
      <c r="CV399" s="211" t="str">
        <f t="shared" si="170"/>
        <v>N/A</v>
      </c>
      <c r="CW399" s="211" t="str">
        <f t="shared" si="171"/>
        <v>N/A</v>
      </c>
      <c r="CX399" s="211" t="str">
        <f t="shared" si="172"/>
        <v>N/A</v>
      </c>
      <c r="CY399" s="211" t="str">
        <f t="shared" si="173"/>
        <v>N/A</v>
      </c>
      <c r="CZ399" s="211" t="str">
        <f t="shared" si="174"/>
        <v>N/A</v>
      </c>
      <c r="DA399" s="211" t="str">
        <f t="shared" si="175"/>
        <v>N/A</v>
      </c>
      <c r="DB399" s="211" t="str">
        <f t="shared" si="176"/>
        <v>N/A</v>
      </c>
      <c r="DC399" s="211" t="str">
        <f t="shared" si="177"/>
        <v>N/A</v>
      </c>
      <c r="DD399" s="211" t="str">
        <f t="shared" si="178"/>
        <v>N/A</v>
      </c>
      <c r="DE399" s="211" t="str">
        <f t="shared" si="179"/>
        <v>N/A</v>
      </c>
      <c r="DF399" s="211" t="str">
        <f t="shared" si="180"/>
        <v xml:space="preserve">​Con las actividades realizadas por el area encargada, se hizo una adecuada intervencion de los 30 procesos de  GLOSAS y recobros; a pesar de que estos tienen la caracteristica de ser muy complejos en tiempos de oportunidad ya que muchos son enviados a pruebas a otras estancias judiciales ( tribunales etc ) y pueden afectar lo que se llama la MORA JUDICIAL normal en nuestro medio , con lo cual  se van gestionando durante los periodos de seguimiento, otros expedientes en algun grado de avance para ir sometiendo la mora judicial
</v>
      </c>
    </row>
    <row r="400" spans="1:110" ht="64.5" customHeight="1">
      <c r="A400" s="349" t="s">
        <v>317</v>
      </c>
      <c r="B400" s="209" t="s">
        <v>149</v>
      </c>
      <c r="C400" s="209" t="s">
        <v>513</v>
      </c>
      <c r="D400" s="209" t="s">
        <v>711</v>
      </c>
      <c r="E400" s="209" t="s">
        <v>712</v>
      </c>
      <c r="F400" s="349" t="s">
        <v>713</v>
      </c>
      <c r="G400" s="209" t="s">
        <v>178</v>
      </c>
      <c r="H400" s="243">
        <v>1</v>
      </c>
      <c r="I400" s="323">
        <v>2</v>
      </c>
      <c r="J400" s="323">
        <v>2</v>
      </c>
      <c r="K400" s="290">
        <v>1</v>
      </c>
      <c r="L400" s="209" t="s">
        <v>3281</v>
      </c>
      <c r="M400" s="209" t="b">
        <v>0</v>
      </c>
      <c r="O400" s="209" t="s">
        <v>2832</v>
      </c>
      <c r="P400" s="209" t="s">
        <v>159</v>
      </c>
      <c r="Q400" s="243" t="s">
        <v>160</v>
      </c>
      <c r="R400" s="243"/>
      <c r="S400" s="243"/>
      <c r="Z400" s="209"/>
      <c r="AA400" s="209"/>
      <c r="AB400" s="209"/>
      <c r="AH400" s="244"/>
      <c r="AI400" s="244"/>
      <c r="AJ400" s="244"/>
      <c r="AQ400" s="209"/>
      <c r="AR400" s="209"/>
      <c r="AS400" s="209"/>
      <c r="BX400" s="274"/>
      <c r="CA400" s="209"/>
      <c r="CO400" s="209" t="s">
        <v>152</v>
      </c>
      <c r="CP400" s="209" t="s">
        <v>149</v>
      </c>
      <c r="CQ400" s="209" t="s">
        <v>165</v>
      </c>
      <c r="CR400" s="209" t="s">
        <v>166</v>
      </c>
      <c r="CS400" s="209" t="s">
        <v>3158</v>
      </c>
      <c r="CT400" s="209" t="s">
        <v>165</v>
      </c>
      <c r="CU400" s="211" t="str">
        <f t="shared" si="169"/>
        <v>N/A</v>
      </c>
      <c r="CV400" s="211" t="str">
        <f t="shared" si="170"/>
        <v>N/A</v>
      </c>
      <c r="CW400" s="211" t="str">
        <f t="shared" si="171"/>
        <v>N/A</v>
      </c>
      <c r="CX400" s="211" t="str">
        <f t="shared" si="172"/>
        <v>N/A</v>
      </c>
      <c r="CY400" s="211" t="str">
        <f t="shared" si="173"/>
        <v>N/A</v>
      </c>
      <c r="CZ400" s="211" t="str">
        <f t="shared" si="174"/>
        <v>N/A</v>
      </c>
      <c r="DA400" s="211" t="str">
        <f t="shared" si="175"/>
        <v>N/A</v>
      </c>
      <c r="DB400" s="211" t="str">
        <f t="shared" si="176"/>
        <v>N/A</v>
      </c>
      <c r="DC400" s="211" t="str">
        <f t="shared" si="177"/>
        <v>N/A</v>
      </c>
      <c r="DD400" s="211" t="str">
        <f t="shared" si="178"/>
        <v>N/A</v>
      </c>
      <c r="DE400" s="211" t="str">
        <f t="shared" si="179"/>
        <v>N/A</v>
      </c>
      <c r="DF400" s="211" t="str">
        <f t="shared" si="180"/>
        <v xml:space="preserve">Con la optimizacion del recurso humano en tiempos y movimientos para el estudio de este tipo de expedientes se puede lograr la meta establecida , aun asi la demanda de expedientes o quejas de este tipo son altas y el area si requiere el apoyo de nuevos profesionales en derecho para lograr mas aun la posiblidad de mayor satisfacción del usuario en oportunidad de entrega de solución juridica a sus requerimientos . 
</v>
      </c>
    </row>
    <row r="401" spans="1:110" ht="64.5" customHeight="1">
      <c r="A401" s="349" t="s">
        <v>317</v>
      </c>
      <c r="B401" s="209" t="s">
        <v>149</v>
      </c>
      <c r="C401" s="209" t="s">
        <v>336</v>
      </c>
      <c r="D401" s="209" t="s">
        <v>337</v>
      </c>
      <c r="E401" s="209" t="s">
        <v>338</v>
      </c>
      <c r="F401" s="349" t="s">
        <v>339</v>
      </c>
      <c r="G401" s="209" t="s">
        <v>178</v>
      </c>
      <c r="H401" s="243">
        <v>1</v>
      </c>
      <c r="I401" s="323">
        <v>74</v>
      </c>
      <c r="J401" s="323">
        <v>74</v>
      </c>
      <c r="K401" s="290">
        <v>1</v>
      </c>
      <c r="L401" s="209" t="s">
        <v>3276</v>
      </c>
      <c r="M401" s="209" t="b">
        <v>0</v>
      </c>
      <c r="O401" s="209" t="s">
        <v>2832</v>
      </c>
      <c r="P401" s="209" t="s">
        <v>159</v>
      </c>
      <c r="Q401" s="243" t="s">
        <v>160</v>
      </c>
      <c r="R401" s="243"/>
      <c r="S401" s="243"/>
      <c r="Z401" s="209"/>
      <c r="AA401" s="209"/>
      <c r="AB401" s="209"/>
      <c r="AH401" s="244"/>
      <c r="AI401" s="244"/>
      <c r="AJ401" s="244"/>
      <c r="AQ401" s="209"/>
      <c r="AR401" s="209"/>
      <c r="AS401" s="209"/>
      <c r="BX401" s="274"/>
      <c r="CA401" s="209"/>
      <c r="CO401" s="209" t="s">
        <v>152</v>
      </c>
      <c r="CP401" s="209" t="s">
        <v>149</v>
      </c>
      <c r="CQ401" s="209" t="s">
        <v>551</v>
      </c>
      <c r="CR401" s="209" t="s">
        <v>652</v>
      </c>
      <c r="CS401" s="209" t="s">
        <v>3159</v>
      </c>
      <c r="CT401" s="209" t="s">
        <v>551</v>
      </c>
      <c r="CU401" s="211" t="str">
        <f t="shared" si="169"/>
        <v>N/A</v>
      </c>
      <c r="CV401" s="211" t="str">
        <f t="shared" si="170"/>
        <v>N/A</v>
      </c>
      <c r="CW401" s="211" t="str">
        <f t="shared" si="171"/>
        <v>N/A</v>
      </c>
      <c r="CX401" s="211" t="str">
        <f t="shared" si="172"/>
        <v>N/A</v>
      </c>
      <c r="CY401" s="211" t="str">
        <f t="shared" si="173"/>
        <v>N/A</v>
      </c>
      <c r="CZ401" s="211" t="str">
        <f t="shared" si="174"/>
        <v>N/A</v>
      </c>
      <c r="DA401" s="211" t="str">
        <f t="shared" si="175"/>
        <v>N/A</v>
      </c>
      <c r="DB401" s="211" t="str">
        <f t="shared" si="176"/>
        <v>N/A</v>
      </c>
      <c r="DC401" s="211" t="str">
        <f t="shared" si="177"/>
        <v>N/A</v>
      </c>
      <c r="DD401" s="211" t="str">
        <f t="shared" si="178"/>
        <v>N/A</v>
      </c>
      <c r="DE401" s="211" t="str">
        <f t="shared" si="179"/>
        <v>N/A</v>
      </c>
      <c r="DF401" s="211" t="str">
        <f t="shared" si="180"/>
        <v xml:space="preserve">​Area con mayor numero de estudios a desarrollar en demandas judiciales , pero con un equipo humano fortalecido en numero por una contratación de (02) profesionales en el segundo semestre del año que presto el apoyo para el logro de la meta. Es de comentar que se van a requerir mas profesionales ya que las demandas van en aumento por el reconocimiento en el sector de la DFJC como juez de la salud.
</v>
      </c>
    </row>
    <row r="402" spans="1:110" ht="64.5" customHeight="1">
      <c r="A402" s="349" t="s">
        <v>317</v>
      </c>
      <c r="B402" s="209" t="s">
        <v>149</v>
      </c>
      <c r="C402" s="209" t="s">
        <v>342</v>
      </c>
      <c r="D402" s="209" t="s">
        <v>343</v>
      </c>
      <c r="E402" s="209" t="s">
        <v>1403</v>
      </c>
      <c r="F402" s="349" t="s">
        <v>1404</v>
      </c>
      <c r="G402" s="209" t="s">
        <v>178</v>
      </c>
      <c r="H402" s="243">
        <v>1</v>
      </c>
      <c r="I402" s="323">
        <v>83</v>
      </c>
      <c r="J402" s="323">
        <v>83</v>
      </c>
      <c r="K402" s="290">
        <v>1</v>
      </c>
      <c r="L402" s="209" t="s">
        <v>3277</v>
      </c>
      <c r="M402" s="209" t="b">
        <v>0</v>
      </c>
      <c r="O402" s="209" t="s">
        <v>2832</v>
      </c>
      <c r="P402" s="209" t="s">
        <v>159</v>
      </c>
      <c r="Q402" s="243" t="s">
        <v>160</v>
      </c>
      <c r="R402" s="243"/>
      <c r="S402" s="243"/>
      <c r="Z402" s="209"/>
      <c r="AA402" s="209"/>
      <c r="AB402" s="209"/>
      <c r="AH402" s="244"/>
      <c r="AI402" s="244"/>
      <c r="AJ402" s="244"/>
      <c r="AQ402" s="209"/>
      <c r="AR402" s="209"/>
      <c r="AS402" s="209"/>
      <c r="BX402" s="274"/>
      <c r="CA402" s="209"/>
      <c r="CO402" s="209" t="s">
        <v>152</v>
      </c>
      <c r="CP402" s="209" t="s">
        <v>149</v>
      </c>
      <c r="CQ402" s="209" t="s">
        <v>556</v>
      </c>
      <c r="CR402" s="209" t="s">
        <v>668</v>
      </c>
      <c r="CS402" s="209" t="s">
        <v>3160</v>
      </c>
      <c r="CT402" s="209" t="s">
        <v>556</v>
      </c>
      <c r="CU402" s="211" t="str">
        <f t="shared" si="169"/>
        <v>N/A</v>
      </c>
      <c r="CV402" s="211" t="str">
        <f t="shared" si="170"/>
        <v>N/A</v>
      </c>
      <c r="CW402" s="211" t="str">
        <f t="shared" si="171"/>
        <v>N/A</v>
      </c>
      <c r="CX402" s="211" t="str">
        <f t="shared" si="172"/>
        <v>N/A</v>
      </c>
      <c r="CY402" s="211" t="str">
        <f t="shared" si="173"/>
        <v>N/A</v>
      </c>
      <c r="CZ402" s="211" t="str">
        <f t="shared" si="174"/>
        <v>N/A</v>
      </c>
      <c r="DA402" s="211" t="str">
        <f t="shared" si="175"/>
        <v>N/A</v>
      </c>
      <c r="DB402" s="211" t="str">
        <f t="shared" si="176"/>
        <v>N/A</v>
      </c>
      <c r="DC402" s="211" t="str">
        <f t="shared" si="177"/>
        <v>N/A</v>
      </c>
      <c r="DD402" s="211" t="str">
        <f t="shared" si="178"/>
        <v>N/A</v>
      </c>
      <c r="DE402" s="211" t="str">
        <f t="shared" si="179"/>
        <v>N/A</v>
      </c>
      <c r="DF402" s="211" t="str">
        <f t="shared" si="180"/>
        <v xml:space="preserve">​Dentro de las actividades que realiza la Delegada en territorios en las acciones de prejornadas de conciliación , se realiza socialización de las funciones Jurisdiccional y actos conciliatorios con la normatividad que las ampara y asi se pondera de la mejor manera la presencia de la Supersalud con los actores del SGSSS involucrados en el proceso conciliatorio. Estas actividades de socializan siempre que se realizan las prejornadas y obviamente se refuerzan en las Jornadas Cociliatorias como parte de las actividades de dialogo con dichos actores.  Se anexa un informe realizado por al Coordinadora de Glosas de la Direccion Jurisdiccional donde ella siempre via teams o en su defecto con el apoyo del personal profesional de Conciliaciones realiza socializaciones de las funciones de la DFJC. 
Con la oferta de programas o campañas desconcentradas de promoción de derechos y acceso a la justicia en salud, se realizaron las prejornadas con el objetivo de cumplir con la finalidad del proceso y tambien con el fin de proteger y promover el cumplimiento igualitario de los derechos de las personas en el sistema general de salud, y el flujo adecuado de los recursos del SGSSS con oportunidad, eficiencia y equidad, en el marco de los conflictos derivados de las facturación en salud que presenten inconformidades ( Art.  de la Ley 1949 de 2019),  desplegando siempre la informacion para que los actores accedan a la función jurisdiccional donde se les explica a los asistentes los asuntos que conoce la función jurisdiccional, en especial la competencia consagrada en el literal f) de la Ley 1949 de 2019, cuando se suscita ese tipo deconflictos  y como se presenta la respectiva demanda ante el juez técnico de la salud.
</v>
      </c>
    </row>
    <row r="403" spans="1:110" ht="64.5" customHeight="1">
      <c r="A403" s="349" t="s">
        <v>317</v>
      </c>
      <c r="B403" s="209" t="s">
        <v>149</v>
      </c>
      <c r="C403" s="209" t="s">
        <v>318</v>
      </c>
      <c r="D403" s="209" t="s">
        <v>319</v>
      </c>
      <c r="E403" s="209" t="s">
        <v>320</v>
      </c>
      <c r="F403" s="349" t="s">
        <v>321</v>
      </c>
      <c r="G403" s="209" t="s">
        <v>157</v>
      </c>
      <c r="H403" s="243">
        <v>4</v>
      </c>
      <c r="I403" s="323">
        <v>4</v>
      </c>
      <c r="J403" s="323">
        <v>4</v>
      </c>
      <c r="K403" s="290">
        <v>1</v>
      </c>
      <c r="L403" s="209" t="s">
        <v>3279</v>
      </c>
      <c r="M403" s="209" t="b">
        <v>0</v>
      </c>
      <c r="O403" s="209" t="s">
        <v>2832</v>
      </c>
      <c r="P403" s="209" t="s">
        <v>159</v>
      </c>
      <c r="Q403" s="243" t="s">
        <v>160</v>
      </c>
      <c r="R403" s="243"/>
      <c r="S403" s="243"/>
      <c r="Z403" s="209"/>
      <c r="AA403" s="209"/>
      <c r="AB403" s="209"/>
      <c r="AH403" s="244"/>
      <c r="AI403" s="244"/>
      <c r="AJ403" s="244"/>
      <c r="AQ403" s="209"/>
      <c r="AR403" s="209"/>
      <c r="AS403" s="209"/>
      <c r="BX403" s="274"/>
      <c r="CA403" s="209"/>
      <c r="CO403" s="209" t="s">
        <v>190</v>
      </c>
      <c r="CP403" s="209" t="s">
        <v>149</v>
      </c>
      <c r="CQ403" s="209" t="s">
        <v>480</v>
      </c>
      <c r="CR403" s="209" t="s">
        <v>481</v>
      </c>
      <c r="CS403" s="209" t="s">
        <v>3330</v>
      </c>
      <c r="CT403" s="209" t="s">
        <v>480</v>
      </c>
      <c r="CU403" s="211" t="str">
        <f t="shared" si="169"/>
        <v>N/A</v>
      </c>
      <c r="CV403" s="211" t="str">
        <f t="shared" si="170"/>
        <v>N/A</v>
      </c>
      <c r="CW403" s="211" t="str">
        <f t="shared" si="171"/>
        <v>N/A</v>
      </c>
      <c r="CX403" s="211" t="str">
        <f t="shared" si="172"/>
        <v>N/A</v>
      </c>
      <c r="CY403" s="211" t="str">
        <f t="shared" si="173"/>
        <v>N/A</v>
      </c>
      <c r="CZ403" s="211" t="str">
        <f t="shared" si="174"/>
        <v>N/A</v>
      </c>
      <c r="DA403" s="211" t="str">
        <f t="shared" si="175"/>
        <v>N/A</v>
      </c>
      <c r="DB403" s="211" t="str">
        <f t="shared" si="176"/>
        <v>N/A</v>
      </c>
      <c r="DC403" s="211" t="str">
        <f t="shared" si="177"/>
        <v>N/A</v>
      </c>
      <c r="DD403" s="211" t="str">
        <f t="shared" si="178"/>
        <v>N/A</v>
      </c>
      <c r="DE403" s="211" t="str">
        <f t="shared" si="179"/>
        <v>N/A</v>
      </c>
      <c r="DF403" s="211" t="str">
        <f t="shared" si="180"/>
        <v xml:space="preserve">​La Dirección de Talento Humano informa que, durante el cuarto trimestre del año, se tenían programadas 22 actividades en el Plan Estrataegico de Talento Humano, las cuales fueron ejecutadas. Esto representa un avance del 100% respecto a la meta establecida para el periodo.
</v>
      </c>
    </row>
    <row r="404" spans="1:110" ht="64.5" customHeight="1">
      <c r="A404" s="349" t="s">
        <v>317</v>
      </c>
      <c r="B404" s="209" t="s">
        <v>149</v>
      </c>
      <c r="C404" s="209" t="s">
        <v>515</v>
      </c>
      <c r="D404" s="209" t="s">
        <v>734</v>
      </c>
      <c r="E404" s="209" t="s">
        <v>735</v>
      </c>
      <c r="F404" s="349" t="s">
        <v>736</v>
      </c>
      <c r="G404" s="209" t="s">
        <v>178</v>
      </c>
      <c r="H404" s="243">
        <v>1</v>
      </c>
      <c r="I404" s="323">
        <v>3</v>
      </c>
      <c r="J404" s="323">
        <v>3</v>
      </c>
      <c r="K404" s="290">
        <v>1</v>
      </c>
      <c r="L404" s="209" t="s">
        <v>3282</v>
      </c>
      <c r="M404" s="209" t="b">
        <v>0</v>
      </c>
      <c r="O404" s="209" t="s">
        <v>2832</v>
      </c>
      <c r="P404" s="209" t="s">
        <v>159</v>
      </c>
      <c r="Q404" s="243" t="s">
        <v>160</v>
      </c>
      <c r="R404" s="243"/>
      <c r="S404" s="243"/>
      <c r="Z404" s="209"/>
      <c r="AA404" s="209"/>
      <c r="AB404" s="209"/>
      <c r="AH404" s="244"/>
      <c r="AI404" s="244"/>
      <c r="AJ404" s="244"/>
      <c r="AQ404" s="209"/>
      <c r="AR404" s="209"/>
      <c r="AS404" s="209"/>
      <c r="BX404" s="274"/>
      <c r="CA404" s="209"/>
      <c r="CO404" s="209" t="s">
        <v>190</v>
      </c>
      <c r="CP404" s="209" t="s">
        <v>149</v>
      </c>
      <c r="CQ404" s="209" t="s">
        <v>486</v>
      </c>
      <c r="CR404" s="209" t="s">
        <v>487</v>
      </c>
      <c r="CS404" s="209" t="s">
        <v>3331</v>
      </c>
      <c r="CT404" s="209" t="s">
        <v>486</v>
      </c>
      <c r="CU404" s="211" t="str">
        <f t="shared" si="169"/>
        <v>N/A</v>
      </c>
      <c r="CV404" s="211" t="str">
        <f t="shared" si="170"/>
        <v>N/A</v>
      </c>
      <c r="CW404" s="211" t="str">
        <f t="shared" si="171"/>
        <v>N/A</v>
      </c>
      <c r="CX404" s="211" t="str">
        <f t="shared" si="172"/>
        <v>N/A</v>
      </c>
      <c r="CY404" s="211" t="str">
        <f t="shared" si="173"/>
        <v>N/A</v>
      </c>
      <c r="CZ404" s="211" t="str">
        <f t="shared" si="174"/>
        <v>N/A</v>
      </c>
      <c r="DA404" s="211" t="str">
        <f t="shared" si="175"/>
        <v>N/A</v>
      </c>
      <c r="DB404" s="211" t="str">
        <f t="shared" si="176"/>
        <v>N/A</v>
      </c>
      <c r="DC404" s="211" t="str">
        <f t="shared" si="177"/>
        <v>N/A</v>
      </c>
      <c r="DD404" s="211" t="str">
        <f t="shared" si="178"/>
        <v>N/A</v>
      </c>
      <c r="DE404" s="211" t="str">
        <f t="shared" si="179"/>
        <v>N/A</v>
      </c>
      <c r="DF404" s="211" t="str">
        <f t="shared" si="180"/>
        <v xml:space="preserve">​La Dirección de Talento Humano informa que, durante el último trimestre del año, se tenían programadas 52 actividades en el Plan Institucional de Capacitación, las cuales fueron ejecutadas eficientemente. Esto representa un avance del 100% respecto a la meta establecida para el periodo.
</v>
      </c>
    </row>
    <row r="405" spans="1:110" ht="64.5" customHeight="1">
      <c r="A405" s="349" t="s">
        <v>317</v>
      </c>
      <c r="B405" s="209" t="s">
        <v>149</v>
      </c>
      <c r="C405" s="209" t="s">
        <v>330</v>
      </c>
      <c r="D405" s="209" t="s">
        <v>331</v>
      </c>
      <c r="E405" s="209" t="s">
        <v>332</v>
      </c>
      <c r="F405" s="349" t="s">
        <v>333</v>
      </c>
      <c r="G405" s="209" t="s">
        <v>157</v>
      </c>
      <c r="H405" s="243">
        <v>9</v>
      </c>
      <c r="I405" s="323">
        <v>11</v>
      </c>
      <c r="J405" s="323">
        <v>9</v>
      </c>
      <c r="K405" s="288">
        <f>+I405/J405</f>
        <v>1.2222222222222223</v>
      </c>
      <c r="L405" s="209" t="s">
        <v>3278</v>
      </c>
      <c r="M405" s="209" t="b">
        <v>0</v>
      </c>
      <c r="O405" s="209" t="s">
        <v>2832</v>
      </c>
      <c r="P405" s="209" t="s">
        <v>159</v>
      </c>
      <c r="Q405" s="243" t="s">
        <v>160</v>
      </c>
      <c r="R405" s="243"/>
      <c r="S405" s="243"/>
      <c r="Z405" s="209"/>
      <c r="AA405" s="209"/>
      <c r="AB405" s="209"/>
      <c r="AH405" s="244"/>
      <c r="AI405" s="244"/>
      <c r="AJ405" s="244"/>
      <c r="AQ405" s="209"/>
      <c r="AR405" s="209"/>
      <c r="AS405" s="209"/>
      <c r="BX405" s="274"/>
      <c r="CA405" s="209"/>
      <c r="CO405" s="209" t="s">
        <v>190</v>
      </c>
      <c r="CP405" s="209" t="s">
        <v>149</v>
      </c>
      <c r="CQ405" s="209" t="s">
        <v>492</v>
      </c>
      <c r="CR405" s="209" t="s">
        <v>493</v>
      </c>
      <c r="CS405" s="209" t="s">
        <v>3332</v>
      </c>
      <c r="CT405" s="209" t="s">
        <v>492</v>
      </c>
      <c r="CU405" s="211" t="str">
        <f t="shared" si="169"/>
        <v>N/A</v>
      </c>
      <c r="CV405" s="211" t="str">
        <f t="shared" si="170"/>
        <v>N/A</v>
      </c>
      <c r="CW405" s="211" t="str">
        <f t="shared" si="171"/>
        <v>N/A</v>
      </c>
      <c r="CX405" s="211" t="str">
        <f t="shared" si="172"/>
        <v>N/A</v>
      </c>
      <c r="CY405" s="211" t="str">
        <f t="shared" si="173"/>
        <v>N/A</v>
      </c>
      <c r="CZ405" s="211" t="str">
        <f t="shared" si="174"/>
        <v>N/A</v>
      </c>
      <c r="DA405" s="211" t="str">
        <f t="shared" si="175"/>
        <v>N/A</v>
      </c>
      <c r="DB405" s="211" t="str">
        <f t="shared" si="176"/>
        <v>N/A</v>
      </c>
      <c r="DC405" s="211" t="str">
        <f t="shared" si="177"/>
        <v>N/A</v>
      </c>
      <c r="DD405" s="211" t="str">
        <f t="shared" si="178"/>
        <v>N/A</v>
      </c>
      <c r="DE405" s="211" t="str">
        <f t="shared" si="179"/>
        <v>N/A</v>
      </c>
      <c r="DF405" s="211" t="str">
        <f t="shared" si="180"/>
        <v xml:space="preserve">​La Dirección de Talento Humano informa que, durante el cuarto trimestre del año, se tenían programadas 35 actividades en el Plan de Bienestar Social e Incentivos, las cuales fueron ejecutadas efectivamente. Esto representa un avance del 100% respecto a la meta establecida para el periodo.
</v>
      </c>
    </row>
    <row r="406" spans="1:110" ht="64.5" customHeight="1">
      <c r="A406" s="349" t="s">
        <v>265</v>
      </c>
      <c r="B406" s="209" t="s">
        <v>149</v>
      </c>
      <c r="C406" s="209" t="s">
        <v>266</v>
      </c>
      <c r="D406" s="209" t="s">
        <v>267</v>
      </c>
      <c r="E406" s="209" t="s">
        <v>268</v>
      </c>
      <c r="F406" s="349" t="s">
        <v>269</v>
      </c>
      <c r="G406" s="209" t="s">
        <v>157</v>
      </c>
      <c r="H406" s="243">
        <v>1</v>
      </c>
      <c r="I406" s="323">
        <v>1</v>
      </c>
      <c r="J406" s="323">
        <v>1</v>
      </c>
      <c r="K406" s="290">
        <v>1</v>
      </c>
      <c r="L406" s="209" t="s">
        <v>3283</v>
      </c>
      <c r="M406" s="209" t="b">
        <v>0</v>
      </c>
      <c r="O406" s="209" t="s">
        <v>2832</v>
      </c>
      <c r="P406" s="209" t="s">
        <v>159</v>
      </c>
      <c r="Q406" s="243" t="s">
        <v>160</v>
      </c>
      <c r="R406" s="243"/>
      <c r="S406" s="243"/>
      <c r="Z406" s="209"/>
      <c r="AA406" s="209"/>
      <c r="AB406" s="209"/>
      <c r="AH406" s="244"/>
      <c r="AI406" s="244"/>
      <c r="AJ406" s="244"/>
      <c r="AQ406" s="209"/>
      <c r="AR406" s="209"/>
      <c r="AS406" s="209"/>
      <c r="BX406" s="274"/>
      <c r="CA406" s="209"/>
      <c r="CO406" s="209" t="s">
        <v>190</v>
      </c>
      <c r="CP406" s="209" t="s">
        <v>149</v>
      </c>
      <c r="CQ406" s="209" t="s">
        <v>498</v>
      </c>
      <c r="CR406" s="209" t="s">
        <v>499</v>
      </c>
      <c r="CS406" s="209" t="s">
        <v>3333</v>
      </c>
      <c r="CT406" s="209" t="s">
        <v>498</v>
      </c>
      <c r="CU406" s="211" t="str">
        <f t="shared" si="169"/>
        <v>N/A</v>
      </c>
      <c r="CV406" s="211" t="str">
        <f t="shared" si="170"/>
        <v>N/A</v>
      </c>
      <c r="CW406" s="211" t="str">
        <f t="shared" si="171"/>
        <v>N/A</v>
      </c>
      <c r="CX406" s="211" t="str">
        <f t="shared" si="172"/>
        <v>N/A</v>
      </c>
      <c r="CY406" s="211" t="str">
        <f t="shared" si="173"/>
        <v>N/A</v>
      </c>
      <c r="CZ406" s="211" t="str">
        <f t="shared" si="174"/>
        <v>N/A</v>
      </c>
      <c r="DA406" s="211" t="str">
        <f t="shared" si="175"/>
        <v>N/A</v>
      </c>
      <c r="DB406" s="211" t="str">
        <f t="shared" si="176"/>
        <v>N/A</v>
      </c>
      <c r="DC406" s="211" t="str">
        <f t="shared" si="177"/>
        <v>N/A</v>
      </c>
      <c r="DD406" s="211" t="str">
        <f t="shared" si="178"/>
        <v>N/A</v>
      </c>
      <c r="DE406" s="211" t="str">
        <f t="shared" si="179"/>
        <v>N/A</v>
      </c>
      <c r="DF406" s="211" t="str">
        <f t="shared" si="180"/>
        <v xml:space="preserve">​La Dirección de Talento Humano informa que el 01/12/2025 se solicito a la OAP la actualización del cronograma del Plan de Seguridad ysalud en el Trabajo - SST, actualizandolo a 18 actividades. En el aplicativo se observa una meta parcial de 21 actividades, por lo que se evidencia que no fue realizada por parte de la OAP la actualización  solicitada en este aplicativo, pero si fue ajustada en la matriz de PAG y en el cronograma del SST.
La Dirección de Talento Humano informa que, durante el cuarto trimestre del año, se tenían programadas 18 actividades en el Plan de SST, las cuales fueron ejecutadas efectivamente. Esto representa un avance del 100% respecto a la meta establecida para el periodo.
</v>
      </c>
    </row>
    <row r="407" spans="1:110" ht="64.5" customHeight="1">
      <c r="A407" s="349" t="s">
        <v>265</v>
      </c>
      <c r="B407" s="209" t="s">
        <v>149</v>
      </c>
      <c r="C407" s="209" t="s">
        <v>312</v>
      </c>
      <c r="D407" s="209" t="s">
        <v>313</v>
      </c>
      <c r="E407" s="209" t="s">
        <v>314</v>
      </c>
      <c r="F407" s="349" t="s">
        <v>315</v>
      </c>
      <c r="G407" s="209" t="s">
        <v>157</v>
      </c>
      <c r="H407" s="243">
        <v>1</v>
      </c>
      <c r="I407" s="323">
        <v>2</v>
      </c>
      <c r="J407" s="323">
        <v>2</v>
      </c>
      <c r="K407" s="290">
        <v>1</v>
      </c>
      <c r="L407" s="209" t="s">
        <v>3284</v>
      </c>
      <c r="M407" s="209" t="b">
        <v>0</v>
      </c>
      <c r="O407" s="209" t="s">
        <v>2832</v>
      </c>
      <c r="P407" s="209" t="s">
        <v>159</v>
      </c>
      <c r="Q407" s="243" t="s">
        <v>160</v>
      </c>
      <c r="R407" s="243"/>
      <c r="S407" s="243"/>
      <c r="Z407" s="209"/>
      <c r="AA407" s="209"/>
      <c r="AB407" s="209"/>
      <c r="AH407" s="244"/>
      <c r="AI407" s="244"/>
      <c r="AJ407" s="244"/>
      <c r="AQ407" s="209"/>
      <c r="AR407" s="209"/>
      <c r="AS407" s="209"/>
      <c r="BX407" s="274"/>
      <c r="CA407" s="209"/>
      <c r="CO407" s="209" t="s">
        <v>190</v>
      </c>
      <c r="CP407" s="209" t="s">
        <v>149</v>
      </c>
      <c r="CQ407" s="209" t="s">
        <v>503</v>
      </c>
      <c r="CR407" s="209" t="s">
        <v>504</v>
      </c>
      <c r="CS407" s="209" t="s">
        <v>3334</v>
      </c>
      <c r="CT407" s="209" t="s">
        <v>503</v>
      </c>
      <c r="CU407" s="211" t="str">
        <f t="shared" si="169"/>
        <v>N/A</v>
      </c>
      <c r="CV407" s="211" t="str">
        <f t="shared" si="170"/>
        <v>N/A</v>
      </c>
      <c r="CW407" s="211" t="str">
        <f t="shared" si="171"/>
        <v>N/A</v>
      </c>
      <c r="CX407" s="211" t="str">
        <f t="shared" si="172"/>
        <v>N/A</v>
      </c>
      <c r="CY407" s="211" t="str">
        <f t="shared" si="173"/>
        <v>N/A</v>
      </c>
      <c r="CZ407" s="211" t="str">
        <f t="shared" si="174"/>
        <v>N/A</v>
      </c>
      <c r="DA407" s="211" t="str">
        <f t="shared" si="175"/>
        <v>N/A</v>
      </c>
      <c r="DB407" s="211" t="str">
        <f t="shared" si="176"/>
        <v>N/A</v>
      </c>
      <c r="DC407" s="211" t="str">
        <f t="shared" si="177"/>
        <v>N/A</v>
      </c>
      <c r="DD407" s="211" t="str">
        <f t="shared" si="178"/>
        <v>N/A</v>
      </c>
      <c r="DE407" s="211" t="str">
        <f t="shared" si="179"/>
        <v>N/A</v>
      </c>
      <c r="DF407" s="211" t="str">
        <f t="shared" si="180"/>
        <v xml:space="preserve">La Dirección de Talento Humano informa que, durante el cuarto trimestre del año, se programó la ejecución de 8 actividades en el PAG, de las cuales 5 corresponden a acciones repetidas de trimestres anteriores, relacionadas con el tema de integridad. En consecuencia, se asignó un puntaje de 1 a cada una de las 6 actividades nuevas y un puntaje de 0,4 a cada una de las 5 actividades repetidas, para un total de 80, lo que representa una ejecución total del 100 % frente a la meta establecida.
</v>
      </c>
    </row>
    <row r="408" spans="1:110" ht="64.5" customHeight="1">
      <c r="A408" s="349" t="s">
        <v>607</v>
      </c>
      <c r="B408" s="209" t="s">
        <v>149</v>
      </c>
      <c r="C408" s="209" t="s">
        <v>335</v>
      </c>
      <c r="D408" s="209" t="s">
        <v>617</v>
      </c>
      <c r="E408" s="209" t="s">
        <v>618</v>
      </c>
      <c r="F408" s="349" t="s">
        <v>619</v>
      </c>
      <c r="G408" s="209" t="s">
        <v>178</v>
      </c>
      <c r="H408" s="243">
        <v>0.9</v>
      </c>
      <c r="I408" s="323">
        <v>105</v>
      </c>
      <c r="J408" s="323">
        <v>105</v>
      </c>
      <c r="K408" s="290">
        <v>1</v>
      </c>
      <c r="L408" s="209" t="s">
        <v>3287</v>
      </c>
      <c r="M408" s="209" t="b">
        <v>0</v>
      </c>
      <c r="O408" s="209" t="s">
        <v>2832</v>
      </c>
      <c r="P408" s="209" t="s">
        <v>159</v>
      </c>
      <c r="Q408" s="243" t="s">
        <v>160</v>
      </c>
      <c r="R408" s="243"/>
      <c r="S408" s="243"/>
      <c r="Z408" s="209"/>
      <c r="AA408" s="209"/>
      <c r="AB408" s="209"/>
      <c r="AH408" s="244"/>
      <c r="AI408" s="244"/>
      <c r="AJ408" s="244"/>
      <c r="AQ408" s="209"/>
      <c r="AR408" s="209"/>
      <c r="AS408" s="209"/>
      <c r="BX408" s="274"/>
      <c r="CA408" s="209"/>
      <c r="CO408" s="209" t="s">
        <v>391</v>
      </c>
      <c r="CP408" s="209" t="s">
        <v>149</v>
      </c>
      <c r="CQ408" s="209" t="s">
        <v>573</v>
      </c>
      <c r="CR408" s="209" t="s">
        <v>660</v>
      </c>
      <c r="CS408" s="209" t="s">
        <v>3197</v>
      </c>
      <c r="CT408" s="209" t="s">
        <v>573</v>
      </c>
      <c r="CU408" s="211" t="str">
        <f t="shared" si="169"/>
        <v>N/A</v>
      </c>
      <c r="CV408" s="211" t="str">
        <f t="shared" si="170"/>
        <v>N/A</v>
      </c>
      <c r="CW408" s="211" t="str">
        <f t="shared" si="171"/>
        <v>N/A</v>
      </c>
      <c r="CX408" s="211" t="str">
        <f t="shared" si="172"/>
        <v>N/A</v>
      </c>
      <c r="CY408" s="211" t="str">
        <f t="shared" si="173"/>
        <v>N/A</v>
      </c>
      <c r="CZ408" s="211" t="str">
        <f t="shared" si="174"/>
        <v>N/A</v>
      </c>
      <c r="DA408" s="211" t="str">
        <f t="shared" si="175"/>
        <v>N/A</v>
      </c>
      <c r="DB408" s="211" t="str">
        <f t="shared" si="176"/>
        <v>N/A</v>
      </c>
      <c r="DC408" s="211" t="str">
        <f t="shared" si="177"/>
        <v>N/A</v>
      </c>
      <c r="DD408" s="211" t="str">
        <f t="shared" si="178"/>
        <v>N/A</v>
      </c>
      <c r="DE408" s="211" t="str">
        <f t="shared" si="179"/>
        <v>N/A</v>
      </c>
      <c r="DF408" s="211" t="str">
        <f t="shared" si="180"/>
        <v xml:space="preserve">De las 7 actividades programadas se realizaron 16 en el segundo semestre, lo que da un cumplimiento del 228% frente a la meta programada para el periodo. Esto se debe a que se realizaron 16 capacitaciones en territorios PDET, en municipios como Fonseca, Cereté, Mapiripán, Necoclí, Puerto Asís, Tolú Viejo, Santa Marta, Puerto Concordia, entre otros. El énfasis en la realización de estas actividades en municipios priorizados por el Programa de Desarrollo con Enfoque Territorial (PDET) respondió a la necesidad de fortalecer la presencia institucional en territorios históricamente afectados por el conflicto armado, el narcotráfico y otras formas de violencia, caracterizados por condiciones de alta vulnerabilidad y limitada oferta institucional. El logro de haber llegado a poblaciones apartadas y de difícil acceso representa un avance significativo en la garantía del derecho fundamental a la salud, al permitir acercar la Superintendencia Nacional de Salud a comunidades que tradicionalmente han enfrentado barreras geográficas, sociales e institucionales, contribuyendo así al empoderamiento ciudadano, la promoción de la participación activa y la construcción de confianza entre el Estado y la ciudadanía.
</v>
      </c>
    </row>
    <row r="409" spans="1:110" ht="64.5" customHeight="1">
      <c r="A409" s="349" t="s">
        <v>607</v>
      </c>
      <c r="B409" s="209" t="s">
        <v>149</v>
      </c>
      <c r="C409" s="209" t="s">
        <v>1218</v>
      </c>
      <c r="D409" s="209" t="s">
        <v>1219</v>
      </c>
      <c r="E409" s="209" t="s">
        <v>1220</v>
      </c>
      <c r="F409" s="349" t="s">
        <v>1221</v>
      </c>
      <c r="G409" s="209" t="s">
        <v>178</v>
      </c>
      <c r="H409" s="243">
        <v>0.8</v>
      </c>
      <c r="I409" s="323">
        <v>68</v>
      </c>
      <c r="J409" s="323">
        <v>77</v>
      </c>
      <c r="K409" s="290">
        <v>0.88311688311688297</v>
      </c>
      <c r="L409" s="209" t="s">
        <v>3289</v>
      </c>
      <c r="M409" s="209" t="b">
        <v>0</v>
      </c>
      <c r="O409" s="209" t="s">
        <v>2832</v>
      </c>
      <c r="P409" s="209" t="s">
        <v>159</v>
      </c>
      <c r="Q409" s="243" t="s">
        <v>160</v>
      </c>
      <c r="R409" s="243"/>
      <c r="S409" s="243"/>
      <c r="Z409" s="209"/>
      <c r="AA409" s="209"/>
      <c r="AB409" s="209"/>
      <c r="AH409" s="244"/>
      <c r="AI409" s="244"/>
      <c r="AJ409" s="244"/>
      <c r="AQ409" s="209"/>
      <c r="AR409" s="209"/>
      <c r="AS409" s="209"/>
      <c r="BX409" s="274"/>
      <c r="CA409" s="209"/>
      <c r="CO409" s="209" t="s">
        <v>391</v>
      </c>
      <c r="CP409" s="209" t="s">
        <v>149</v>
      </c>
      <c r="CQ409" s="209" t="s">
        <v>418</v>
      </c>
      <c r="CR409" s="209" t="s">
        <v>419</v>
      </c>
      <c r="CS409" s="209" t="s">
        <v>3199</v>
      </c>
      <c r="CT409" s="209" t="s">
        <v>418</v>
      </c>
      <c r="CU409" s="211" t="str">
        <f t="shared" si="169"/>
        <v>N/A</v>
      </c>
      <c r="CV409" s="211" t="str">
        <f t="shared" si="170"/>
        <v>N/A</v>
      </c>
      <c r="CW409" s="211" t="str">
        <f t="shared" si="171"/>
        <v>N/A</v>
      </c>
      <c r="CX409" s="211" t="str">
        <f t="shared" si="172"/>
        <v>N/A</v>
      </c>
      <c r="CY409" s="211" t="str">
        <f t="shared" si="173"/>
        <v>N/A</v>
      </c>
      <c r="CZ409" s="211" t="str">
        <f t="shared" si="174"/>
        <v>N/A</v>
      </c>
      <c r="DA409" s="211" t="str">
        <f t="shared" si="175"/>
        <v>N/A</v>
      </c>
      <c r="DB409" s="211" t="str">
        <f t="shared" si="176"/>
        <v>N/A</v>
      </c>
      <c r="DC409" s="211" t="str">
        <f t="shared" si="177"/>
        <v>N/A</v>
      </c>
      <c r="DD409" s="211" t="str">
        <f t="shared" si="178"/>
        <v>N/A</v>
      </c>
      <c r="DE409" s="211" t="str">
        <f t="shared" si="179"/>
        <v>N/A</v>
      </c>
      <c r="DF409" s="211" t="str">
        <f t="shared" si="180"/>
        <v xml:space="preserve">Se presenta información con corte a octubre y noviembre 2025, en virtud de que el periodo de reporte de insumos es 5 días hábiles mes vencido. 
Aclarado lo anterior se presenta el resultado de la aplicación de la encuesta de satisfacción realizada en el canal telefonico y presencial (Regionales, Puntos de Atención y CAC). Se identifica que para este trimestre el CAC bajo en su pordentaje bueno y exelente del indicador frente a sus historicos
Entre octubre y noviembre 2025 se recibieron 181.062 respuestas con calificación buena y exelente de un total de 202.681  respuestas las cuales correponden a un 89.33% de satisfacción
</v>
      </c>
    </row>
    <row r="410" spans="1:110" ht="64.5" customHeight="1">
      <c r="A410" s="349" t="s">
        <v>607</v>
      </c>
      <c r="B410" s="209" t="s">
        <v>149</v>
      </c>
      <c r="C410" s="209" t="s">
        <v>525</v>
      </c>
      <c r="D410" s="209" t="s">
        <v>613</v>
      </c>
      <c r="E410" s="209" t="s">
        <v>614</v>
      </c>
      <c r="F410" s="349" t="s">
        <v>615</v>
      </c>
      <c r="G410" s="209" t="s">
        <v>178</v>
      </c>
      <c r="H410" s="243">
        <v>0.85</v>
      </c>
      <c r="I410" s="323">
        <v>78459265382</v>
      </c>
      <c r="J410" s="323">
        <v>84527452102</v>
      </c>
      <c r="K410" s="290">
        <v>0.92821046217414105</v>
      </c>
      <c r="L410" s="209" t="s">
        <v>3532</v>
      </c>
      <c r="M410" s="209" t="b">
        <v>0</v>
      </c>
      <c r="O410" s="209" t="s">
        <v>2832</v>
      </c>
      <c r="P410" s="209" t="s">
        <v>159</v>
      </c>
      <c r="Q410" s="243" t="s">
        <v>160</v>
      </c>
      <c r="R410" s="243"/>
      <c r="S410" s="243"/>
      <c r="Z410" s="209"/>
      <c r="AA410" s="209"/>
      <c r="AB410" s="209"/>
      <c r="AH410" s="244"/>
      <c r="AI410" s="244"/>
      <c r="AJ410" s="244"/>
      <c r="AQ410" s="209"/>
      <c r="AR410" s="209"/>
      <c r="AS410" s="209"/>
      <c r="BX410" s="274"/>
      <c r="CA410" s="209"/>
      <c r="CO410" s="209" t="s">
        <v>391</v>
      </c>
      <c r="CP410" s="209" t="s">
        <v>149</v>
      </c>
      <c r="CQ410" s="209" t="s">
        <v>444</v>
      </c>
      <c r="CR410" s="209" t="s">
        <v>445</v>
      </c>
      <c r="CS410" s="209" t="s">
        <v>3201</v>
      </c>
      <c r="CT410" s="209" t="s">
        <v>444</v>
      </c>
      <c r="CU410" s="211" t="str">
        <f t="shared" si="169"/>
        <v>N/A</v>
      </c>
      <c r="CV410" s="211" t="str">
        <f t="shared" si="170"/>
        <v>N/A</v>
      </c>
      <c r="CW410" s="211" t="str">
        <f t="shared" si="171"/>
        <v>N/A</v>
      </c>
      <c r="CX410" s="211" t="str">
        <f t="shared" si="172"/>
        <v>N/A</v>
      </c>
      <c r="CY410" s="211" t="str">
        <f t="shared" si="173"/>
        <v>N/A</v>
      </c>
      <c r="CZ410" s="211" t="str">
        <f t="shared" si="174"/>
        <v>N/A</v>
      </c>
      <c r="DA410" s="211" t="str">
        <f t="shared" si="175"/>
        <v>N/A</v>
      </c>
      <c r="DB410" s="211" t="str">
        <f t="shared" si="176"/>
        <v>N/A</v>
      </c>
      <c r="DC410" s="211" t="str">
        <f t="shared" si="177"/>
        <v>N/A</v>
      </c>
      <c r="DD410" s="211" t="str">
        <f t="shared" si="178"/>
        <v>N/A</v>
      </c>
      <c r="DE410" s="211" t="str">
        <f t="shared" si="179"/>
        <v>N/A</v>
      </c>
      <c r="DF410" s="211" t="str">
        <f t="shared" si="180"/>
        <v xml:space="preserve">​Entre octubre a diciembre se radicaron y trasladaron al responsable del aseguramiento a través de una orden de inmediato y obligatorio cumplimiento 458.199 reclamos en salud recibidos por multicanal (escrito, web, telefonico, chat y redes sociales)
</v>
      </c>
    </row>
    <row r="411" spans="1:110" ht="64.5" customHeight="1">
      <c r="A411" s="349" t="s">
        <v>359</v>
      </c>
      <c r="B411" s="209" t="s">
        <v>149</v>
      </c>
      <c r="C411" s="209" t="s">
        <v>360</v>
      </c>
      <c r="D411" s="209" t="s">
        <v>361</v>
      </c>
      <c r="E411" s="209" t="s">
        <v>362</v>
      </c>
      <c r="F411" s="349" t="s">
        <v>363</v>
      </c>
      <c r="G411" s="209" t="s">
        <v>157</v>
      </c>
      <c r="H411" s="243">
        <v>12</v>
      </c>
      <c r="I411" s="323">
        <v>19</v>
      </c>
      <c r="J411" s="323">
        <v>13</v>
      </c>
      <c r="K411" s="290">
        <v>1.4615384615384599</v>
      </c>
      <c r="L411" s="209" t="s">
        <v>3291</v>
      </c>
      <c r="M411" s="209" t="b">
        <v>0</v>
      </c>
      <c r="O411" s="209" t="s">
        <v>2832</v>
      </c>
      <c r="P411" s="209" t="s">
        <v>159</v>
      </c>
      <c r="Q411" s="243" t="s">
        <v>160</v>
      </c>
      <c r="R411" s="243"/>
      <c r="S411" s="243"/>
      <c r="Z411" s="209"/>
      <c r="AA411" s="209"/>
      <c r="AB411" s="209"/>
      <c r="AH411" s="244"/>
      <c r="AI411" s="244"/>
      <c r="AJ411" s="244"/>
      <c r="AQ411" s="209"/>
      <c r="AR411" s="209"/>
      <c r="AS411" s="209"/>
      <c r="BX411" s="274"/>
      <c r="CA411" s="209"/>
      <c r="CO411" s="209" t="s">
        <v>391</v>
      </c>
      <c r="CP411" s="209" t="s">
        <v>149</v>
      </c>
      <c r="CQ411" s="209" t="s">
        <v>435</v>
      </c>
      <c r="CR411" s="209" t="s">
        <v>436</v>
      </c>
      <c r="CS411" s="209" t="s">
        <v>3203</v>
      </c>
      <c r="CT411" s="209" t="s">
        <v>435</v>
      </c>
      <c r="CU411" s="211" t="str">
        <f t="shared" si="169"/>
        <v>N/A</v>
      </c>
      <c r="CV411" s="211" t="str">
        <f t="shared" si="170"/>
        <v>N/A</v>
      </c>
      <c r="CW411" s="211" t="str">
        <f t="shared" si="171"/>
        <v>N/A</v>
      </c>
      <c r="CX411" s="211" t="str">
        <f t="shared" si="172"/>
        <v>N/A</v>
      </c>
      <c r="CY411" s="211" t="str">
        <f t="shared" si="173"/>
        <v>N/A</v>
      </c>
      <c r="CZ411" s="211" t="str">
        <f t="shared" si="174"/>
        <v>N/A</v>
      </c>
      <c r="DA411" s="211" t="str">
        <f t="shared" si="175"/>
        <v>N/A</v>
      </c>
      <c r="DB411" s="211" t="str">
        <f t="shared" si="176"/>
        <v>N/A</v>
      </c>
      <c r="DC411" s="211" t="str">
        <f t="shared" si="177"/>
        <v>N/A</v>
      </c>
      <c r="DD411" s="211" t="str">
        <f t="shared" si="178"/>
        <v>N/A</v>
      </c>
      <c r="DE411" s="211" t="str">
        <f t="shared" si="179"/>
        <v>N/A</v>
      </c>
      <c r="DF411" s="211" t="str">
        <f t="shared" si="180"/>
        <v xml:space="preserve">​De las 70 actividades programadas en el cuarto trimestre se realizaron 100, lo que da un cumplimiento del 143 % frente a lo programado. Los 100 eventos se discriminan así: 48 jornadas de atención al usuario, 32 capacitaciones, 5 seminarios, 3 Conexión SuperSalud, 2 Diálogos con la SuperSalud, 3 piezas lúdicas, 3 Líder tiene la palabra y 4 acompañamientos). Este resultado obedece al fortalecimiento de las acciones de relacionamiento con la ciudadanía desarrolladas por el Grupo de Participación y Promoción.
</v>
      </c>
    </row>
    <row r="412" spans="1:110" ht="64.5" customHeight="1">
      <c r="A412" s="349" t="s">
        <v>359</v>
      </c>
      <c r="B412" s="209" t="s">
        <v>149</v>
      </c>
      <c r="C412" s="209" t="s">
        <v>529</v>
      </c>
      <c r="D412" s="209" t="s">
        <v>690</v>
      </c>
      <c r="E412" s="209" t="s">
        <v>691</v>
      </c>
      <c r="F412" s="349" t="s">
        <v>692</v>
      </c>
      <c r="G412" s="209" t="s">
        <v>157</v>
      </c>
      <c r="H412" s="243">
        <v>2</v>
      </c>
      <c r="I412" s="323">
        <v>4</v>
      </c>
      <c r="J412" s="323">
        <v>2</v>
      </c>
      <c r="K412" s="290">
        <v>2</v>
      </c>
      <c r="L412" s="209" t="s">
        <v>3290</v>
      </c>
      <c r="M412" s="209" t="b">
        <v>0</v>
      </c>
      <c r="O412" s="209" t="s">
        <v>2832</v>
      </c>
      <c r="P412" s="209" t="s">
        <v>159</v>
      </c>
      <c r="Q412" s="243" t="s">
        <v>160</v>
      </c>
      <c r="R412" s="243"/>
      <c r="S412" s="243"/>
      <c r="Z412" s="209"/>
      <c r="AA412" s="209"/>
      <c r="AB412" s="209"/>
      <c r="AH412" s="244"/>
      <c r="AI412" s="244"/>
      <c r="AJ412" s="244"/>
      <c r="AQ412" s="209"/>
      <c r="AR412" s="209"/>
      <c r="AS412" s="209"/>
      <c r="BX412" s="274"/>
      <c r="CA412" s="209"/>
      <c r="CO412" s="209" t="s">
        <v>454</v>
      </c>
      <c r="CP412" s="209" t="s">
        <v>149</v>
      </c>
      <c r="CQ412" s="209" t="s">
        <v>584</v>
      </c>
      <c r="CR412" s="209" t="s">
        <v>585</v>
      </c>
      <c r="CS412" s="209" t="s">
        <v>3219</v>
      </c>
      <c r="CT412" s="209" t="s">
        <v>584</v>
      </c>
      <c r="CU412" s="211" t="str">
        <f t="shared" si="169"/>
        <v>N/A</v>
      </c>
      <c r="CV412" s="211" t="str">
        <f t="shared" si="170"/>
        <v>N/A</v>
      </c>
      <c r="CW412" s="211" t="str">
        <f t="shared" si="171"/>
        <v>N/A</v>
      </c>
      <c r="CX412" s="211" t="str">
        <f t="shared" si="172"/>
        <v>N/A</v>
      </c>
      <c r="CY412" s="211" t="str">
        <f t="shared" si="173"/>
        <v>N/A</v>
      </c>
      <c r="CZ412" s="211" t="str">
        <f t="shared" si="174"/>
        <v>N/A</v>
      </c>
      <c r="DA412" s="211" t="str">
        <f t="shared" si="175"/>
        <v>N/A</v>
      </c>
      <c r="DB412" s="211" t="str">
        <f t="shared" si="176"/>
        <v>N/A</v>
      </c>
      <c r="DC412" s="211" t="str">
        <f t="shared" si="177"/>
        <v>N/A</v>
      </c>
      <c r="DD412" s="211" t="str">
        <f t="shared" si="178"/>
        <v>N/A</v>
      </c>
      <c r="DE412" s="211" t="str">
        <f t="shared" si="179"/>
        <v>N/A</v>
      </c>
      <c r="DF412" s="211" t="str">
        <f t="shared" si="180"/>
        <v xml:space="preserve">​Se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
</v>
      </c>
    </row>
    <row r="413" spans="1:110" ht="64.5" customHeight="1">
      <c r="A413" s="349" t="s">
        <v>592</v>
      </c>
      <c r="B413" s="209" t="s">
        <v>149</v>
      </c>
      <c r="C413" s="209" t="s">
        <v>646</v>
      </c>
      <c r="D413" s="209" t="s">
        <v>686</v>
      </c>
      <c r="E413" s="209" t="s">
        <v>687</v>
      </c>
      <c r="F413" s="349" t="s">
        <v>688</v>
      </c>
      <c r="G413" s="209" t="s">
        <v>157</v>
      </c>
      <c r="H413" s="243">
        <v>1200</v>
      </c>
      <c r="I413" s="323">
        <v>1240</v>
      </c>
      <c r="J413" s="323">
        <v>1200</v>
      </c>
      <c r="K413" s="290">
        <f>+I413/J413</f>
        <v>1.0333333333333334</v>
      </c>
      <c r="L413" s="209" t="s">
        <v>3294</v>
      </c>
      <c r="M413" s="209" t="b">
        <v>0</v>
      </c>
      <c r="O413" s="209" t="s">
        <v>2832</v>
      </c>
      <c r="P413" s="209" t="s">
        <v>159</v>
      </c>
      <c r="Q413" s="243" t="s">
        <v>160</v>
      </c>
      <c r="R413" s="243"/>
      <c r="S413" s="243"/>
      <c r="Z413" s="209"/>
      <c r="AA413" s="209"/>
      <c r="AB413" s="209"/>
      <c r="AH413" s="244"/>
      <c r="AI413" s="244"/>
      <c r="AJ413" s="244"/>
      <c r="AQ413" s="209"/>
      <c r="AR413" s="209"/>
      <c r="AS413" s="209"/>
      <c r="BX413" s="274"/>
      <c r="CA413" s="209"/>
      <c r="CO413" s="209" t="s">
        <v>391</v>
      </c>
      <c r="CP413" s="209" t="s">
        <v>149</v>
      </c>
      <c r="CQ413" s="209" t="s">
        <v>392</v>
      </c>
      <c r="CR413" s="209" t="s">
        <v>393</v>
      </c>
      <c r="CS413" s="209" t="s">
        <v>3205</v>
      </c>
      <c r="CT413" s="209" t="s">
        <v>392</v>
      </c>
      <c r="CU413" s="211" t="str">
        <f t="shared" si="169"/>
        <v>N/A</v>
      </c>
      <c r="CV413" s="211" t="str">
        <f t="shared" si="170"/>
        <v>N/A</v>
      </c>
      <c r="CW413" s="211" t="str">
        <f t="shared" si="171"/>
        <v>N/A</v>
      </c>
      <c r="CX413" s="211" t="str">
        <f t="shared" si="172"/>
        <v>N/A</v>
      </c>
      <c r="CY413" s="211" t="str">
        <f t="shared" si="173"/>
        <v>N/A</v>
      </c>
      <c r="CZ413" s="211" t="str">
        <f t="shared" si="174"/>
        <v>N/A</v>
      </c>
      <c r="DA413" s="211" t="str">
        <f t="shared" si="175"/>
        <v>N/A</v>
      </c>
      <c r="DB413" s="211" t="str">
        <f t="shared" si="176"/>
        <v>N/A</v>
      </c>
      <c r="DC413" s="211" t="str">
        <f t="shared" si="177"/>
        <v>N/A</v>
      </c>
      <c r="DD413" s="211" t="str">
        <f t="shared" si="178"/>
        <v>N/A</v>
      </c>
      <c r="DE413" s="211" t="str">
        <f t="shared" si="179"/>
        <v>N/A</v>
      </c>
      <c r="DF413" s="211" t="str">
        <f t="shared" si="180"/>
        <v xml:space="preserve">​Entre OCTUBRE Y DICIEMBRE 2025 se realizo 1 diálogo en donde se han recibido 17 reclamos en salud de los cuales a todos 100% se les ha realizado seguimiento, pero de estos se han cerrado 12 (70,6%) y permanecen abiertos 5 reclamos a pesar del seguimiento realizado. 
</v>
      </c>
    </row>
    <row r="414" spans="1:110" ht="64.5" customHeight="1">
      <c r="A414" s="349" t="s">
        <v>190</v>
      </c>
      <c r="B414" s="209" t="s">
        <v>149</v>
      </c>
      <c r="C414" s="209" t="s">
        <v>236</v>
      </c>
      <c r="D414" s="209" t="s">
        <v>372</v>
      </c>
      <c r="E414" s="209" t="s">
        <v>373</v>
      </c>
      <c r="F414" s="349" t="s">
        <v>374</v>
      </c>
      <c r="G414" s="209" t="s">
        <v>157</v>
      </c>
      <c r="H414" s="243">
        <v>2</v>
      </c>
      <c r="I414" s="323">
        <v>8</v>
      </c>
      <c r="J414" s="323">
        <v>8</v>
      </c>
      <c r="K414" s="290">
        <v>1</v>
      </c>
      <c r="L414" s="209" t="s">
        <v>3307</v>
      </c>
      <c r="M414" s="209" t="b">
        <v>0</v>
      </c>
      <c r="O414" s="209" t="s">
        <v>2832</v>
      </c>
      <c r="P414" s="209" t="s">
        <v>159</v>
      </c>
      <c r="Q414" s="243" t="s">
        <v>160</v>
      </c>
      <c r="R414" s="243"/>
      <c r="S414" s="243"/>
      <c r="Z414" s="209"/>
      <c r="AA414" s="209"/>
      <c r="AB414" s="209"/>
      <c r="AH414" s="244"/>
      <c r="AI414" s="244"/>
      <c r="AJ414" s="244"/>
      <c r="AQ414" s="209"/>
      <c r="AR414" s="209"/>
      <c r="AS414" s="209"/>
      <c r="BX414" s="274"/>
      <c r="CA414" s="209"/>
      <c r="CO414" s="209" t="s">
        <v>454</v>
      </c>
      <c r="CP414" s="209" t="s">
        <v>149</v>
      </c>
      <c r="CQ414" s="209" t="s">
        <v>575</v>
      </c>
      <c r="CR414" s="209" t="s">
        <v>576</v>
      </c>
      <c r="CS414" s="209" t="s">
        <v>3220</v>
      </c>
      <c r="CT414" s="209" t="s">
        <v>575</v>
      </c>
      <c r="CU414" s="211" t="str">
        <f t="shared" si="169"/>
        <v>N/A</v>
      </c>
      <c r="CV414" s="211" t="str">
        <f t="shared" si="170"/>
        <v>N/A</v>
      </c>
      <c r="CW414" s="211" t="str">
        <f t="shared" si="171"/>
        <v>N/A</v>
      </c>
      <c r="CX414" s="211" t="str">
        <f t="shared" si="172"/>
        <v>N/A</v>
      </c>
      <c r="CY414" s="211" t="str">
        <f t="shared" si="173"/>
        <v>N/A</v>
      </c>
      <c r="CZ414" s="211" t="str">
        <f t="shared" si="174"/>
        <v>N/A</v>
      </c>
      <c r="DA414" s="211" t="str">
        <f t="shared" si="175"/>
        <v>N/A</v>
      </c>
      <c r="DB414" s="211" t="str">
        <f t="shared" si="176"/>
        <v>N/A</v>
      </c>
      <c r="DC414" s="211" t="str">
        <f t="shared" si="177"/>
        <v>N/A</v>
      </c>
      <c r="DD414" s="211" t="str">
        <f t="shared" si="178"/>
        <v>N/A</v>
      </c>
      <c r="DE414" s="211" t="str">
        <f t="shared" si="179"/>
        <v>N/A</v>
      </c>
      <c r="DF414" s="211" t="str">
        <f t="shared" si="180"/>
        <v xml:space="preserve">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
</v>
      </c>
    </row>
    <row r="415" spans="1:110" ht="64.5" customHeight="1">
      <c r="A415" s="349" t="s">
        <v>190</v>
      </c>
      <c r="B415" s="209" t="s">
        <v>149</v>
      </c>
      <c r="C415" s="209" t="s">
        <v>191</v>
      </c>
      <c r="D415" s="209" t="s">
        <v>3313</v>
      </c>
      <c r="E415" s="209" t="s">
        <v>193</v>
      </c>
      <c r="F415" s="349" t="s">
        <v>194</v>
      </c>
      <c r="G415" s="209" t="s">
        <v>2807</v>
      </c>
      <c r="H415" s="243">
        <v>0.95</v>
      </c>
      <c r="I415" s="323">
        <v>11870</v>
      </c>
      <c r="J415" s="323">
        <v>11948</v>
      </c>
      <c r="K415" s="290">
        <v>0.99347171074656804</v>
      </c>
      <c r="L415" s="209" t="s">
        <v>3314</v>
      </c>
      <c r="M415" s="209" t="b">
        <v>0</v>
      </c>
      <c r="O415" s="209" t="s">
        <v>2832</v>
      </c>
      <c r="P415" s="209" t="s">
        <v>159</v>
      </c>
      <c r="Q415" s="243" t="s">
        <v>160</v>
      </c>
      <c r="R415" s="243"/>
      <c r="S415" s="243"/>
      <c r="Z415" s="209"/>
      <c r="AA415" s="209"/>
      <c r="AB415" s="209"/>
      <c r="AH415" s="244"/>
      <c r="AI415" s="244"/>
      <c r="AJ415" s="244"/>
      <c r="AQ415" s="209"/>
      <c r="AR415" s="209"/>
      <c r="AS415" s="209"/>
      <c r="BX415" s="274"/>
      <c r="CA415" s="209"/>
      <c r="CO415" s="209" t="s">
        <v>454</v>
      </c>
      <c r="CP415" s="209" t="s">
        <v>149</v>
      </c>
      <c r="CQ415" s="209" t="s">
        <v>579</v>
      </c>
      <c r="CR415" s="209" t="s">
        <v>580</v>
      </c>
      <c r="CS415" s="209" t="s">
        <v>3220</v>
      </c>
      <c r="CT415" s="209" t="s">
        <v>579</v>
      </c>
      <c r="CU415" s="211" t="str">
        <f t="shared" si="169"/>
        <v>N/A</v>
      </c>
      <c r="CV415" s="211" t="str">
        <f t="shared" si="170"/>
        <v>N/A</v>
      </c>
      <c r="CW415" s="211" t="str">
        <f t="shared" si="171"/>
        <v>N/A</v>
      </c>
      <c r="CX415" s="211" t="str">
        <f t="shared" si="172"/>
        <v>N/A</v>
      </c>
      <c r="CY415" s="211" t="str">
        <f t="shared" si="173"/>
        <v>N/A</v>
      </c>
      <c r="CZ415" s="211" t="str">
        <f t="shared" si="174"/>
        <v>N/A</v>
      </c>
      <c r="DA415" s="211" t="str">
        <f t="shared" si="175"/>
        <v>N/A</v>
      </c>
      <c r="DB415" s="211" t="str">
        <f t="shared" si="176"/>
        <v>N/A</v>
      </c>
      <c r="DC415" s="211" t="str">
        <f t="shared" si="177"/>
        <v>N/A</v>
      </c>
      <c r="DD415" s="211" t="str">
        <f t="shared" si="178"/>
        <v>N/A</v>
      </c>
      <c r="DE415" s="211" t="str">
        <f t="shared" si="179"/>
        <v>N/A</v>
      </c>
      <c r="DF415" s="211" t="str">
        <f t="shared" si="180"/>
        <v xml:space="preserve">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
</v>
      </c>
    </row>
    <row r="416" spans="1:110" ht="64.5" customHeight="1">
      <c r="A416" s="349" t="s">
        <v>190</v>
      </c>
      <c r="B416" s="209" t="s">
        <v>149</v>
      </c>
      <c r="C416" s="209" t="s">
        <v>397</v>
      </c>
      <c r="D416" s="209" t="s">
        <v>679</v>
      </c>
      <c r="E416" s="209" t="s">
        <v>680</v>
      </c>
      <c r="F416" s="349" t="s">
        <v>681</v>
      </c>
      <c r="G416" s="209" t="s">
        <v>157</v>
      </c>
      <c r="H416" s="243">
        <v>1</v>
      </c>
      <c r="I416" s="440">
        <v>1</v>
      </c>
      <c r="J416" s="440">
        <v>1</v>
      </c>
      <c r="K416" s="290">
        <v>1</v>
      </c>
      <c r="L416" s="209" t="s">
        <v>3315</v>
      </c>
      <c r="M416" s="209" t="b">
        <v>1</v>
      </c>
      <c r="N416" s="209" t="s">
        <v>3316</v>
      </c>
      <c r="O416" s="209" t="s">
        <v>2832</v>
      </c>
      <c r="P416" s="209" t="s">
        <v>159</v>
      </c>
      <c r="Q416" s="243" t="s">
        <v>160</v>
      </c>
      <c r="R416" s="243"/>
      <c r="S416" s="243"/>
      <c r="Z416" s="209"/>
      <c r="AA416" s="209"/>
      <c r="AB416" s="209"/>
      <c r="AH416" s="244"/>
      <c r="AI416" s="244"/>
      <c r="AJ416" s="244"/>
      <c r="AQ416" s="209"/>
      <c r="AR416" s="209"/>
      <c r="AS416" s="209"/>
      <c r="BX416" s="274"/>
      <c r="CA416" s="209"/>
      <c r="CO416" s="209" t="s">
        <v>391</v>
      </c>
      <c r="CP416" s="209" t="s">
        <v>149</v>
      </c>
      <c r="CQ416" s="209" t="s">
        <v>440</v>
      </c>
      <c r="CR416" s="209" t="s">
        <v>441</v>
      </c>
      <c r="CS416" s="209" t="s">
        <v>3207</v>
      </c>
      <c r="CT416" s="209" t="s">
        <v>440</v>
      </c>
      <c r="CU416" s="211" t="str">
        <f t="shared" si="169"/>
        <v>N/A</v>
      </c>
      <c r="CV416" s="211" t="str">
        <f t="shared" si="170"/>
        <v>N/A</v>
      </c>
      <c r="CW416" s="211" t="str">
        <f t="shared" si="171"/>
        <v>N/A</v>
      </c>
      <c r="CX416" s="211" t="str">
        <f t="shared" si="172"/>
        <v>N/A</v>
      </c>
      <c r="CY416" s="211" t="str">
        <f t="shared" si="173"/>
        <v>N/A</v>
      </c>
      <c r="CZ416" s="211" t="str">
        <f t="shared" si="174"/>
        <v>N/A</v>
      </c>
      <c r="DA416" s="211" t="str">
        <f t="shared" si="175"/>
        <v>N/A</v>
      </c>
      <c r="DB416" s="211" t="str">
        <f t="shared" si="176"/>
        <v>N/A</v>
      </c>
      <c r="DC416" s="211" t="str">
        <f t="shared" si="177"/>
        <v>N/A</v>
      </c>
      <c r="DD416" s="211" t="str">
        <f t="shared" si="178"/>
        <v>N/A</v>
      </c>
      <c r="DE416" s="211" t="str">
        <f t="shared" si="179"/>
        <v>N/A</v>
      </c>
      <c r="DF416" s="211" t="str">
        <f t="shared" si="180"/>
        <v xml:space="preserve">De 5 actividades programadas se realizaron 13 en el trimestre, lo que da un cumplimiento del 260% frente a la meta programada de 5. Esto se debe a que se desarrollaron de las siguientes acciones principales:
Fortalecimiento de canales de atención: Se mantuvieron y optimizaron los canales presenciales, telefónicos y virtuales, garantizando la atención oportuna y eficaz a las solicitudes, quejas, reclamos y peticiones de la ciudadanía.
Capacitación al talento humano: Se realizaron jornadas de formación para los servidores públicos en temas de servicio al ciudadano y atención con enfoque diferencial .
Mejoras en formatos de respuestas a PQR y solicitudes de información en el marco de leguaje claro.
Actualziación de manuales: Durante la vigencia se actualizaron documentos claves del proceso de Relacionamiento con la Ciudadania y Grupos de Valor . (Manual Operativo y Manual de Protocolo)
Encuentros Sectoriales: Se gestionaron espacios de encuentros sectoriales en el marco del Modelo Integrado de Servicio al Ciudadano MISC con el Ministerio de Salud y Protección Social para fortalecer el cumplimiento de los estandares del modelo y espacios de buenas practicas.
En general, las acciones ejecutadas reflejan el compromiso institucional con la transparencia, la eficiencia y la calidad en la prestación de los servicios, contribuyendo al fortalecimiento de la confianza ciudadana en la gestión pública.
</v>
      </c>
    </row>
    <row r="417" spans="1:110" ht="64.5" customHeight="1">
      <c r="A417" s="349" t="s">
        <v>190</v>
      </c>
      <c r="B417" s="209" t="s">
        <v>149</v>
      </c>
      <c r="C417" s="209" t="s">
        <v>1513</v>
      </c>
      <c r="D417" s="209" t="s">
        <v>1516</v>
      </c>
      <c r="E417" s="209" t="s">
        <v>2810</v>
      </c>
      <c r="F417" s="349" t="s">
        <v>1518</v>
      </c>
      <c r="G417" s="209" t="s">
        <v>178</v>
      </c>
      <c r="H417" s="243">
        <v>1</v>
      </c>
      <c r="I417" s="440">
        <v>1</v>
      </c>
      <c r="J417" s="440">
        <v>1</v>
      </c>
      <c r="K417" s="290">
        <v>1</v>
      </c>
      <c r="L417" s="209" t="s">
        <v>3343</v>
      </c>
      <c r="M417" s="209" t="b">
        <v>0</v>
      </c>
      <c r="O417" s="209" t="s">
        <v>2832</v>
      </c>
      <c r="P417" s="209" t="s">
        <v>159</v>
      </c>
      <c r="Q417" s="243" t="s">
        <v>160</v>
      </c>
      <c r="R417" s="243"/>
      <c r="S417" s="243"/>
      <c r="Z417" s="209"/>
      <c r="AA417" s="209"/>
      <c r="AB417" s="209"/>
      <c r="AH417" s="244"/>
      <c r="AI417" s="244"/>
      <c r="AJ417" s="244"/>
      <c r="AQ417" s="209"/>
      <c r="AR417" s="209"/>
      <c r="AS417" s="209"/>
      <c r="BX417" s="274"/>
      <c r="CA417" s="209"/>
      <c r="CO417" s="209" t="s">
        <v>391</v>
      </c>
      <c r="CP417" s="209" t="s">
        <v>149</v>
      </c>
      <c r="CQ417" s="209" t="s">
        <v>449</v>
      </c>
      <c r="CR417" s="209" t="s">
        <v>450</v>
      </c>
      <c r="CS417" s="209" t="s">
        <v>3209</v>
      </c>
      <c r="CT417" s="209" t="s">
        <v>449</v>
      </c>
      <c r="CU417" s="211" t="str">
        <f t="shared" si="169"/>
        <v>N/A</v>
      </c>
      <c r="CV417" s="211" t="str">
        <f t="shared" si="170"/>
        <v>N/A</v>
      </c>
      <c r="CW417" s="211" t="str">
        <f t="shared" si="171"/>
        <v>N/A</v>
      </c>
      <c r="CX417" s="211" t="str">
        <f t="shared" si="172"/>
        <v>N/A</v>
      </c>
      <c r="CY417" s="211" t="str">
        <f t="shared" si="173"/>
        <v>N/A</v>
      </c>
      <c r="CZ417" s="211" t="str">
        <f t="shared" si="174"/>
        <v>N/A</v>
      </c>
      <c r="DA417" s="211" t="str">
        <f t="shared" si="175"/>
        <v>N/A</v>
      </c>
      <c r="DB417" s="211" t="str">
        <f t="shared" si="176"/>
        <v>N/A</v>
      </c>
      <c r="DC417" s="211" t="str">
        <f t="shared" si="177"/>
        <v>N/A</v>
      </c>
      <c r="DD417" s="211" t="str">
        <f t="shared" si="178"/>
        <v>N/A</v>
      </c>
      <c r="DE417" s="211" t="str">
        <f t="shared" si="179"/>
        <v>N/A</v>
      </c>
      <c r="DF417" s="211" t="str">
        <f t="shared" si="180"/>
        <v xml:space="preserve">​Entre octubre a diciembre se radicaron y trasladaron al responsable del aseguramiento a travez de una orden de inmediato y obligatorio cumplimiento 86.630 reclamos en salud recibidos por el canal presencial.
</v>
      </c>
    </row>
    <row r="418" spans="1:110" ht="64.5" customHeight="1">
      <c r="A418" s="349" t="s">
        <v>190</v>
      </c>
      <c r="B418" s="209" t="s">
        <v>149</v>
      </c>
      <c r="C418" s="209" t="s">
        <v>1530</v>
      </c>
      <c r="D418" s="209" t="s">
        <v>1531</v>
      </c>
      <c r="E418" s="209" t="s">
        <v>2809</v>
      </c>
      <c r="F418" s="349" t="s">
        <v>1533</v>
      </c>
      <c r="G418" s="209" t="s">
        <v>178</v>
      </c>
      <c r="H418" s="243">
        <v>0.5</v>
      </c>
      <c r="I418" s="324">
        <v>1</v>
      </c>
      <c r="J418" s="324">
        <v>1</v>
      </c>
      <c r="K418" s="290">
        <v>1</v>
      </c>
      <c r="L418" s="209" t="s">
        <v>3310</v>
      </c>
      <c r="M418" s="209" t="b">
        <v>0</v>
      </c>
      <c r="O418" s="209" t="s">
        <v>2832</v>
      </c>
      <c r="P418" s="209" t="s">
        <v>159</v>
      </c>
      <c r="Q418" s="243" t="s">
        <v>160</v>
      </c>
      <c r="R418" s="243"/>
      <c r="S418" s="243"/>
      <c r="Z418" s="209"/>
      <c r="AA418" s="209"/>
      <c r="AB418" s="209"/>
      <c r="AH418" s="244"/>
      <c r="AI418" s="244"/>
      <c r="AJ418" s="244"/>
      <c r="AQ418" s="209"/>
      <c r="AR418" s="209"/>
      <c r="AS418" s="209"/>
      <c r="BX418" s="274"/>
      <c r="CA418" s="209"/>
      <c r="CO418" s="209" t="s">
        <v>199</v>
      </c>
      <c r="CP418" s="209" t="s">
        <v>149</v>
      </c>
      <c r="CQ418" s="209" t="s">
        <v>598</v>
      </c>
      <c r="CR418" s="209" t="s">
        <v>743</v>
      </c>
      <c r="CS418" s="209" t="s">
        <v>3239</v>
      </c>
      <c r="CT418" s="209" t="s">
        <v>598</v>
      </c>
      <c r="CU418" s="211" t="str">
        <f t="shared" si="169"/>
        <v>N/A</v>
      </c>
      <c r="CV418" s="211" t="str">
        <f t="shared" si="170"/>
        <v>N/A</v>
      </c>
      <c r="CW418" s="211" t="str">
        <f t="shared" si="171"/>
        <v>N/A</v>
      </c>
      <c r="CX418" s="211" t="str">
        <f t="shared" si="172"/>
        <v>N/A</v>
      </c>
      <c r="CY418" s="211" t="str">
        <f t="shared" si="173"/>
        <v>N/A</v>
      </c>
      <c r="CZ418" s="211" t="str">
        <f t="shared" si="174"/>
        <v>N/A</v>
      </c>
      <c r="DA418" s="211" t="str">
        <f t="shared" si="175"/>
        <v>N/A</v>
      </c>
      <c r="DB418" s="211" t="str">
        <f t="shared" si="176"/>
        <v>N/A</v>
      </c>
      <c r="DC418" s="211" t="str">
        <f t="shared" si="177"/>
        <v>N/A</v>
      </c>
      <c r="DD418" s="211" t="str">
        <f t="shared" si="178"/>
        <v>N/A</v>
      </c>
      <c r="DE418" s="211" t="str">
        <f t="shared" si="179"/>
        <v>N/A</v>
      </c>
      <c r="DF418" s="211" t="str">
        <f t="shared" si="180"/>
        <v>Durante el segundo semestre de la vigencia 2025 se efectuó un (1) seguimiento de un (1) programado en el marco del Programa de Mejoramiento Institucional al cual se encontraba adscrita la ESE Hospital San Juan de Sahagún, lo que permitió dar cumplimiento al 100% de la meta establecida para el período evaluado.   
Este Programa de Mejoramiento Institucional (PMI), es una herramienta de inspección y vigilancia que ha permitido la identificación, medición, evaluación y control de riesgos financieros y de salud, a partir de los reportes efectuados por el Ministerio de Hacienda y Crédito Público - MHCP a la Superintendencia Nacional de Salud, acerca de los incumplimientos del Programa de Saneamiento Fiscal y Financiero – PSFF por parte de las ESE, por lo cual, se aplicó un modelo de supervisión basado en riesgos, que incluyó la evaluación continua de indicadores financieros y de prestación de servicios, así como la formulación de planes de mejora, con seguimiento periódico de su ejecución. Como resultado, la gran mayoría de las instituciones bajo seguimiento lograron estabilizar sus condiciones operativas y fueron reclasificadas como entidades sin riesgo por el Ministerio de Salud y Protección Social, contribuyendo a una red pública hospitalaria más sólida y confiable.</v>
      </c>
    </row>
    <row r="419" spans="1:110" ht="64.5" customHeight="1">
      <c r="A419" s="349" t="s">
        <v>190</v>
      </c>
      <c r="B419" s="209" t="s">
        <v>149</v>
      </c>
      <c r="C419" s="209" t="s">
        <v>1522</v>
      </c>
      <c r="D419" s="209" t="s">
        <v>2811</v>
      </c>
      <c r="E419" s="209" t="s">
        <v>1524</v>
      </c>
      <c r="F419" s="349" t="s">
        <v>1525</v>
      </c>
      <c r="G419" s="209" t="s">
        <v>178</v>
      </c>
      <c r="H419" s="243">
        <v>1</v>
      </c>
      <c r="I419" s="323">
        <v>1</v>
      </c>
      <c r="J419" s="323">
        <v>1</v>
      </c>
      <c r="K419" s="290">
        <v>1</v>
      </c>
      <c r="L419" s="209" t="s">
        <v>3344</v>
      </c>
      <c r="M419" s="209" t="b">
        <v>0</v>
      </c>
      <c r="O419" s="209" t="s">
        <v>2832</v>
      </c>
      <c r="P419" s="209" t="s">
        <v>159</v>
      </c>
      <c r="Q419" s="243" t="s">
        <v>160</v>
      </c>
      <c r="R419" s="243"/>
      <c r="S419" s="243"/>
      <c r="Z419" s="209"/>
      <c r="AA419" s="209"/>
      <c r="AB419" s="209"/>
      <c r="AH419" s="244"/>
      <c r="AI419" s="244"/>
      <c r="AJ419" s="244"/>
      <c r="AQ419" s="209"/>
      <c r="AR419" s="209"/>
      <c r="AS419" s="209"/>
      <c r="BX419" s="274"/>
      <c r="CA419" s="209"/>
      <c r="CO419" s="209" t="s">
        <v>199</v>
      </c>
      <c r="CP419" s="209" t="s">
        <v>149</v>
      </c>
      <c r="CQ419" s="209" t="s">
        <v>599</v>
      </c>
      <c r="CR419" s="209" t="s">
        <v>779</v>
      </c>
      <c r="CS419" s="209" t="s">
        <v>3241</v>
      </c>
      <c r="CT419" s="209" t="s">
        <v>599</v>
      </c>
      <c r="CU419" s="211" t="str">
        <f t="shared" si="169"/>
        <v>N/A</v>
      </c>
      <c r="CV419" s="211" t="str">
        <f t="shared" si="170"/>
        <v>N/A</v>
      </c>
      <c r="CW419" s="211" t="str">
        <f t="shared" si="171"/>
        <v>N/A</v>
      </c>
      <c r="CX419" s="211" t="str">
        <f t="shared" si="172"/>
        <v>N/A</v>
      </c>
      <c r="CY419" s="211" t="str">
        <f t="shared" si="173"/>
        <v>N/A</v>
      </c>
      <c r="CZ419" s="211" t="str">
        <f t="shared" si="174"/>
        <v>N/A</v>
      </c>
      <c r="DA419" s="211" t="str">
        <f t="shared" si="175"/>
        <v>N/A</v>
      </c>
      <c r="DB419" s="211" t="str">
        <f t="shared" si="176"/>
        <v>N/A</v>
      </c>
      <c r="DC419" s="211" t="str">
        <f t="shared" si="177"/>
        <v>N/A</v>
      </c>
      <c r="DD419" s="211" t="str">
        <f t="shared" si="178"/>
        <v>N/A</v>
      </c>
      <c r="DE419" s="211" t="str">
        <f t="shared" si="179"/>
        <v>N/A</v>
      </c>
      <c r="DF419" s="211" t="str">
        <f t="shared" si="180"/>
        <v>La Dirección de Inspección y Vigilancia para Prestadores de Servicios de Salud continuó con el seguimiento a la ejecución de dicho programa y, para el segundo semestre de la vigencia 2025, priorizó ciento dos (102) ESE, correspondientes a aquellas con mayor asignación de recursos durante la vigencia 2023. Para tal efecto, se diseñó un papel de trabajo que permite la captura sistemática de información y el monitoreo de los resultados asociados a la gestión de las ESE en relación con la implementación de los Equipos Básicos en Salud (EBS).   
Con el fin de socializar y entregar dicho instrumento, se programó la realización de diez (10) mesas técnicas a nivel nacional, organizadas por regiones, dirigidas a las ESE priorizadas. Posteriormente, se efectuó el requerimiento formal para el suministro de la información necesaria, con el propósito de adelantar el correspondiente seguimiento en el marco de las acciones de Inspección y Vigilancia a cargo de la Dirección.
Para el proceso de consolidación y análisis de la información reportada, se desarrolló una herramienta en Power BI que facilita el análisis de variables financieras y asistenciales, a partir de la cual se generará un informe técnico que actualmente se encuentra en elaboración.
En concordancia con lo anterior, se viene adelantando un ejercicio de seguimiento a la implementación de los Equipos Básicos en Salud (EBS), orientado no solo a evaluar la ejecución presupuestal de los recursos asignados, sino también a verificar el cumplimiento de su objetivo misional: garantizar el acceso equitativo, oportuno y resolutivo a los servicios de salud en los territorios priorizados. Dicho seguimiento permite establecer si las acciones desarrolladas por las entidades receptoras se encuentran alineadas con los objetivos estructurales de la estrategia EBS, concebida para fortalecer la atención primaria en salud, reducir barreras de acceso y mejorar los indicadores de salud mediante intervenciones comunitarias integrales. En este sentido, las acciones de inspección y vigilancia se enfocan en verificar la coherencia entre el uso de los recursos, la operación territorial de los equipos y el impacto efectivo en las condiciones de salud de la población atendida.</v>
      </c>
    </row>
    <row r="420" spans="1:110" ht="64.5" customHeight="1">
      <c r="A420" s="349" t="s">
        <v>190</v>
      </c>
      <c r="B420" s="209" t="s">
        <v>149</v>
      </c>
      <c r="C420" s="209" t="s">
        <v>251</v>
      </c>
      <c r="D420" s="209" t="s">
        <v>472</v>
      </c>
      <c r="E420" s="209" t="s">
        <v>473</v>
      </c>
      <c r="F420" s="349" t="s">
        <v>474</v>
      </c>
      <c r="G420" s="209" t="s">
        <v>2806</v>
      </c>
      <c r="H420" s="243">
        <v>3</v>
      </c>
      <c r="I420" s="433">
        <v>3</v>
      </c>
      <c r="J420" s="433">
        <v>3</v>
      </c>
      <c r="K420" s="290">
        <v>1</v>
      </c>
      <c r="L420" s="209" t="s">
        <v>3309</v>
      </c>
      <c r="M420" s="209" t="b">
        <v>0</v>
      </c>
      <c r="O420" s="209" t="s">
        <v>2832</v>
      </c>
      <c r="P420" s="209" t="s">
        <v>159</v>
      </c>
      <c r="Q420" s="243" t="s">
        <v>160</v>
      </c>
      <c r="R420" s="243"/>
      <c r="S420" s="243"/>
      <c r="Z420" s="209"/>
      <c r="AA420" s="209"/>
      <c r="AB420" s="209"/>
      <c r="AH420" s="244"/>
      <c r="AI420" s="244"/>
      <c r="AJ420" s="244"/>
      <c r="AQ420" s="209"/>
      <c r="AR420" s="209"/>
      <c r="AS420" s="209"/>
      <c r="BX420" s="274"/>
      <c r="CA420" s="209"/>
      <c r="CO420" s="209" t="s">
        <v>271</v>
      </c>
      <c r="CP420" s="209" t="s">
        <v>149</v>
      </c>
      <c r="CQ420" s="209" t="s">
        <v>540</v>
      </c>
      <c r="CR420" s="209" t="s">
        <v>541</v>
      </c>
      <c r="CS420" s="209" t="s">
        <v>3176</v>
      </c>
      <c r="CT420" s="209" t="s">
        <v>540</v>
      </c>
      <c r="CU420" s="211" t="str">
        <f t="shared" si="169"/>
        <v>N/A</v>
      </c>
      <c r="CV420" s="211" t="str">
        <f t="shared" si="170"/>
        <v>N/A</v>
      </c>
      <c r="CW420" s="211" t="str">
        <f t="shared" si="171"/>
        <v>N/A</v>
      </c>
      <c r="CX420" s="211" t="str">
        <f t="shared" si="172"/>
        <v>N/A</v>
      </c>
      <c r="CY420" s="211" t="str">
        <f t="shared" si="173"/>
        <v>N/A</v>
      </c>
      <c r="CZ420" s="211" t="str">
        <f t="shared" si="174"/>
        <v>N/A</v>
      </c>
      <c r="DA420" s="211" t="str">
        <f t="shared" si="175"/>
        <v>N/A</v>
      </c>
      <c r="DB420" s="211" t="str">
        <f t="shared" si="176"/>
        <v>N/A</v>
      </c>
      <c r="DC420" s="211" t="str">
        <f t="shared" si="177"/>
        <v>N/A</v>
      </c>
      <c r="DD420" s="211" t="str">
        <f t="shared" si="178"/>
        <v>N/A</v>
      </c>
      <c r="DE420" s="211" t="str">
        <f t="shared" si="179"/>
        <v>N/A</v>
      </c>
      <c r="DF420" s="211" t="str">
        <f t="shared" si="180"/>
        <v xml:space="preserve">Durante el periodo evaluado, se desarrollaron Mesas Técnicas de Fortalecimiento Territorial en las diferentes Direcciones Regionales, conforme se detalla a continuación:   
Regional Andina: Se realizaron dos (2) Mesas Técnicas de Fortalecimiento Territorial: una en el departamento de Antioquia, con participación de los distritos de Medellín y Turbo, y otra en la ciudad de Pereira, con participación de los departamentos de Risaralda, Caldas y Quindío.
Regional Nororiental: Se llevaron a cabo dos (2) Mesas Técnicas de Fortalecimiento Territorial, una en el departamento de Boyacá y otra en Santander, esta última con la participación de la Entidad Territorial de Norte de Santander y la totalidad de sus municipios.
Regional Occidental: Se realizó una (1) Mesa Técnica de Fortalecimiento Territorial en la ciudad de Santiago de Cali, con la participación de los departamentos de Valle del Cauca, Cauca y Nariño, así como de los distritos de Santiago de Cali, Buenaventura y Tumaco.
Regional Norte: Se desarrolló una (1) mesa de fortalecimiento territorial en la ciudad de Montería, con la participación de los departamentos de Córdoba y Sucre.
Regional Caribe: Se realizó una (1) Mesa Técnica de Fortalecimiento Territorial en el Distrito de Santa Marta, con la participación de los departamentos de La Guajira, Cesar y Magdalena.
Regional Sur: Se desarrolló una (1) Mesa Técnica de Fortalecimiento Territorial en la ciudad de Neiva, durante los días 26, 27 y 28 de noviembre, con la participación de los departamentos de Huila, Tolima, Caquetá y Putumayo.
Regional Orinoquía: Se llevó a cabo una (1) Mesa Técnica de Fortalecimiento Territorial en la ciudad de Villavicencio, con la participación de los departamentos de Vichada, Guainía, Vaupés, Meta, Guaviare, Casanare y Arauca.
</v>
      </c>
    </row>
    <row r="421" spans="1:110" ht="64.5" customHeight="1">
      <c r="A421" s="349" t="s">
        <v>190</v>
      </c>
      <c r="B421" s="209" t="s">
        <v>149</v>
      </c>
      <c r="C421" s="209" t="s">
        <v>216</v>
      </c>
      <c r="D421" s="209" t="s">
        <v>217</v>
      </c>
      <c r="E421" s="209" t="s">
        <v>218</v>
      </c>
      <c r="F421" s="349" t="s">
        <v>219</v>
      </c>
      <c r="G421" s="209" t="s">
        <v>178</v>
      </c>
      <c r="H421" s="243">
        <v>1</v>
      </c>
      <c r="I421" s="323">
        <v>829</v>
      </c>
      <c r="J421" s="323">
        <v>829</v>
      </c>
      <c r="K421" s="290">
        <v>1</v>
      </c>
      <c r="L421" s="209" t="s">
        <v>3325</v>
      </c>
      <c r="M421" s="209" t="b">
        <v>0</v>
      </c>
      <c r="O421" s="209" t="s">
        <v>2832</v>
      </c>
      <c r="P421" s="209" t="s">
        <v>159</v>
      </c>
      <c r="Q421" s="243" t="s">
        <v>160</v>
      </c>
      <c r="R421" s="243"/>
      <c r="S421" s="243"/>
      <c r="Z421" s="209"/>
      <c r="AA421" s="209"/>
      <c r="AB421" s="209"/>
      <c r="AH421" s="244"/>
      <c r="AI421" s="244"/>
      <c r="AJ421" s="244"/>
      <c r="AQ421" s="209"/>
      <c r="AR421" s="209"/>
      <c r="AS421" s="209"/>
      <c r="BX421" s="274"/>
      <c r="CA421" s="209"/>
      <c r="CO421" s="209" t="s">
        <v>199</v>
      </c>
      <c r="CP421" s="209" t="s">
        <v>149</v>
      </c>
      <c r="CQ421" s="209" t="s">
        <v>612</v>
      </c>
      <c r="CR421" s="209" t="s">
        <v>715</v>
      </c>
      <c r="CS421" s="209" t="s">
        <v>3243</v>
      </c>
      <c r="CT421" s="209" t="s">
        <v>612</v>
      </c>
      <c r="CU421" s="211" t="str">
        <f t="shared" si="169"/>
        <v>N/A</v>
      </c>
      <c r="CV421" s="211" t="str">
        <f t="shared" si="170"/>
        <v>N/A</v>
      </c>
      <c r="CW421" s="211" t="str">
        <f t="shared" si="171"/>
        <v>N/A</v>
      </c>
      <c r="CX421" s="211" t="str">
        <f t="shared" si="172"/>
        <v>N/A</v>
      </c>
      <c r="CY421" s="211" t="str">
        <f t="shared" si="173"/>
        <v>N/A</v>
      </c>
      <c r="CZ421" s="211" t="str">
        <f t="shared" si="174"/>
        <v>N/A</v>
      </c>
      <c r="DA421" s="211" t="str">
        <f t="shared" si="175"/>
        <v>N/A</v>
      </c>
      <c r="DB421" s="211" t="str">
        <f t="shared" si="176"/>
        <v>N/A</v>
      </c>
      <c r="DC421" s="211" t="str">
        <f t="shared" si="177"/>
        <v>N/A</v>
      </c>
      <c r="DD421" s="211" t="str">
        <f t="shared" si="178"/>
        <v>N/A</v>
      </c>
      <c r="DE421" s="211" t="str">
        <f t="shared" si="179"/>
        <v>N/A</v>
      </c>
      <c r="DF421" s="211" t="str">
        <f t="shared" si="180"/>
        <v>Para el segundo semestre de la vigencia 2025, la Dirección de IV para Prestadores de Servicios de Salud adelantó tres (3) acciones de inspección y vigilancia orientadas al monitoreo de riesgos de los Prestadores de Servicios de Salud (PSS), dando cumplimiento al 100 % de la meta establecida para el periodo, la cual contemplaba la realización de tres (3) acciones.   
Estas acciones se enmarcan en lo siguiente:
Supervisión basada en cumplimiento
• Avidanti S.A.S.: Se realizó una auditoría integral enfocada en el Sistema Integrado de Gestión de Riesgos, motivada por denuncias difundidas en medios de comunicación. Como resultado del ejercicio de inspección y vigilancia, se surtieron las etapas de planeación y elaboración del informe correspondiente (radicado No. 20254100002470031), así como el traslado de los hallazgos a las autoridades y dependencias competentes, entre ellas la Fiscalía General de la Nación (radicado No. 20254100003134241), la Dirección Territorial de Salud de Caldas (radicado No. 20254100002732801), la Delegada para Investigaciones Administrativas (radicado No. 20254100000118503) y la Delegada para Entidades de Aseguramiento (radicado No. 20254100200118433).
•Clínica La Sabana S.A.: Se efectuó un requerimiento de información relacionado con el cumplimiento de los requisitos del Oficial de Cumplimiento del SARLAFT/FPADM, a partir de una denuncia ciudadana. El requerimiento fue formulado mediante el radicado No. 20254100003152881 y, una vez analizados los soportes allegados por la entidad, se remitió el oficio con las observaciones correspondientes a través del radicado No. 20264100000042291.
Supervisión basada en riesgos / Supervisión basada en cumplimiento
•Orthoplan S.A.S.: Se adelantó un ejercicio de seguimiento y evaluación al prestador, enfocado en los subsistemas de riesgos de Lavado de Activos y Financiación del Terrorismo (LA/FT) y de Corrupción, Opacidad y Fraude (COF), así como en el cumplimiento de la normatividad legal vigente, motivado por una denuncia ciudadana. En el desarrollo de esta actuación se realizaron, entre otras, las siguientes actividades: i) requerimiento de información a la IPS (radicado No. 20254100000894641); ii) análisis de la información remitida para el diagnóstico de la entidad; iii) emisión del concepto técnico correspondiente (radicado No. 20254100003362741); y iv) traslado de los hallazgos a las instancias competentes, incluyendo el Tribunal de Ética Odontológica (radicado No. 20264100000019751), la Secretaría de Salud de Cali (radicado No. 20264100000026241) y la Delegada para Investigaciones Administrativas (radicado No. 20264100000001403).
Como resultado de las acciones adelantadas, se identificaron incumplimientos a la normatividad aplicable y alertas relevantes en materia de gestión de riesgos, las cuales constituyen insumos fundamentales para la adopción de medidas de seguimiento y, de ser procedente, la apertura de actuaciones administrativas, en el marco de las funciones de inspección, vigilancia y control de la Superintendencia Nacional de Salud.</v>
      </c>
    </row>
    <row r="422" spans="1:110" ht="64.5" customHeight="1">
      <c r="A422" s="349" t="s">
        <v>190</v>
      </c>
      <c r="B422" s="209" t="s">
        <v>149</v>
      </c>
      <c r="C422" s="209" t="s">
        <v>486</v>
      </c>
      <c r="D422" s="209" t="s">
        <v>487</v>
      </c>
      <c r="E422" s="209" t="s">
        <v>488</v>
      </c>
      <c r="F422" s="349" t="s">
        <v>489</v>
      </c>
      <c r="G422" s="209" t="s">
        <v>178</v>
      </c>
      <c r="H422" s="243">
        <v>52</v>
      </c>
      <c r="I422" s="323">
        <v>52</v>
      </c>
      <c r="J422" s="323">
        <v>52</v>
      </c>
      <c r="K422" s="290">
        <v>1</v>
      </c>
      <c r="L422" s="209" t="s">
        <v>3331</v>
      </c>
      <c r="M422" s="209" t="b">
        <v>0</v>
      </c>
      <c r="O422" s="209" t="s">
        <v>2832</v>
      </c>
      <c r="P422" s="209" t="s">
        <v>159</v>
      </c>
      <c r="Q422" s="243" t="s">
        <v>160</v>
      </c>
      <c r="R422" s="243"/>
      <c r="S422" s="243"/>
      <c r="Z422" s="209"/>
      <c r="AA422" s="209"/>
      <c r="AB422" s="209"/>
      <c r="AH422" s="244"/>
      <c r="AI422" s="244"/>
      <c r="AJ422" s="244"/>
      <c r="AQ422" s="209"/>
      <c r="AR422" s="209"/>
      <c r="AS422" s="209"/>
      <c r="BX422" s="274"/>
      <c r="CA422" s="209"/>
      <c r="CO422" s="209" t="s">
        <v>271</v>
      </c>
      <c r="CP422" s="209" t="s">
        <v>149</v>
      </c>
      <c r="CQ422" s="209" t="s">
        <v>272</v>
      </c>
      <c r="CR422" s="209" t="s">
        <v>273</v>
      </c>
      <c r="CS422" s="209" t="s">
        <v>3178</v>
      </c>
      <c r="CT422" s="209" t="s">
        <v>272</v>
      </c>
      <c r="CU422" s="211" t="str">
        <f t="shared" si="169"/>
        <v>N/A</v>
      </c>
      <c r="CV422" s="211" t="str">
        <f t="shared" si="170"/>
        <v>N/A</v>
      </c>
      <c r="CW422" s="211" t="str">
        <f t="shared" si="171"/>
        <v>N/A</v>
      </c>
      <c r="CX422" s="211" t="str">
        <f t="shared" si="172"/>
        <v>N/A</v>
      </c>
      <c r="CY422" s="211" t="str">
        <f t="shared" si="173"/>
        <v>N/A</v>
      </c>
      <c r="CZ422" s="211" t="str">
        <f t="shared" si="174"/>
        <v>N/A</v>
      </c>
      <c r="DA422" s="211" t="str">
        <f t="shared" si="175"/>
        <v>N/A</v>
      </c>
      <c r="DB422" s="211" t="str">
        <f t="shared" si="176"/>
        <v>N/A</v>
      </c>
      <c r="DC422" s="211" t="str">
        <f t="shared" si="177"/>
        <v>N/A</v>
      </c>
      <c r="DD422" s="211" t="str">
        <f t="shared" si="178"/>
        <v>N/A</v>
      </c>
      <c r="DE422" s="211" t="str">
        <f t="shared" si="179"/>
        <v>N/A</v>
      </c>
      <c r="DF422" s="211" t="str">
        <f t="shared" si="180"/>
        <v xml:space="preserve">​
Para el reporte correspondientes al trimestre pasado (III), se evidenció un cumplimiento parcial de la meta, debido a que no fue posible reportar oportrunamente las acciones con aseguradores por parte de las Direcciones Regionales de Chocó y Norte. Esta situación se presentó como consecuencias de fallas técnicas que impidieron el cargue de la información dentro de los tiempos establecidos. 
No obstante, una vez superadas dichas contingencias, se registran los avances en estas dos regionales, lo que permite dar cumplimiento a la meta establecida para la vigencia, corresponidente a 2 actores del sistema de salud con acciones por parte de las Direcciones Regionales. A continuación, presenta esta información de manera detallada:
REGIONAL CHOCÓ:Mesa técnica en el marco RIAS . Mesa de PQRD FOMAG
REGIONAL NORTE: Se realizaron 3 Mesas de PQRD Cajacopi, Coosalud y Mutualser
De igual forma, se realizaron más acciones por parte de otras Direcciones Regionales, las cuales se presentan a continuación:
REGIONAL NORORIENTAL: Seguimiento mesa de contratacióncon Coosalud
REGIONAL ORINOQUIA: Mesa de contingencia de medicamentos con Nueva EPS y el Gestor Farmacéutico de MyT -  Mesa problemática de prestación de servicios con Coosalud y los prestadores Salud Renal y MyT - Mesa problemática de prestación de servicios con Sanitas y los prestadores Salud Renal y MyT - Mesa problemática de prestación de servicios con Nueva EPS y los prestadores Salud Renal y MyT
REGIONAL OCCIDENTAL SEDE AGUALONGO: Mesa problemática de prestación  de servicios  con Asmet Salud y las ESE de la Costa Pacífica.
REGIONAL CARIBE: Mesa técnica en el  marco RIAS en Valledpar, Cesar.
DIRECCIÓN REGIONAL SUR: mesa de trabajo con los Seguro Obligatorio de Accidentes de Tránsito (SOAT) y la Nueva EPS
</v>
      </c>
    </row>
    <row r="423" spans="1:110" ht="64.5" customHeight="1">
      <c r="A423" s="349" t="s">
        <v>190</v>
      </c>
      <c r="B423" s="209" t="s">
        <v>149</v>
      </c>
      <c r="C423" s="209" t="s">
        <v>244</v>
      </c>
      <c r="D423" s="209" t="s">
        <v>376</v>
      </c>
      <c r="E423" s="209" t="s">
        <v>377</v>
      </c>
      <c r="F423" s="349" t="s">
        <v>378</v>
      </c>
      <c r="G423" s="209" t="s">
        <v>178</v>
      </c>
      <c r="H423" s="243">
        <v>63</v>
      </c>
      <c r="I423" s="323">
        <v>63</v>
      </c>
      <c r="J423" s="323">
        <v>63</v>
      </c>
      <c r="K423" s="290">
        <v>1</v>
      </c>
      <c r="L423" s="209" t="s">
        <v>3308</v>
      </c>
      <c r="M423" s="209" t="b">
        <v>0</v>
      </c>
      <c r="O423" s="209" t="s">
        <v>2832</v>
      </c>
      <c r="P423" s="209" t="s">
        <v>159</v>
      </c>
      <c r="Q423" s="243" t="s">
        <v>160</v>
      </c>
      <c r="R423" s="243"/>
      <c r="S423" s="243"/>
      <c r="Z423" s="209"/>
      <c r="AA423" s="209"/>
      <c r="AB423" s="209"/>
      <c r="AH423" s="244"/>
      <c r="AI423" s="244"/>
      <c r="AJ423" s="244"/>
      <c r="AQ423" s="209"/>
      <c r="AR423" s="209"/>
      <c r="AS423" s="209"/>
      <c r="BX423" s="274"/>
      <c r="CA423" s="209"/>
      <c r="CO423" s="209" t="s">
        <v>271</v>
      </c>
      <c r="CP423" s="209" t="s">
        <v>149</v>
      </c>
      <c r="CQ423" s="209" t="s">
        <v>284</v>
      </c>
      <c r="CR423" s="209" t="s">
        <v>285</v>
      </c>
      <c r="CS423" s="209" t="s">
        <v>3180</v>
      </c>
      <c r="CT423" s="209" t="s">
        <v>284</v>
      </c>
      <c r="CU423" s="211" t="str">
        <f t="shared" si="169"/>
        <v>N/A</v>
      </c>
      <c r="CV423" s="211" t="str">
        <f t="shared" si="170"/>
        <v>N/A</v>
      </c>
      <c r="CW423" s="211" t="str">
        <f t="shared" si="171"/>
        <v>N/A</v>
      </c>
      <c r="CX423" s="211" t="str">
        <f t="shared" si="172"/>
        <v>N/A</v>
      </c>
      <c r="CY423" s="211" t="str">
        <f t="shared" si="173"/>
        <v>N/A</v>
      </c>
      <c r="CZ423" s="211" t="str">
        <f t="shared" si="174"/>
        <v>N/A</v>
      </c>
      <c r="DA423" s="211" t="str">
        <f t="shared" si="175"/>
        <v>N/A</v>
      </c>
      <c r="DB423" s="211" t="str">
        <f t="shared" si="176"/>
        <v>N/A</v>
      </c>
      <c r="DC423" s="211" t="str">
        <f t="shared" si="177"/>
        <v>N/A</v>
      </c>
      <c r="DD423" s="211" t="str">
        <f t="shared" si="178"/>
        <v>N/A</v>
      </c>
      <c r="DE423" s="211" t="str">
        <f t="shared" si="179"/>
        <v>N/A</v>
      </c>
      <c r="DF423" s="211" t="str">
        <f t="shared" si="180"/>
        <v xml:space="preserve">Durante los meses de noviembre y diciembre no se generaron alertas en las acciones de IV a Generadores, Recaudadores y Administradores de recursos del SGSSS con acciones de gestión sobre el total de alertas. Siendo un indicador a demanda se alcanza el 100%.
</v>
      </c>
    </row>
    <row r="424" spans="1:110" ht="64.5" customHeight="1">
      <c r="A424" s="349" t="s">
        <v>190</v>
      </c>
      <c r="B424" s="209" t="s">
        <v>149</v>
      </c>
      <c r="C424" s="209" t="s">
        <v>381</v>
      </c>
      <c r="D424" s="209" t="s">
        <v>382</v>
      </c>
      <c r="E424" s="209" t="s">
        <v>383</v>
      </c>
      <c r="F424" s="349" t="s">
        <v>384</v>
      </c>
      <c r="G424" s="209" t="s">
        <v>178</v>
      </c>
      <c r="H424" s="243">
        <v>12</v>
      </c>
      <c r="I424" s="323">
        <v>12</v>
      </c>
      <c r="J424" s="323">
        <v>12</v>
      </c>
      <c r="K424" s="290">
        <v>1</v>
      </c>
      <c r="L424" s="209" t="s">
        <v>3320</v>
      </c>
      <c r="M424" s="209" t="b">
        <v>1</v>
      </c>
      <c r="N424" s="209" t="s">
        <v>3321</v>
      </c>
      <c r="O424" s="209" t="s">
        <v>2832</v>
      </c>
      <c r="P424" s="209" t="s">
        <v>159</v>
      </c>
      <c r="Q424" s="243" t="s">
        <v>160</v>
      </c>
      <c r="R424" s="243"/>
      <c r="S424" s="243"/>
      <c r="Z424" s="209"/>
      <c r="AA424" s="209"/>
      <c r="AB424" s="209"/>
      <c r="AH424" s="244"/>
      <c r="AI424" s="244"/>
      <c r="AJ424" s="244"/>
      <c r="AQ424" s="209"/>
      <c r="AR424" s="209"/>
      <c r="AS424" s="209"/>
      <c r="BX424" s="274"/>
      <c r="CA424" s="209"/>
      <c r="CO424" s="209" t="s">
        <v>271</v>
      </c>
      <c r="CP424" s="209" t="s">
        <v>149</v>
      </c>
      <c r="CQ424" s="209" t="s">
        <v>563</v>
      </c>
      <c r="CR424" s="209" t="s">
        <v>564</v>
      </c>
      <c r="CS424" s="209" t="s">
        <v>3181</v>
      </c>
      <c r="CT424" s="209" t="s">
        <v>563</v>
      </c>
      <c r="CU424" s="211" t="str">
        <f t="shared" si="169"/>
        <v>N/A</v>
      </c>
      <c r="CV424" s="211" t="str">
        <f t="shared" si="170"/>
        <v>N/A</v>
      </c>
      <c r="CW424" s="211" t="str">
        <f t="shared" si="171"/>
        <v>N/A</v>
      </c>
      <c r="CX424" s="211" t="str">
        <f t="shared" si="172"/>
        <v>N/A</v>
      </c>
      <c r="CY424" s="211" t="str">
        <f t="shared" si="173"/>
        <v>N/A</v>
      </c>
      <c r="CZ424" s="211" t="str">
        <f t="shared" si="174"/>
        <v>N/A</v>
      </c>
      <c r="DA424" s="211" t="str">
        <f t="shared" si="175"/>
        <v>N/A</v>
      </c>
      <c r="DB424" s="211" t="str">
        <f t="shared" si="176"/>
        <v>N/A</v>
      </c>
      <c r="DC424" s="211" t="str">
        <f t="shared" si="177"/>
        <v>N/A</v>
      </c>
      <c r="DD424" s="211" t="str">
        <f t="shared" si="178"/>
        <v>N/A</v>
      </c>
      <c r="DE424" s="211" t="str">
        <f t="shared" si="179"/>
        <v>N/A</v>
      </c>
      <c r="DF424" s="211" t="str">
        <f t="shared" si="180"/>
        <v xml:space="preserve">​
Durante el periodo evaluado, las Direcciones Regionales adelantaron 53 acciones  en el marco del Acuardo a Nivel de Servicios con otras Delegadas de la SNS:
Regional Caribe: Se realizó la aplicación de IVR a los gestores farmacéuticos Pharmasan S.A.S., Cafam y Audifarma en el municipio de Valledupar; Difimedicas en Aguachica (Cesar); CAFAM en Pueblo Viejo y Suplimedic en Salamina (Magdalena); y Éticos en Albania (La Guajira).
Adicionalmente, se desarrollaron actividades lúdicas en el marco de mecanismos de participación ciudadana dirigidos a niños, niñas y adolescentes en Maicao; jornadas de atención en Riohacha (La Guajira) y Ciénaga (Magdalena); así como verificación de demoras en el proceso de referencia y contrarreferencia en las ESE José David Padilla y Luis Carlos Galán (Aguachica, Cesar), Samuel Villanueva (La Guajira), La Candelaria (El Banco, Magdalena), Hospital San Rafael (Albania, La Guajira), Hospital 7 de Agosto y Hospital Fray Luis (Plato, Magdalena).
Regional Occidental – Sede Agualongo: Se realizó la aplicación de IVR a los gestores farmacéuticos FOMAG – Proinsalud y Nueva EPS – Medico Colombia, en la sede Valle del Atriz.
Regional Occidental: Se efectuó seguimiento durante los meses de octubre y noviembre a la mesa de conciliación entre gestores farmacéuticos y EPS. Asimismo, se brindó apoyo a la Defensoría del Pueblo (DPU) en jornadas de atención al usuario en Yopal, y se socializó el plan de acción relacionado con la IVR al gestor farmacéutico Colsubsidio.
Regional Norte: Se aplicó IVR a Pharmaser (Cartagena) el 15 y 16 de octubre de 2025, y a Disfarma (San Onofre) el 15 de octubre de 2025. Igualmente, se desarrolló una jornada de capacitación al usuario en el año 2025.
Regional Nororiental: Se aplicó IVR a los gestores farmacéuticos Difimedicas (Socorro), Disfarma (Cúcuta), Colsubsidio (Sogamoso) y Discolmed (Socha). Asimismo, se adelantó verificación y acompañamiento a la ESE Sansegcoop (Cúcuta).
Regional Chocó: Se realizó IVR a los gestores Humansalud, Contrafachada, Servimedic, Combate, Germis y El Descuento.
Dirección Regional Sur: Se desarrollaron acciones con los gestores farmacéuticos Audifarma (Ibagué), Comfandi (Florencia), Acevedo, Disfarma (Ibagué) y Líbano.
Adicionalmente, se realizó seguimiento al sistema de referencia y contrarreferencia del Hospital María Inmaculada y Medilaser (Florencia), así como del Hospital San Juan Bautista de Chaparral.
Se efectuaron jornadas de atención al usuario y capacitación en los municipios de Ábaco, Chaparral, Neiva, Puerto Asís, Honda y Mariquita, y se brindó apoyo a la Delegada de Aseguramiento en el seguimiento a mesas de IV para la implementación de RIAS con EPS en la ciudad de Ibagué.
</v>
      </c>
    </row>
    <row r="425" spans="1:110" ht="64.5" customHeight="1">
      <c r="A425" s="349" t="s">
        <v>190</v>
      </c>
      <c r="B425" s="209" t="s">
        <v>149</v>
      </c>
      <c r="C425" s="209" t="s">
        <v>398</v>
      </c>
      <c r="D425" s="209" t="s">
        <v>399</v>
      </c>
      <c r="E425" s="209" t="s">
        <v>400</v>
      </c>
      <c r="F425" s="349" t="s">
        <v>401</v>
      </c>
      <c r="G425" s="209" t="s">
        <v>178</v>
      </c>
      <c r="H425" s="243">
        <v>0.98</v>
      </c>
      <c r="I425" s="323">
        <v>43472</v>
      </c>
      <c r="J425" s="323">
        <v>43767</v>
      </c>
      <c r="K425" s="290">
        <v>0.99325976192108201</v>
      </c>
      <c r="L425" s="209" t="s">
        <v>3317</v>
      </c>
      <c r="M425" s="209" t="b">
        <v>1</v>
      </c>
      <c r="N425" s="209" t="s">
        <v>3318</v>
      </c>
      <c r="O425" s="209" t="s">
        <v>2832</v>
      </c>
      <c r="P425" s="209" t="s">
        <v>159</v>
      </c>
      <c r="Q425" s="243" t="s">
        <v>160</v>
      </c>
      <c r="R425" s="243"/>
      <c r="S425" s="243"/>
      <c r="Z425" s="209"/>
      <c r="AA425" s="209"/>
      <c r="AB425" s="209"/>
      <c r="AH425" s="244"/>
      <c r="AI425" s="244"/>
      <c r="AJ425" s="244"/>
      <c r="AQ425" s="209"/>
      <c r="AR425" s="209"/>
      <c r="AS425" s="209"/>
      <c r="BX425" s="274"/>
      <c r="CA425" s="209"/>
      <c r="CO425" s="209" t="s">
        <v>271</v>
      </c>
      <c r="CP425" s="209" t="s">
        <v>149</v>
      </c>
      <c r="CQ425" s="209" t="s">
        <v>296</v>
      </c>
      <c r="CR425" s="209" t="s">
        <v>297</v>
      </c>
      <c r="CS425" s="209" t="s">
        <v>3183</v>
      </c>
      <c r="CT425" s="209" t="s">
        <v>296</v>
      </c>
      <c r="CU425" s="211" t="str">
        <f t="shared" si="169"/>
        <v>N/A</v>
      </c>
      <c r="CV425" s="211" t="str">
        <f t="shared" si="170"/>
        <v>N/A</v>
      </c>
      <c r="CW425" s="211" t="str">
        <f t="shared" si="171"/>
        <v>N/A</v>
      </c>
      <c r="CX425" s="211" t="str">
        <f t="shared" si="172"/>
        <v>N/A</v>
      </c>
      <c r="CY425" s="211" t="str">
        <f t="shared" si="173"/>
        <v>N/A</v>
      </c>
      <c r="CZ425" s="211" t="str">
        <f t="shared" si="174"/>
        <v>N/A</v>
      </c>
      <c r="DA425" s="211" t="str">
        <f t="shared" si="175"/>
        <v>N/A</v>
      </c>
      <c r="DB425" s="211" t="str">
        <f t="shared" si="176"/>
        <v>N/A</v>
      </c>
      <c r="DC425" s="211" t="str">
        <f t="shared" si="177"/>
        <v>N/A</v>
      </c>
      <c r="DD425" s="211" t="str">
        <f t="shared" si="178"/>
        <v>N/A</v>
      </c>
      <c r="DE425" s="211" t="str">
        <f t="shared" si="179"/>
        <v>N/A</v>
      </c>
      <c r="DF425" s="211" t="str">
        <f t="shared" si="180"/>
        <v xml:space="preserve">Para este reporte se cuenta con un número mayor de seguimientos, ya que para el III Trimestre se presentó un rezago en la meta establecida para ese periodo.
En el mes de octubre se realizaron 5 seguimientos en el marco del Plan Padrino a las siguientes regionales: Nororiental, Occidental, Sede Agualongo, Sur y Orinoquía.
Para los meses de noviembre y diciembre se realizaron 9 seguimientos a las siguientes Direcciones Regionales: Caribe, Andina, Chocó, Orinoquía, Norte, Sur, Sede Agualongo, Sede Insular y Nororiental.
</v>
      </c>
    </row>
    <row r="426" spans="1:110" ht="64.5" customHeight="1">
      <c r="A426" s="349" t="s">
        <v>190</v>
      </c>
      <c r="B426" s="209" t="s">
        <v>149</v>
      </c>
      <c r="C426" s="209" t="s">
        <v>403</v>
      </c>
      <c r="D426" s="209" t="s">
        <v>404</v>
      </c>
      <c r="E426" s="209" t="s">
        <v>405</v>
      </c>
      <c r="F426" s="349" t="s">
        <v>406</v>
      </c>
      <c r="G426" s="209" t="s">
        <v>178</v>
      </c>
      <c r="H426" s="243">
        <v>0.99870000000000003</v>
      </c>
      <c r="I426" s="323">
        <v>130738</v>
      </c>
      <c r="J426" s="323">
        <v>131672</v>
      </c>
      <c r="K426" s="290">
        <v>0.99290661644085298</v>
      </c>
      <c r="L426" s="209" t="s">
        <v>3319</v>
      </c>
      <c r="M426" s="209" t="b">
        <v>1</v>
      </c>
      <c r="N426" s="209" t="s">
        <v>3318</v>
      </c>
      <c r="O426" s="209" t="s">
        <v>2832</v>
      </c>
      <c r="P426" s="209" t="s">
        <v>159</v>
      </c>
      <c r="Q426" s="243" t="s">
        <v>160</v>
      </c>
      <c r="R426" s="243"/>
      <c r="S426" s="243"/>
      <c r="Z426" s="209"/>
      <c r="AA426" s="209"/>
      <c r="AB426" s="209"/>
      <c r="AH426" s="244"/>
      <c r="AI426" s="244"/>
      <c r="AJ426" s="244"/>
      <c r="AQ426" s="209"/>
      <c r="AR426" s="209"/>
      <c r="AS426" s="209"/>
      <c r="BX426" s="274"/>
      <c r="CA426" s="209"/>
      <c r="CO426" s="209" t="s">
        <v>271</v>
      </c>
      <c r="CP426" s="209" t="s">
        <v>149</v>
      </c>
      <c r="CQ426" s="209" t="s">
        <v>547</v>
      </c>
      <c r="CR426" s="209" t="s">
        <v>548</v>
      </c>
      <c r="CS426" s="209" t="s">
        <v>3185</v>
      </c>
      <c r="CT426" s="209" t="s">
        <v>547</v>
      </c>
      <c r="CU426" s="211" t="str">
        <f t="shared" si="169"/>
        <v>N/A</v>
      </c>
      <c r="CV426" s="211" t="str">
        <f t="shared" si="170"/>
        <v>N/A</v>
      </c>
      <c r="CW426" s="211" t="str">
        <f t="shared" si="171"/>
        <v>N/A</v>
      </c>
      <c r="CX426" s="211" t="str">
        <f t="shared" si="172"/>
        <v>N/A</v>
      </c>
      <c r="CY426" s="211" t="str">
        <f t="shared" si="173"/>
        <v>N/A</v>
      </c>
      <c r="CZ426" s="211" t="str">
        <f t="shared" si="174"/>
        <v>N/A</v>
      </c>
      <c r="DA426" s="211" t="str">
        <f t="shared" si="175"/>
        <v>N/A</v>
      </c>
      <c r="DB426" s="211" t="str">
        <f t="shared" si="176"/>
        <v>N/A</v>
      </c>
      <c r="DC426" s="211" t="str">
        <f t="shared" si="177"/>
        <v>N/A</v>
      </c>
      <c r="DD426" s="211" t="str">
        <f t="shared" si="178"/>
        <v>N/A</v>
      </c>
      <c r="DE426" s="211" t="str">
        <f t="shared" si="179"/>
        <v>N/A</v>
      </c>
      <c r="DF426" s="211" t="str">
        <f t="shared" si="180"/>
        <v xml:space="preserve">​
Durante el cuatrimestre evaluado, las Direcciones Regionales adelantaron mesas de Inspección y Vigilancia (Mesas IV), conforme se detalla a continuación:
Regional Andina: se realizaron mesas de Inspección y Vigilancia en los municipios de Arboletes, Turbo, Anserma, Mistrató, Cañasgordas, Tarso, Risaralda y Zaragoza. 
Regional Nororiental: Se realizó una mesa de Inspección y Vigilancia en el municipio de Toledo. 
Regional Chocó: En el cuatrimestre se llevaron a cabo mesas de Inspección y Vigilancia en los municipios de Unión Panamericana, Bagadó, Bojayá y Tadó. 
Regional Caribe: Se realizaron mesas de Inspección y Vigilancia en los municipios de Maicao, Riohacha y Manaure, así como a nivel del departamento de La Guajira, conforme a lo establecido en la Circular Externa 202315100000015-5 de 2023 y en concordancia con la Sentencia T-302 de 2017. Adicionalmente, se efectuaron mesas de IV en los municipios de Albania (La Guajira) y González (Cesar).
Regional Orinoquía: se realizó una mesa de Inspección y Vigilancia en el municipio de Puerto López.
Regional Occidental – Sede Agualongo: Se desarrollaron dos (2) mesas de Inspección y Vigilancia: una en el municipio de Aldana y otra en el municipio de Policarpa, esta última con participación de la Entidad Territorial Departamental.
Regional Norte: Se realizó una mesa de Inspección y Vigilancia en el municipio de Guaranda (Sucre). Adicionalmente, en el marco de una Acción Integral en Territorio (AIT), se llevó a cabo en el mes de octubre una mesa de IV en el municipio de Magangué (Bolívar).
</v>
      </c>
    </row>
    <row r="427" spans="1:110" ht="64.5" customHeight="1">
      <c r="A427" s="349" t="s">
        <v>190</v>
      </c>
      <c r="B427" s="209" t="s">
        <v>149</v>
      </c>
      <c r="C427" s="209" t="s">
        <v>408</v>
      </c>
      <c r="D427" s="209" t="s">
        <v>409</v>
      </c>
      <c r="E427" s="209" t="s">
        <v>410</v>
      </c>
      <c r="F427" s="349" t="s">
        <v>411</v>
      </c>
      <c r="G427" s="209" t="s">
        <v>157</v>
      </c>
      <c r="H427" s="243">
        <v>3</v>
      </c>
      <c r="I427" s="323">
        <v>3</v>
      </c>
      <c r="J427" s="323">
        <v>3</v>
      </c>
      <c r="K427" s="290">
        <v>1</v>
      </c>
      <c r="L427" s="209" t="s">
        <v>3322</v>
      </c>
      <c r="M427" s="209" t="b">
        <v>1</v>
      </c>
      <c r="N427" s="209" t="s">
        <v>3318</v>
      </c>
      <c r="O427" s="209" t="s">
        <v>2832</v>
      </c>
      <c r="P427" s="209" t="s">
        <v>159</v>
      </c>
      <c r="Q427" s="243" t="s">
        <v>160</v>
      </c>
      <c r="R427" s="243"/>
      <c r="S427" s="243"/>
      <c r="Z427" s="209"/>
      <c r="AA427" s="209"/>
      <c r="AB427" s="209"/>
      <c r="AH427" s="244"/>
      <c r="AI427" s="244"/>
      <c r="AJ427" s="244"/>
      <c r="AQ427" s="209"/>
      <c r="AR427" s="209"/>
      <c r="AS427" s="209"/>
      <c r="BX427" s="274"/>
      <c r="CA427" s="209"/>
      <c r="CO427" s="209" t="s">
        <v>365</v>
      </c>
      <c r="CP427" s="209" t="s">
        <v>149</v>
      </c>
      <c r="CQ427" s="209" t="s">
        <v>510</v>
      </c>
      <c r="CR427" s="209" t="s">
        <v>431</v>
      </c>
      <c r="CS427" s="209" t="s">
        <v>3150</v>
      </c>
      <c r="CT427" s="209" t="s">
        <v>510</v>
      </c>
      <c r="CU427" s="211" t="str">
        <f t="shared" si="169"/>
        <v>N/A</v>
      </c>
      <c r="CV427" s="211" t="str">
        <f t="shared" si="170"/>
        <v>N/A</v>
      </c>
      <c r="CW427" s="211" t="str">
        <f t="shared" si="171"/>
        <v>N/A</v>
      </c>
      <c r="CX427" s="211" t="str">
        <f t="shared" si="172"/>
        <v>N/A</v>
      </c>
      <c r="CY427" s="211" t="str">
        <f t="shared" si="173"/>
        <v>N/A</v>
      </c>
      <c r="CZ427" s="211" t="str">
        <f t="shared" si="174"/>
        <v>N/A</v>
      </c>
      <c r="DA427" s="211" t="str">
        <f t="shared" si="175"/>
        <v>N/A</v>
      </c>
      <c r="DB427" s="211" t="str">
        <f t="shared" si="176"/>
        <v>N/A</v>
      </c>
      <c r="DC427" s="211" t="str">
        <f t="shared" si="177"/>
        <v>N/A</v>
      </c>
      <c r="DD427" s="211" t="str">
        <f t="shared" si="178"/>
        <v>N/A</v>
      </c>
      <c r="DE427" s="211" t="str">
        <f t="shared" si="179"/>
        <v>N/A</v>
      </c>
      <c r="DF427" s="211" t="str">
        <f t="shared" si="180"/>
        <v xml:space="preserve">​Una vez realizada la consolidación de las actividades de IV desarrolladas por los grupos internos de trabajo se indica que el cumplimiento del indicador para el cuarto trimestre correspondiente al 76 %., es decir se realizaron acciones de IV al 76% de los vigilados
Se aclara que cada grupo tienen diferentes tipos de vigilados por lo que el total de vigilados no son objeto de acciones de IV por todos los grupos internos de trabajo.
Para el IV trimestre no se alcanzo la meta programada, dado que se debio priorizar las auditorias, sumado al cambio de directivos y personal de planta
</v>
      </c>
    </row>
    <row r="428" spans="1:110" ht="64.5" customHeight="1">
      <c r="A428" s="349" t="s">
        <v>190</v>
      </c>
      <c r="B428" s="209" t="s">
        <v>149</v>
      </c>
      <c r="C428" s="209" t="s">
        <v>453</v>
      </c>
      <c r="D428" s="209" t="s">
        <v>751</v>
      </c>
      <c r="E428" s="209" t="s">
        <v>752</v>
      </c>
      <c r="F428" s="349" t="s">
        <v>3326</v>
      </c>
      <c r="G428" s="209" t="s">
        <v>178</v>
      </c>
      <c r="H428" s="243">
        <v>0.95</v>
      </c>
      <c r="I428" s="436">
        <v>22676335912</v>
      </c>
      <c r="J428" s="436">
        <v>26161920186</v>
      </c>
      <c r="K428" s="290">
        <v>0.86676879031741605</v>
      </c>
      <c r="L428" s="209" t="s">
        <v>3327</v>
      </c>
      <c r="M428" s="209" t="b">
        <v>0</v>
      </c>
      <c r="O428" s="209" t="s">
        <v>2832</v>
      </c>
      <c r="P428" s="209" t="s">
        <v>159</v>
      </c>
      <c r="Q428" s="243" t="s">
        <v>160</v>
      </c>
      <c r="R428" s="243"/>
      <c r="S428" s="243"/>
      <c r="Z428" s="209"/>
      <c r="AA428" s="209"/>
      <c r="AB428" s="209"/>
      <c r="AH428" s="244"/>
      <c r="AI428" s="244"/>
      <c r="AJ428" s="244"/>
      <c r="AQ428" s="209"/>
      <c r="AR428" s="209"/>
      <c r="AS428" s="209"/>
      <c r="BX428" s="274"/>
      <c r="CA428" s="209"/>
      <c r="CO428" s="209" t="s">
        <v>199</v>
      </c>
      <c r="CP428" s="209" t="s">
        <v>149</v>
      </c>
      <c r="CQ428" s="209" t="s">
        <v>630</v>
      </c>
      <c r="CR428" s="209" t="s">
        <v>705</v>
      </c>
      <c r="CS428" s="209" t="s">
        <v>3245</v>
      </c>
      <c r="CT428" s="209" t="s">
        <v>630</v>
      </c>
      <c r="CU428" s="211" t="str">
        <f t="shared" si="169"/>
        <v>N/A</v>
      </c>
      <c r="CV428" s="211" t="str">
        <f t="shared" si="170"/>
        <v>N/A</v>
      </c>
      <c r="CW428" s="211" t="str">
        <f t="shared" si="171"/>
        <v>N/A</v>
      </c>
      <c r="CX428" s="211" t="str">
        <f t="shared" si="172"/>
        <v>N/A</v>
      </c>
      <c r="CY428" s="211" t="str">
        <f t="shared" si="173"/>
        <v>N/A</v>
      </c>
      <c r="CZ428" s="211" t="str">
        <f t="shared" si="174"/>
        <v>N/A</v>
      </c>
      <c r="DA428" s="211" t="str">
        <f t="shared" si="175"/>
        <v>N/A</v>
      </c>
      <c r="DB428" s="211" t="str">
        <f t="shared" si="176"/>
        <v>N/A</v>
      </c>
      <c r="DC428" s="211" t="str">
        <f t="shared" si="177"/>
        <v>N/A</v>
      </c>
      <c r="DD428" s="211" t="str">
        <f t="shared" si="178"/>
        <v>N/A</v>
      </c>
      <c r="DE428" s="211" t="str">
        <f t="shared" si="179"/>
        <v>N/A</v>
      </c>
      <c r="DF428" s="211" t="str">
        <f t="shared" si="180"/>
        <v xml:space="preserve">
En el marco de las acciones desarrolladas por la Dirección IV para Prestadores de Servicios de Salud, se adelanta el monitoreo de cuatro (4) indicadores financieros, calculados con base en la información reportada por las Empresas Sociales del Estado (E.S.E.) al cierre de la vigencia anterior (2024). Estos indicadores incorporan variables relacionadas con la cartera, los pasivos, en especial aquellos asociados al talento humano en salud, las pérdidas operacionales y la capacidad de recaudo frente a los ingresos causados.
Para el segundo semestre de la vigencia 2025, se estableció como meta el seguimiento y la ejecución de acciones de inspección y vigilancia sobre treinta y tres (33) Empresas Sociales del Estado, con el propósito de verificar el comportamiento de los indicadores financieros y detectar oportunamente posibles desviaciones o fallas en la gestión de los recursos.
Como resultado de estas actuaciones, se elaboraron informes de auditoría, se efectuaron traslados a las autoridades competentes y se adelantaron acciones de inspección y vigilancia asociadas al componente financiero, orientadas a mitigar los riesgos identificados y a fortalecer la sostenibilidad financiera de las entidades evaluadas.
En consecuencia, durante el segundo semestre de la vigencia 2025, se analizaron ciento treinta y dos (132) indicadores derivados del seguimiento realizado a las treinta y tres (33) E.S.E. monitoreadas, de los cuales se generaron setenta y dos (72) alertas, las cuales fueron gestionadas en su totalidad. Este resultado permitió alcanzar un 120% frente a la meta programada para el segundo semestre de la vigencia 2025, correspondiente a sesenta (60) acciones de inspección y vigilancia orientadas al monitoreo de los riesgos financieros en las Empresas Sociales del Estado priorizadas.
En ese orden de ideas, para la vigencia 2025, en específico para este indicador, se ejecutaron en su totalidad cien (100) acciones de inspección y vigilancia programadas, alcanzando un cumplimiento del 100% frente a la meta establecida, contribuyendo a la generación de controles preventivos que anticipen posibles afectaciones en la atención de los usuarios derivadas de una inadecuada gestión de los recursos.
</v>
      </c>
    </row>
    <row r="429" spans="1:110" ht="64.5" customHeight="1">
      <c r="A429" s="349" t="s">
        <v>190</v>
      </c>
      <c r="B429" s="209" t="s">
        <v>149</v>
      </c>
      <c r="C429" s="209" t="s">
        <v>503</v>
      </c>
      <c r="D429" s="209" t="s">
        <v>504</v>
      </c>
      <c r="E429" s="209" t="s">
        <v>505</v>
      </c>
      <c r="F429" s="349" t="s">
        <v>506</v>
      </c>
      <c r="G429" s="209" t="s">
        <v>178</v>
      </c>
      <c r="H429" s="243">
        <v>8</v>
      </c>
      <c r="I429" s="323">
        <v>8</v>
      </c>
      <c r="J429" s="323">
        <v>8</v>
      </c>
      <c r="K429" s="288">
        <v>1</v>
      </c>
      <c r="L429" s="209" t="s">
        <v>3334</v>
      </c>
      <c r="M429" s="209" t="b">
        <v>0</v>
      </c>
      <c r="O429" s="209" t="s">
        <v>2832</v>
      </c>
      <c r="P429" s="209" t="s">
        <v>159</v>
      </c>
      <c r="Q429" s="243" t="s">
        <v>160</v>
      </c>
      <c r="R429" s="243"/>
      <c r="S429" s="243"/>
      <c r="Z429" s="209"/>
      <c r="AA429" s="209"/>
      <c r="AB429" s="209"/>
      <c r="AH429" s="244"/>
      <c r="AI429" s="244"/>
      <c r="AJ429" s="244"/>
      <c r="AQ429" s="209"/>
      <c r="AR429" s="209"/>
      <c r="AS429" s="209"/>
      <c r="BX429" s="274"/>
      <c r="CA429" s="209"/>
      <c r="CO429" s="209" t="s">
        <v>199</v>
      </c>
      <c r="CP429" s="209" t="s">
        <v>149</v>
      </c>
      <c r="CQ429" s="209" t="s">
        <v>635</v>
      </c>
      <c r="CR429" s="209" t="s">
        <v>3247</v>
      </c>
      <c r="CS429" s="209" t="s">
        <v>3248</v>
      </c>
      <c r="CT429" s="209" t="s">
        <v>635</v>
      </c>
      <c r="CU429" s="211" t="str">
        <f t="shared" si="169"/>
        <v>N/A</v>
      </c>
      <c r="CV429" s="211" t="str">
        <f t="shared" si="170"/>
        <v>N/A</v>
      </c>
      <c r="CW429" s="211" t="str">
        <f t="shared" si="171"/>
        <v>N/A</v>
      </c>
      <c r="CX429" s="211" t="str">
        <f t="shared" si="172"/>
        <v>N/A</v>
      </c>
      <c r="CY429" s="211" t="str">
        <f t="shared" si="173"/>
        <v>N/A</v>
      </c>
      <c r="CZ429" s="211" t="str">
        <f t="shared" si="174"/>
        <v>N/A</v>
      </c>
      <c r="DA429" s="211" t="str">
        <f t="shared" si="175"/>
        <v>N/A</v>
      </c>
      <c r="DB429" s="211" t="str">
        <f t="shared" si="176"/>
        <v>N/A</v>
      </c>
      <c r="DC429" s="211" t="str">
        <f t="shared" si="177"/>
        <v>N/A</v>
      </c>
      <c r="DD429" s="211" t="str">
        <f t="shared" si="178"/>
        <v>N/A</v>
      </c>
      <c r="DE429" s="211" t="str">
        <f t="shared" si="179"/>
        <v>N/A</v>
      </c>
      <c r="DF429" s="211" t="str">
        <f t="shared" si="180"/>
        <v xml:space="preserve">Para el segundo semestre de la vigencia 2025, la Dirección de Inspección y Vigilancia para Prestadores de Servicios de Salud, si bien programó la realización de ocho (8) orientaciones técnicas, ejecutó un total de diecisiete (17), lo cual representa un nivel de cumplimiento del 213% frente a la meta establecida del 100 % para el período evaluado.   
En este sentido, las nueve (9) orientaciones técnicas adicionales a las inicialmente programadas se priorizaron en atención a la necesidad de brindar acompañamiento y seguimiento a los sujetos vigilados, derivada de la ocurrencia de eventos de interés en salud pública y de alertas asociadas a la prestación de los servicios de salud. Lo anterior evidencia la capacidad de respuesta institucional de la Superintendencia Nacional de Salud frente a situaciones críticas y prioritarias del sistema, particularmente en los siguientes aspectos:
• Mortalidad materna: En el marco del Plan de Aceleración para la Reducción de la Mortalidad Materna, se abordaron las barreras que limitan el acceso oportuno y con calidad a los servicios de salud para las gestantes, identificadas en los diferentes comités, tales como barreras administrativas, geográficas, sociales y culturales.
• Manejo integral de la desnutrición aguda, moderada y severa en niños menores de cinco (5) años: En desarrollo del Plan de Desaceleración de la Mortalidad por Desnutrición Aguda, se adelantaron acciones orientadas a incidir en la reducción de la mortalidad infantil mediante la implementación de estrategias sectoriales e intersectoriales en las entidades territoriales priorizadas, conforme a los criterios de focalización definidos.
• Atención Primaria en Salud (APS): Se reiteraron los lineamientos establecidos en la Ley 1438 de 2011 y en el Plan Decenal de Salud Pública, resaltando la coordinación intersectorial y la concurrencia de las instancias del Sistema de Protección Social y demás actores, para la intervención articulada sobre los determinantes sociales en salud, bajo las directrices del Consejo Nacional de Política Social (CONPES) y del Ministerio de Salud y Protección Social.
• Sistema de Administración del Riesgo de Lavado de Activos, Financiación del Terrorismo y Financiación de la Proliferación de Armas de Destrucción Masiva (SARLAFT): Se brindaron orientaciones conforme a lo dispuesto en la Circular Externa No. 009 de 2016 y su modificación mediante la Circular Externa No. 20211700000005-5 de 2021, relacionadas con la implementación del sistema y el reporte de información.
• Equipos básicos de salud: Se abordó la conformación y fortalecimiento de estas estructuras funcionales y organizativas del talento humano en salud, orientadas a facilitar el acceso, la continuidad y la integralidad de la atención en salud en los distintos entornos de desarrollo, en el marco de la estrategia de Atención Primaria en Salud.
</v>
      </c>
    </row>
    <row r="430" spans="1:110" ht="64.5" customHeight="1">
      <c r="A430" s="349" t="s">
        <v>190</v>
      </c>
      <c r="B430" s="209" t="s">
        <v>149</v>
      </c>
      <c r="C430" s="209" t="s">
        <v>465</v>
      </c>
      <c r="D430" s="209" t="s">
        <v>559</v>
      </c>
      <c r="E430" s="209" t="s">
        <v>560</v>
      </c>
      <c r="F430" s="349" t="s">
        <v>561</v>
      </c>
      <c r="G430" s="209" t="s">
        <v>178</v>
      </c>
      <c r="H430" s="243">
        <v>1</v>
      </c>
      <c r="I430" s="323">
        <v>74</v>
      </c>
      <c r="J430" s="323">
        <v>74</v>
      </c>
      <c r="K430" s="290">
        <v>1</v>
      </c>
      <c r="L430" s="209" t="s">
        <v>3329</v>
      </c>
      <c r="M430" s="209" t="b">
        <v>0</v>
      </c>
      <c r="O430" s="209" t="s">
        <v>2832</v>
      </c>
      <c r="P430" s="209" t="s">
        <v>159</v>
      </c>
      <c r="Q430" s="243" t="s">
        <v>160</v>
      </c>
      <c r="R430" s="243"/>
      <c r="S430" s="243"/>
      <c r="Z430" s="209"/>
      <c r="AA430" s="209"/>
      <c r="AB430" s="209"/>
      <c r="AH430" s="244"/>
      <c r="AI430" s="244"/>
      <c r="AJ430" s="244"/>
      <c r="AQ430" s="209"/>
      <c r="AR430" s="209"/>
      <c r="AS430" s="209"/>
      <c r="BX430" s="274"/>
      <c r="CA430" s="209"/>
      <c r="CO430" s="209" t="s">
        <v>592</v>
      </c>
      <c r="CP430" s="209" t="s">
        <v>149</v>
      </c>
      <c r="CQ430" s="209" t="s">
        <v>646</v>
      </c>
      <c r="CR430" s="209" t="s">
        <v>686</v>
      </c>
      <c r="CS430" s="209" t="s">
        <v>3294</v>
      </c>
      <c r="CT430" s="209" t="s">
        <v>646</v>
      </c>
      <c r="CU430" s="211" t="str">
        <f t="shared" si="169"/>
        <v>N/A</v>
      </c>
      <c r="CV430" s="211" t="str">
        <f t="shared" si="170"/>
        <v>N/A</v>
      </c>
      <c r="CW430" s="211" t="str">
        <f t="shared" si="171"/>
        <v>N/A</v>
      </c>
      <c r="CX430" s="211" t="str">
        <f t="shared" si="172"/>
        <v>N/A</v>
      </c>
      <c r="CY430" s="211" t="str">
        <f t="shared" si="173"/>
        <v>N/A</v>
      </c>
      <c r="CZ430" s="211" t="str">
        <f t="shared" si="174"/>
        <v>N/A</v>
      </c>
      <c r="DA430" s="211" t="str">
        <f t="shared" si="175"/>
        <v>N/A</v>
      </c>
      <c r="DB430" s="211" t="str">
        <f t="shared" si="176"/>
        <v>N/A</v>
      </c>
      <c r="DC430" s="211" t="str">
        <f t="shared" si="177"/>
        <v>N/A</v>
      </c>
      <c r="DD430" s="211" t="str">
        <f t="shared" si="178"/>
        <v>N/A</v>
      </c>
      <c r="DE430" s="211" t="str">
        <f t="shared" si="179"/>
        <v>N/A</v>
      </c>
      <c r="DF430" s="211" t="str">
        <f t="shared" si="180"/>
        <v xml:space="preserve">​Los contratistas efectuaron mas apoyo jurídico y financiero durante el periodo ya que llegaron mas PQRD en el mes de diciembre exediendo en 25 radicados mas . Se cumplio con la meta establecida . Se anexan los resultados arrojados por el Superargo que da fe de las actividades tramitadas por los profesionales y su apoyo a la Oficina de Liquidaciones .
</v>
      </c>
    </row>
    <row r="431" spans="1:110" ht="64.5" customHeight="1">
      <c r="A431" s="349" t="s">
        <v>190</v>
      </c>
      <c r="B431" s="209" t="s">
        <v>149</v>
      </c>
      <c r="C431" s="209" t="s">
        <v>480</v>
      </c>
      <c r="D431" s="209" t="s">
        <v>481</v>
      </c>
      <c r="E431" s="209" t="s">
        <v>482</v>
      </c>
      <c r="F431" s="349" t="s">
        <v>483</v>
      </c>
      <c r="G431" s="209" t="s">
        <v>178</v>
      </c>
      <c r="H431" s="243">
        <v>22</v>
      </c>
      <c r="I431" s="323">
        <v>22</v>
      </c>
      <c r="J431" s="323">
        <v>22</v>
      </c>
      <c r="K431" s="290">
        <v>1</v>
      </c>
      <c r="L431" s="209" t="s">
        <v>3330</v>
      </c>
      <c r="M431" s="209" t="b">
        <v>0</v>
      </c>
      <c r="O431" s="209" t="s">
        <v>2832</v>
      </c>
      <c r="P431" s="209" t="s">
        <v>159</v>
      </c>
      <c r="Q431" s="243" t="s">
        <v>160</v>
      </c>
      <c r="R431" s="243"/>
      <c r="S431" s="243"/>
      <c r="Z431" s="209"/>
      <c r="AA431" s="209"/>
      <c r="AB431" s="209"/>
      <c r="AH431" s="244"/>
      <c r="AI431" s="244"/>
      <c r="AJ431" s="244"/>
      <c r="AQ431" s="209"/>
      <c r="AR431" s="209"/>
      <c r="AS431" s="209"/>
      <c r="BX431" s="274"/>
      <c r="CA431" s="209"/>
      <c r="CO431" s="209" t="s">
        <v>271</v>
      </c>
      <c r="CP431" s="209" t="s">
        <v>149</v>
      </c>
      <c r="CQ431" s="209" t="s">
        <v>278</v>
      </c>
      <c r="CR431" s="209" t="s">
        <v>279</v>
      </c>
      <c r="CS431" s="209" t="s">
        <v>3187</v>
      </c>
      <c r="CT431" s="209" t="s">
        <v>278</v>
      </c>
      <c r="CU431" s="211" t="str">
        <f t="shared" si="169"/>
        <v>N/A</v>
      </c>
      <c r="CV431" s="211" t="str">
        <f t="shared" si="170"/>
        <v>N/A</v>
      </c>
      <c r="CW431" s="211" t="str">
        <f t="shared" si="171"/>
        <v>N/A</v>
      </c>
      <c r="CX431" s="211" t="str">
        <f t="shared" si="172"/>
        <v>N/A</v>
      </c>
      <c r="CY431" s="211" t="str">
        <f t="shared" si="173"/>
        <v>N/A</v>
      </c>
      <c r="CZ431" s="211" t="str">
        <f t="shared" si="174"/>
        <v>N/A</v>
      </c>
      <c r="DA431" s="211" t="str">
        <f t="shared" si="175"/>
        <v>N/A</v>
      </c>
      <c r="DB431" s="211" t="str">
        <f t="shared" si="176"/>
        <v>N/A</v>
      </c>
      <c r="DC431" s="211" t="str">
        <f t="shared" si="177"/>
        <v>N/A</v>
      </c>
      <c r="DD431" s="211" t="str">
        <f t="shared" si="178"/>
        <v>N/A</v>
      </c>
      <c r="DE431" s="211" t="str">
        <f t="shared" si="179"/>
        <v>N/A</v>
      </c>
      <c r="DF431" s="211" t="str">
        <f t="shared" si="180"/>
        <v xml:space="preserve">Para el último trimestre, se programó la intervención de once (11) nuevos territorios, los cuales fueron atendidos mediante acciones preventivas y/o de inspección y vigilancia, adelantadas por las diferentes Direcciones Regionales, así:   
Regional Andina: Durante el trimestre se realizaron mesas de inspección y vigilancia en Arboletes y Turbo. Adicionalmente, se abordaron nueve (9) sentencias en Valdivia y una mesa convocada por terceros en Sabanalarga.
Regional Nororiental: Se llevó a cabo una mesa de inspección y vigilancia en el municipio de Toledo y una mesa de gobernanza en Socha.
Regional Occidental – Sede Agualongo: Se realizó una mesa de inspección y vigilancia en el municipio de Aldana.
Regional Sur: Se desarrolló una mesa de gobernanza con el municipio de Acevedo, así como una acción de inspección y vigilancia a la ejecución técnica y financiera del Plan de Intervenciones Colectivas (PIC) vigencia 2024, en los municipios de Murillo y Yondó.
Regional Occidental: Se ejecutó una Acción Integral en Territorio en el municipio de Sevilla, departamento del Valle del Cauca.
Es importante resaltar, que en algunas direcciones regionales no se pudo programar acciones de IV en nuevos territorios debido a los problemas de orden público presentados en algunas regiones del país.
</v>
      </c>
    </row>
    <row r="432" spans="1:110" ht="64.5" customHeight="1">
      <c r="A432" s="349" t="s">
        <v>190</v>
      </c>
      <c r="B432" s="209" t="s">
        <v>149</v>
      </c>
      <c r="C432" s="209" t="s">
        <v>498</v>
      </c>
      <c r="D432" s="209" t="s">
        <v>499</v>
      </c>
      <c r="E432" s="209" t="s">
        <v>500</v>
      </c>
      <c r="F432" s="349" t="s">
        <v>501</v>
      </c>
      <c r="G432" s="209" t="s">
        <v>178</v>
      </c>
      <c r="H432" s="243">
        <v>21</v>
      </c>
      <c r="I432" s="323">
        <v>18</v>
      </c>
      <c r="J432" s="323">
        <v>18</v>
      </c>
      <c r="K432" s="290">
        <v>1</v>
      </c>
      <c r="L432" s="209" t="s">
        <v>3333</v>
      </c>
      <c r="M432" s="209" t="b">
        <v>0</v>
      </c>
      <c r="O432" s="209" t="s">
        <v>2832</v>
      </c>
      <c r="P432" s="209" t="s">
        <v>159</v>
      </c>
      <c r="Q432" s="243" t="s">
        <v>160</v>
      </c>
      <c r="R432" s="243"/>
      <c r="S432" s="243"/>
      <c r="Z432" s="209"/>
      <c r="AA432" s="209"/>
      <c r="AB432" s="209"/>
      <c r="AH432" s="244"/>
      <c r="AI432" s="244"/>
      <c r="AJ432" s="244"/>
      <c r="AQ432" s="209"/>
      <c r="AR432" s="209"/>
      <c r="AS432" s="209"/>
      <c r="BX432" s="274"/>
      <c r="CA432" s="209"/>
      <c r="CO432" s="209" t="s">
        <v>271</v>
      </c>
      <c r="CP432" s="209" t="s">
        <v>149</v>
      </c>
      <c r="CQ432" s="209" t="s">
        <v>568</v>
      </c>
      <c r="CR432" s="209" t="s">
        <v>569</v>
      </c>
      <c r="CS432" s="209" t="s">
        <v>3189</v>
      </c>
      <c r="CT432" s="209" t="s">
        <v>568</v>
      </c>
      <c r="CU432" s="211" t="str">
        <f t="shared" si="169"/>
        <v>N/A</v>
      </c>
      <c r="CV432" s="211" t="str">
        <f t="shared" si="170"/>
        <v>N/A</v>
      </c>
      <c r="CW432" s="211" t="str">
        <f t="shared" si="171"/>
        <v>N/A</v>
      </c>
      <c r="CX432" s="211" t="str">
        <f t="shared" si="172"/>
        <v>N/A</v>
      </c>
      <c r="CY432" s="211" t="str">
        <f t="shared" si="173"/>
        <v>N/A</v>
      </c>
      <c r="CZ432" s="211" t="str">
        <f t="shared" si="174"/>
        <v>N/A</v>
      </c>
      <c r="DA432" s="211" t="str">
        <f t="shared" si="175"/>
        <v>N/A</v>
      </c>
      <c r="DB432" s="211" t="str">
        <f t="shared" si="176"/>
        <v>N/A</v>
      </c>
      <c r="DC432" s="211" t="str">
        <f t="shared" si="177"/>
        <v>N/A</v>
      </c>
      <c r="DD432" s="211" t="str">
        <f t="shared" si="178"/>
        <v>N/A</v>
      </c>
      <c r="DE432" s="211" t="str">
        <f t="shared" si="179"/>
        <v>N/A</v>
      </c>
      <c r="DF432" s="211" t="str">
        <f t="shared" si="180"/>
        <v xml:space="preserve">Durante el periodo evaluado, las Direcciones Regionales adelantaron las siguientes Acciones Integrales en Territorio (AIT):   
Regional Andina: Se realizó (1) Acción Integral en Territorio (AIT) en el municipio de Turbo.
Regional Nororiental: Se llevaron a cabo (2) Acciones Integrales en Territorio (AIT) en los municipios de Vélez y Villa del Rosario.
Regional Chocó: Se realizó (1) Acción Integral en Territorio (AIT) en el municipio de Istmina.
Regional Orinoquía: Se ejecutó (1) Acción Integral en Territorio (AIT) en el municipio de Puerto López.
Regional Occidental: Se desarrollaron dos (2) Acciones Integrales en Territorio, una en el municipio de Sevilla (Valle del Cauca) y otra en el municipio de Popayán (Cauca).
Regional Norte: se realizó AIT en Magangue- Bolívar
Es importante resaltar, que el aumento de las AIT reportadas para este trimestre se debe a que se buscó disminuir el rezago presentado en los primeros 2 trimestres del año.
</v>
      </c>
    </row>
    <row r="433" spans="1:110" ht="64.5" customHeight="1">
      <c r="A433" s="349" t="s">
        <v>190</v>
      </c>
      <c r="B433" s="209" t="s">
        <v>149</v>
      </c>
      <c r="C433" s="209" t="s">
        <v>492</v>
      </c>
      <c r="D433" s="209" t="s">
        <v>493</v>
      </c>
      <c r="E433" s="209" t="s">
        <v>494</v>
      </c>
      <c r="F433" s="349" t="s">
        <v>495</v>
      </c>
      <c r="G433" s="209" t="s">
        <v>178</v>
      </c>
      <c r="H433" s="243">
        <v>26</v>
      </c>
      <c r="I433" s="323">
        <v>35</v>
      </c>
      <c r="J433" s="323">
        <v>35</v>
      </c>
      <c r="K433" s="290">
        <v>1</v>
      </c>
      <c r="L433" s="209" t="s">
        <v>3332</v>
      </c>
      <c r="M433" s="209" t="b">
        <v>0</v>
      </c>
      <c r="O433" s="209" t="s">
        <v>2832</v>
      </c>
      <c r="P433" s="209" t="s">
        <v>159</v>
      </c>
      <c r="Q433" s="243" t="s">
        <v>160</v>
      </c>
      <c r="R433" s="243"/>
      <c r="S433" s="243"/>
      <c r="Z433" s="209"/>
      <c r="AA433" s="209"/>
      <c r="AB433" s="209"/>
      <c r="AH433" s="244"/>
      <c r="AI433" s="244"/>
      <c r="AJ433" s="244"/>
      <c r="AQ433" s="209"/>
      <c r="AR433" s="209"/>
      <c r="AS433" s="209"/>
      <c r="BX433" s="274"/>
      <c r="CA433" s="209"/>
      <c r="CO433" s="209" t="s">
        <v>271</v>
      </c>
      <c r="CP433" s="209" t="s">
        <v>149</v>
      </c>
      <c r="CQ433" s="209" t="s">
        <v>301</v>
      </c>
      <c r="CR433" s="209" t="s">
        <v>302</v>
      </c>
      <c r="CS433" s="209" t="s">
        <v>3191</v>
      </c>
      <c r="CT433" s="209" t="s">
        <v>301</v>
      </c>
      <c r="CU433" s="211" t="str">
        <f t="shared" si="169"/>
        <v>N/A</v>
      </c>
      <c r="CV433" s="211" t="str">
        <f t="shared" si="170"/>
        <v>N/A</v>
      </c>
      <c r="CW433" s="211" t="str">
        <f t="shared" si="171"/>
        <v>N/A</v>
      </c>
      <c r="CX433" s="211" t="str">
        <f t="shared" si="172"/>
        <v>N/A</v>
      </c>
      <c r="CY433" s="211" t="str">
        <f t="shared" si="173"/>
        <v>N/A</v>
      </c>
      <c r="CZ433" s="211" t="str">
        <f t="shared" si="174"/>
        <v>N/A</v>
      </c>
      <c r="DA433" s="211" t="str">
        <f t="shared" si="175"/>
        <v>N/A</v>
      </c>
      <c r="DB433" s="211" t="str">
        <f t="shared" si="176"/>
        <v>N/A</v>
      </c>
      <c r="DC433" s="211" t="str">
        <f t="shared" si="177"/>
        <v>N/A</v>
      </c>
      <c r="DD433" s="211" t="str">
        <f t="shared" si="178"/>
        <v>N/A</v>
      </c>
      <c r="DE433" s="211" t="str">
        <f t="shared" si="179"/>
        <v>N/A</v>
      </c>
      <c r="DF433" s="211" t="str">
        <f t="shared" si="180"/>
        <v xml:space="preserve">Para este último trimestre se realizaron 15 asistencias al desarrollo de mesas de saneamiento de cartera de Circular Conjunta 030 de 2013, de las siguientes ET: Antioquia, Barranquilla, Bogotá, Buenaventura, Cali, Cartagena, Casanare, Córdoba, Cundinamarca, Huila, Norte de Santander, San Andrés, Santander, Vaupés y Vichada. Estas asistencias se soportan a través de informes de resultados del ejercicio de acompañamiento.
Es importante resaltar que no se reportaron las 20 asistencias establecidas para este trimestre, ya que se superaron las metas en el primer y tercer trimestre. Con estas 15 asistencias alcanzamos el 100% del cumplimiento establecido para la vigencia.
</v>
      </c>
    </row>
    <row r="434" spans="1:110" ht="64.5" customHeight="1">
      <c r="A434" s="349" t="s">
        <v>190</v>
      </c>
      <c r="B434" s="209" t="s">
        <v>149</v>
      </c>
      <c r="C434" s="209" t="s">
        <v>459</v>
      </c>
      <c r="D434" s="209" t="s">
        <v>552</v>
      </c>
      <c r="E434" s="209" t="s">
        <v>553</v>
      </c>
      <c r="F434" s="349" t="s">
        <v>554</v>
      </c>
      <c r="G434" s="209" t="s">
        <v>178</v>
      </c>
      <c r="H434" s="243">
        <v>1</v>
      </c>
      <c r="I434" s="323">
        <v>13</v>
      </c>
      <c r="J434" s="323">
        <v>13</v>
      </c>
      <c r="K434" s="290">
        <v>1</v>
      </c>
      <c r="L434" s="209" t="s">
        <v>3328</v>
      </c>
      <c r="M434" s="209" t="b">
        <v>0</v>
      </c>
      <c r="O434" s="209" t="s">
        <v>2832</v>
      </c>
      <c r="P434" s="209" t="s">
        <v>159</v>
      </c>
      <c r="Q434" s="243" t="s">
        <v>160</v>
      </c>
      <c r="R434" s="243"/>
      <c r="S434" s="243"/>
      <c r="Z434" s="209"/>
      <c r="AA434" s="209"/>
      <c r="AB434" s="209"/>
      <c r="AH434" s="244"/>
      <c r="AI434" s="244"/>
      <c r="AJ434" s="244"/>
      <c r="AQ434" s="209"/>
      <c r="AR434" s="209"/>
      <c r="AS434" s="209"/>
      <c r="BX434" s="274"/>
      <c r="CA434" s="209"/>
      <c r="CO434" s="209" t="s">
        <v>271</v>
      </c>
      <c r="CP434" s="209" t="s">
        <v>149</v>
      </c>
      <c r="CQ434" s="209" t="s">
        <v>307</v>
      </c>
      <c r="CR434" s="209" t="s">
        <v>3193</v>
      </c>
      <c r="CS434" s="209" t="s">
        <v>3194</v>
      </c>
      <c r="CT434" s="209" t="s">
        <v>307</v>
      </c>
      <c r="CU434" s="211" t="str">
        <f t="shared" si="169"/>
        <v>N/A</v>
      </c>
      <c r="CV434" s="211" t="str">
        <f t="shared" si="170"/>
        <v>N/A</v>
      </c>
      <c r="CW434" s="211" t="str">
        <f t="shared" si="171"/>
        <v>N/A</v>
      </c>
      <c r="CX434" s="211" t="str">
        <f t="shared" si="172"/>
        <v>N/A</v>
      </c>
      <c r="CY434" s="211" t="str">
        <f t="shared" si="173"/>
        <v>N/A</v>
      </c>
      <c r="CZ434" s="211" t="str">
        <f t="shared" si="174"/>
        <v>N/A</v>
      </c>
      <c r="DA434" s="211" t="str">
        <f t="shared" si="175"/>
        <v>N/A</v>
      </c>
      <c r="DB434" s="211" t="str">
        <f t="shared" si="176"/>
        <v>N/A</v>
      </c>
      <c r="DC434" s="211" t="str">
        <f t="shared" si="177"/>
        <v>N/A</v>
      </c>
      <c r="DD434" s="211" t="str">
        <f t="shared" si="178"/>
        <v>N/A</v>
      </c>
      <c r="DE434" s="211" t="str">
        <f t="shared" si="179"/>
        <v>N/A</v>
      </c>
      <c r="DF434" s="211" t="str">
        <f t="shared" si="180"/>
        <v xml:space="preserve">​Para el mes de diciembre no se realizó ninguna Mesa de Gobernanza, ya que para el reporte del mes de noviembre se habia superado la meta propuesta para la vigencia.
</v>
      </c>
    </row>
    <row r="435" spans="1:110" ht="64.5" customHeight="1">
      <c r="A435" s="349" t="s">
        <v>190</v>
      </c>
      <c r="B435" s="209" t="s">
        <v>149</v>
      </c>
      <c r="C435" s="209" t="s">
        <v>231</v>
      </c>
      <c r="D435" s="209" t="s">
        <v>232</v>
      </c>
      <c r="E435" s="209" t="s">
        <v>233</v>
      </c>
      <c r="F435" s="349" t="s">
        <v>234</v>
      </c>
      <c r="G435" s="209" t="s">
        <v>178</v>
      </c>
      <c r="H435" s="243">
        <v>0.9</v>
      </c>
      <c r="I435" s="436">
        <v>315358112464</v>
      </c>
      <c r="J435" s="436">
        <v>316593914285</v>
      </c>
      <c r="K435" s="290">
        <v>0.99609657114290695</v>
      </c>
      <c r="L435" s="209" t="s">
        <v>3324</v>
      </c>
      <c r="M435" s="209" t="b">
        <v>0</v>
      </c>
      <c r="O435" s="209" t="s">
        <v>2832</v>
      </c>
      <c r="P435" s="209" t="s">
        <v>159</v>
      </c>
      <c r="Q435" s="243" t="s">
        <v>160</v>
      </c>
      <c r="R435" s="243"/>
      <c r="S435" s="243"/>
      <c r="Z435" s="209"/>
      <c r="AA435" s="209"/>
      <c r="AB435" s="209"/>
      <c r="AH435" s="244"/>
      <c r="AI435" s="244"/>
      <c r="AJ435" s="244"/>
      <c r="AQ435" s="209"/>
      <c r="AR435" s="209"/>
      <c r="AS435" s="209"/>
      <c r="BX435" s="274"/>
      <c r="CA435" s="209"/>
      <c r="CO435" s="209" t="s">
        <v>199</v>
      </c>
      <c r="CP435" s="209" t="s">
        <v>149</v>
      </c>
      <c r="CQ435" s="209" t="s">
        <v>649</v>
      </c>
      <c r="CR435" s="209" t="s">
        <v>800</v>
      </c>
      <c r="CS435" s="209" t="s">
        <v>3250</v>
      </c>
      <c r="CT435" s="209" t="s">
        <v>649</v>
      </c>
      <c r="CU435" s="211" t="str">
        <f t="shared" si="169"/>
        <v>N/A</v>
      </c>
      <c r="CV435" s="211" t="str">
        <f t="shared" si="170"/>
        <v>N/A</v>
      </c>
      <c r="CW435" s="211" t="str">
        <f t="shared" si="171"/>
        <v>N/A</v>
      </c>
      <c r="CX435" s="211" t="str">
        <f t="shared" si="172"/>
        <v>N/A</v>
      </c>
      <c r="CY435" s="211" t="str">
        <f t="shared" si="173"/>
        <v>N/A</v>
      </c>
      <c r="CZ435" s="211" t="str">
        <f t="shared" si="174"/>
        <v>N/A</v>
      </c>
      <c r="DA435" s="211" t="str">
        <f t="shared" si="175"/>
        <v>N/A</v>
      </c>
      <c r="DB435" s="211" t="str">
        <f t="shared" si="176"/>
        <v>N/A</v>
      </c>
      <c r="DC435" s="211" t="str">
        <f t="shared" si="177"/>
        <v>N/A</v>
      </c>
      <c r="DD435" s="211" t="str">
        <f t="shared" si="178"/>
        <v>N/A</v>
      </c>
      <c r="DE435" s="211" t="str">
        <f t="shared" si="179"/>
        <v>N/A</v>
      </c>
      <c r="DF435" s="211" t="str">
        <f t="shared" si="180"/>
        <v xml:space="preserve">​Para el II semestre del año 2025, no se  presentaron solicitudes  para la promoción  de acuerdo de reestructuración  de pasivos, por lo que no se hizo necesaria la validación de cumplimiento de requisitos establecidos en el articulo 6 de la ley 550 de 1999
</v>
      </c>
    </row>
    <row r="436" spans="1:110" ht="64.5" customHeight="1">
      <c r="A436" s="349" t="s">
        <v>190</v>
      </c>
      <c r="B436" s="209" t="s">
        <v>149</v>
      </c>
      <c r="C436" s="209" t="s">
        <v>226</v>
      </c>
      <c r="D436" s="209" t="s">
        <v>227</v>
      </c>
      <c r="E436" s="209" t="s">
        <v>228</v>
      </c>
      <c r="F436" s="349" t="s">
        <v>229</v>
      </c>
      <c r="G436" s="209" t="s">
        <v>157</v>
      </c>
      <c r="H436" s="243">
        <v>4</v>
      </c>
      <c r="I436" s="323">
        <v>4</v>
      </c>
      <c r="J436" s="323">
        <v>4</v>
      </c>
      <c r="K436" s="290">
        <v>1</v>
      </c>
      <c r="L436" s="209" t="s">
        <v>3323</v>
      </c>
      <c r="M436" s="209" t="b">
        <v>0</v>
      </c>
      <c r="O436" s="209" t="s">
        <v>2832</v>
      </c>
      <c r="P436" s="209" t="s">
        <v>159</v>
      </c>
      <c r="Q436" s="243" t="s">
        <v>160</v>
      </c>
      <c r="R436" s="243"/>
      <c r="S436" s="243"/>
      <c r="Z436" s="209"/>
      <c r="AA436" s="209"/>
      <c r="AB436" s="209"/>
      <c r="AH436" s="244"/>
      <c r="AI436" s="244"/>
      <c r="AJ436" s="244"/>
      <c r="AQ436" s="209"/>
      <c r="AR436" s="209"/>
      <c r="AS436" s="209"/>
      <c r="BX436" s="274"/>
      <c r="CA436" s="209"/>
      <c r="CO436" s="209" t="s">
        <v>199</v>
      </c>
      <c r="CP436" s="209" t="s">
        <v>149</v>
      </c>
      <c r="CQ436" s="209" t="s">
        <v>651</v>
      </c>
      <c r="CR436" s="209" t="s">
        <v>755</v>
      </c>
      <c r="CS436" s="209" t="s">
        <v>3251</v>
      </c>
      <c r="CT436" s="209" t="s">
        <v>651</v>
      </c>
      <c r="CU436" s="211" t="str">
        <f t="shared" si="169"/>
        <v>N/A</v>
      </c>
      <c r="CV436" s="211" t="str">
        <f t="shared" si="170"/>
        <v>N/A</v>
      </c>
      <c r="CW436" s="211" t="str">
        <f t="shared" si="171"/>
        <v>N/A</v>
      </c>
      <c r="CX436" s="211" t="str">
        <f t="shared" si="172"/>
        <v>N/A</v>
      </c>
      <c r="CY436" s="211" t="str">
        <f t="shared" si="173"/>
        <v>N/A</v>
      </c>
      <c r="CZ436" s="211" t="str">
        <f t="shared" si="174"/>
        <v>N/A</v>
      </c>
      <c r="DA436" s="211" t="str">
        <f t="shared" si="175"/>
        <v>N/A</v>
      </c>
      <c r="DB436" s="211" t="str">
        <f t="shared" si="176"/>
        <v>N/A</v>
      </c>
      <c r="DC436" s="211" t="str">
        <f t="shared" si="177"/>
        <v>N/A</v>
      </c>
      <c r="DD436" s="211" t="str">
        <f t="shared" si="178"/>
        <v>N/A</v>
      </c>
      <c r="DE436" s="211" t="str">
        <f t="shared" si="179"/>
        <v>N/A</v>
      </c>
      <c r="DF436" s="211" t="str">
        <f t="shared" si="180"/>
        <v xml:space="preserve">Durante el segundo semestre de la vigencia 2025, la Dirección IV para Prestadores de Servicios de Salud gestionó siete (7) solicitudes de reforma estatutaria de un total de siete (7) recibidas para trámite. De estas, tres (3) culminaron con la expedición del respectivo acto administrativo, mientras que cuatro (4) fueron tramitadas mediante la elaboración del estudio de viabilidad y la remisión a la Oficina Jurídica de los correspondientes proyectos de resolución. En consecuencia, se dio cumplimiento del 100% de la meta establecida para el periodo evaluado.   
Lo anterior se desarrolla en concordancia con lo dispuesto en el Decreto 1080 de 2021, el cual establece como función de la Superintendencia Nacional de Salud “autorizar o negar, de manera previa, a las instituciones prestadoras de servicios de salud, las operaciones relacionadas con la disminución de capital y la ampliación del objeto social a actividades no relacionadas con la prestación de los servicios de salud”
</v>
      </c>
    </row>
    <row r="437" spans="1:110" ht="64.5" customHeight="1">
      <c r="A437" s="349" t="s">
        <v>190</v>
      </c>
      <c r="B437" s="209" t="s">
        <v>149</v>
      </c>
      <c r="C437" s="209" t="s">
        <v>180</v>
      </c>
      <c r="D437" s="209" t="s">
        <v>639</v>
      </c>
      <c r="E437" s="209" t="s">
        <v>640</v>
      </c>
      <c r="F437" s="349" t="s">
        <v>641</v>
      </c>
      <c r="G437" s="209" t="s">
        <v>178</v>
      </c>
      <c r="H437" s="243">
        <v>1</v>
      </c>
      <c r="I437" s="323">
        <v>6</v>
      </c>
      <c r="J437" s="323">
        <v>6</v>
      </c>
      <c r="K437" s="290">
        <v>1</v>
      </c>
      <c r="L437" s="209" t="s">
        <v>3299</v>
      </c>
      <c r="M437" s="209" t="b">
        <v>1</v>
      </c>
      <c r="N437" s="209" t="s">
        <v>3300</v>
      </c>
      <c r="O437" s="209" t="s">
        <v>2832</v>
      </c>
      <c r="P437" s="209" t="s">
        <v>159</v>
      </c>
      <c r="Q437" s="243" t="s">
        <v>160</v>
      </c>
      <c r="R437" s="243"/>
      <c r="S437" s="243"/>
      <c r="Z437" s="209"/>
      <c r="AA437" s="209"/>
      <c r="AB437" s="209"/>
      <c r="AH437" s="244"/>
      <c r="AI437" s="244"/>
      <c r="AJ437" s="244"/>
      <c r="AQ437" s="209"/>
      <c r="AR437" s="209"/>
      <c r="AS437" s="209"/>
      <c r="BX437" s="274"/>
      <c r="CA437" s="209"/>
      <c r="CO437" s="209" t="s">
        <v>365</v>
      </c>
      <c r="CP437" s="209" t="s">
        <v>149</v>
      </c>
      <c r="CQ437" s="209" t="s">
        <v>366</v>
      </c>
      <c r="CR437" s="209" t="s">
        <v>367</v>
      </c>
      <c r="CS437" s="209" t="s">
        <v>3152</v>
      </c>
      <c r="CT437" s="209" t="s">
        <v>366</v>
      </c>
      <c r="CU437" s="211" t="str">
        <f t="shared" si="169"/>
        <v>N/A</v>
      </c>
      <c r="CV437" s="211" t="str">
        <f t="shared" si="170"/>
        <v>N/A</v>
      </c>
      <c r="CW437" s="211" t="str">
        <f t="shared" si="171"/>
        <v>N/A</v>
      </c>
      <c r="CX437" s="211" t="str">
        <f t="shared" si="172"/>
        <v>N/A</v>
      </c>
      <c r="CY437" s="211" t="str">
        <f t="shared" si="173"/>
        <v>N/A</v>
      </c>
      <c r="CZ437" s="211" t="str">
        <f t="shared" si="174"/>
        <v>N/A</v>
      </c>
      <c r="DA437" s="211" t="str">
        <f t="shared" si="175"/>
        <v>N/A</v>
      </c>
      <c r="DB437" s="211" t="str">
        <f t="shared" si="176"/>
        <v>N/A</v>
      </c>
      <c r="DC437" s="211" t="str">
        <f t="shared" si="177"/>
        <v>N/A</v>
      </c>
      <c r="DD437" s="211" t="str">
        <f t="shared" si="178"/>
        <v>N/A</v>
      </c>
      <c r="DE437" s="211" t="str">
        <f t="shared" si="179"/>
        <v>N/A</v>
      </c>
      <c r="DF437" s="211" t="str">
        <f t="shared" si="180"/>
        <v xml:space="preserve">​
Durante el cuarto trimestre de 2025, se finalizaron 5 trámites de los cuales 5 fueron gestionados con estudio de viabilidad o recomendación en 140 días o menos, cumpliendo así con el 100 % de la meta programada.
Para la vigencia 2025 se cumplió con la meta propuesta para este indicador, sin embargo, se presentan casos en los que no se puede cumplir con el termino estipulado por cambios de los directivos o de personal, así como en la revisión de otras dependencias. Por lo que es necesario buscar alternativas que permitan que no se afecten los tiempos para dar gestión a los trámites radicados por los vigiados.
</v>
      </c>
    </row>
    <row r="438" spans="1:110" ht="64.5" customHeight="1">
      <c r="A438" s="349" t="s">
        <v>190</v>
      </c>
      <c r="B438" s="209" t="s">
        <v>149</v>
      </c>
      <c r="C438" s="209" t="s">
        <v>182</v>
      </c>
      <c r="D438" s="209" t="s">
        <v>620</v>
      </c>
      <c r="E438" s="209" t="s">
        <v>621</v>
      </c>
      <c r="F438" s="349" t="s">
        <v>622</v>
      </c>
      <c r="G438" s="209" t="s">
        <v>178</v>
      </c>
      <c r="H438" s="243">
        <v>1</v>
      </c>
      <c r="I438" s="323">
        <v>26</v>
      </c>
      <c r="J438" s="323">
        <v>26</v>
      </c>
      <c r="K438" s="290">
        <v>1</v>
      </c>
      <c r="L438" s="209" t="s">
        <v>3301</v>
      </c>
      <c r="M438" s="209" t="b">
        <v>1</v>
      </c>
      <c r="N438" s="209" t="s">
        <v>3302</v>
      </c>
      <c r="O438" s="209" t="s">
        <v>2832</v>
      </c>
      <c r="P438" s="209" t="s">
        <v>159</v>
      </c>
      <c r="Q438" s="243" t="s">
        <v>160</v>
      </c>
      <c r="R438" s="243"/>
      <c r="S438" s="243"/>
      <c r="Z438" s="209"/>
      <c r="AA438" s="209"/>
      <c r="AB438" s="209"/>
      <c r="AH438" s="244"/>
      <c r="AI438" s="244"/>
      <c r="AJ438" s="244"/>
      <c r="AQ438" s="209"/>
      <c r="AR438" s="209"/>
      <c r="AS438" s="209"/>
      <c r="BX438" s="274"/>
      <c r="CA438" s="209"/>
      <c r="CO438" s="209" t="s">
        <v>199</v>
      </c>
      <c r="CP438" s="209" t="s">
        <v>149</v>
      </c>
      <c r="CQ438" s="209" t="s">
        <v>658</v>
      </c>
      <c r="CR438" s="209" t="s">
        <v>761</v>
      </c>
      <c r="CS438" s="209" t="s">
        <v>3253</v>
      </c>
      <c r="CT438" s="209" t="s">
        <v>658</v>
      </c>
      <c r="CU438" s="211" t="str">
        <f t="shared" si="169"/>
        <v>N/A</v>
      </c>
      <c r="CV438" s="211" t="str">
        <f t="shared" si="170"/>
        <v>N/A</v>
      </c>
      <c r="CW438" s="211" t="str">
        <f t="shared" si="171"/>
        <v>N/A</v>
      </c>
      <c r="CX438" s="211" t="str">
        <f t="shared" si="172"/>
        <v>N/A</v>
      </c>
      <c r="CY438" s="211" t="str">
        <f t="shared" si="173"/>
        <v>N/A</v>
      </c>
      <c r="CZ438" s="211" t="str">
        <f t="shared" si="174"/>
        <v>N/A</v>
      </c>
      <c r="DA438" s="211" t="str">
        <f t="shared" si="175"/>
        <v>N/A</v>
      </c>
      <c r="DB438" s="211" t="str">
        <f t="shared" si="176"/>
        <v>N/A</v>
      </c>
      <c r="DC438" s="211" t="str">
        <f t="shared" si="177"/>
        <v>N/A</v>
      </c>
      <c r="DD438" s="211" t="str">
        <f t="shared" si="178"/>
        <v>N/A</v>
      </c>
      <c r="DE438" s="211" t="str">
        <f t="shared" si="179"/>
        <v>N/A</v>
      </c>
      <c r="DF438" s="211" t="str">
        <f>+IF(CP438=$DF$1,CS438,"N/A")</f>
        <v xml:space="preserve">​Durante el segundo semestre de la vigencia 2025, no se presentaron trámites a la Dirección IV para Prestadores de Servicios de Salud relacionados con recursos de apelación derivados de la evaluación de gerentes o de evaluaciones no satisfactorias por la no presentación del plan de gestión por parte de los gerentes de las Empresas Sociales del Estado.
</v>
      </c>
    </row>
    <row r="439" spans="1:110" ht="64.5" customHeight="1">
      <c r="A439" s="349" t="s">
        <v>190</v>
      </c>
      <c r="B439" s="209" t="s">
        <v>149</v>
      </c>
      <c r="C439" s="209" t="s">
        <v>188</v>
      </c>
      <c r="D439" s="209" t="s">
        <v>626</v>
      </c>
      <c r="E439" s="209" t="s">
        <v>627</v>
      </c>
      <c r="F439" s="349" t="s">
        <v>628</v>
      </c>
      <c r="G439" s="209" t="s">
        <v>178</v>
      </c>
      <c r="H439" s="243">
        <v>0.5</v>
      </c>
      <c r="I439" s="433">
        <v>200</v>
      </c>
      <c r="J439" s="433">
        <v>304</v>
      </c>
      <c r="K439" s="290">
        <v>1</v>
      </c>
      <c r="L439" s="209" t="s">
        <v>3303</v>
      </c>
      <c r="M439" s="209" t="b">
        <v>1</v>
      </c>
      <c r="N439" s="209" t="s">
        <v>3304</v>
      </c>
      <c r="O439" s="209" t="s">
        <v>2832</v>
      </c>
      <c r="P439" s="209" t="s">
        <v>159</v>
      </c>
      <c r="Q439" s="243" t="s">
        <v>160</v>
      </c>
      <c r="R439" s="243"/>
      <c r="S439" s="243"/>
      <c r="Z439" s="209"/>
      <c r="AA439" s="209"/>
      <c r="AB439" s="209"/>
      <c r="AH439" s="244"/>
      <c r="AI439" s="244"/>
      <c r="AJ439" s="244"/>
      <c r="AQ439" s="209"/>
      <c r="AR439" s="209"/>
      <c r="AS439" s="209"/>
      <c r="BX439" s="274"/>
      <c r="CA439" s="209"/>
      <c r="CO439" s="349" t="s">
        <v>238</v>
      </c>
      <c r="CP439" t="s">
        <v>149</v>
      </c>
      <c r="CQ439" t="s">
        <v>375</v>
      </c>
      <c r="CR439" s="272" t="s">
        <v>521</v>
      </c>
      <c r="CS439" s="350" t="s">
        <v>3499</v>
      </c>
      <c r="CT439" s="209" t="s">
        <v>375</v>
      </c>
      <c r="CU439" s="211" t="str">
        <f t="shared" ref="CU439:CU440" si="181">+IF(CP439=$CU$1,CS439,"N/A")</f>
        <v>N/A</v>
      </c>
      <c r="CV439" s="211" t="str">
        <f t="shared" ref="CV439:CV440" si="182">+IF(CP439=$CV$1,CS439,"N/A")</f>
        <v>N/A</v>
      </c>
      <c r="CW439" s="211" t="str">
        <f t="shared" ref="CW439:CW440" si="183">+IF(CP439=$CW$1,CS439,"N/A")</f>
        <v>N/A</v>
      </c>
      <c r="CX439" s="211" t="str">
        <f t="shared" ref="CX439:CX440" si="184">+IF(CP439=$CX$1,CS439,"N/A")</f>
        <v>N/A</v>
      </c>
      <c r="CY439" s="211" t="str">
        <f t="shared" ref="CY439:CY440" si="185">+IF(CP439=$CY$1,CS439,"N/A")</f>
        <v>N/A</v>
      </c>
      <c r="CZ439" s="211" t="str">
        <f t="shared" ref="CZ439:CZ440" si="186">+IF(CP439=$CZ$1,CS439,"N/A")</f>
        <v>N/A</v>
      </c>
      <c r="DA439" s="211" t="str">
        <f t="shared" ref="DA439:DA440" si="187">+IF(CP439=$DA$1,CS439,"N/A")</f>
        <v>N/A</v>
      </c>
      <c r="DB439" s="211" t="str">
        <f t="shared" ref="DB439:DB440" si="188">+IF(CP439=$DB$1,CS439,"N/A")</f>
        <v>N/A</v>
      </c>
      <c r="DC439" s="211" t="str">
        <f t="shared" ref="DC439:DC440" si="189">+IF(CP439=$DC$1,CS439,"N/A")</f>
        <v>N/A</v>
      </c>
      <c r="DD439" s="211" t="str">
        <f t="shared" ref="DD439:DD440" si="190">+IF(CP439=$DD$1,CS439,"N/A")</f>
        <v>N/A</v>
      </c>
      <c r="DE439" s="211" t="str">
        <f t="shared" ref="DE439:DE440" si="191">+IF(CP439=$DE$1,CS439,"N/A")</f>
        <v>N/A</v>
      </c>
      <c r="DF439" s="211" t="str">
        <f t="shared" ref="DF439:DF440" si="192">+IF(CP439=$DF$1,CS439,"N/A")</f>
        <v xml:space="preserve">Las actividades ejecutadas para el cumplimiento del Plan de Seguridad y Privacidad de la información corresponden a: ​
1. Alcanzar un nivel de implementación del 80 % del Modelo de Seguridad y Privacidad de la Información (MSPI), fortaleciendo los controles de seguridad y privacidad de la información en la entidad.
2. Identificar  el 100 % de los activos de información de los procesos de la entidad, incluyendo su clasificación y responsables, que sirva de insumo para la gestión de riesgos de seguridad de la información.
3. Avanzar en implementación. Apropiación y madurez operativa del Programa de Gestión de Datos Pesonales
4.Avanzar con el diseño e implementación de la arquitectura de seguridad de la SNS. 
</v>
      </c>
    </row>
    <row r="440" spans="1:110" ht="64.5" customHeight="1">
      <c r="A440" s="349" t="s">
        <v>190</v>
      </c>
      <c r="B440" s="209" t="s">
        <v>149</v>
      </c>
      <c r="C440" s="209" t="s">
        <v>196</v>
      </c>
      <c r="D440" s="209" t="s">
        <v>631</v>
      </c>
      <c r="E440" s="209" t="s">
        <v>632</v>
      </c>
      <c r="F440" s="349" t="s">
        <v>633</v>
      </c>
      <c r="G440" s="209" t="s">
        <v>178</v>
      </c>
      <c r="H440" s="243">
        <v>0.5</v>
      </c>
      <c r="I440" s="323">
        <v>4</v>
      </c>
      <c r="J440" s="433">
        <v>7</v>
      </c>
      <c r="K440" s="290">
        <v>0.44444444444444398</v>
      </c>
      <c r="L440" s="209" t="s">
        <v>3305</v>
      </c>
      <c r="M440" s="209" t="b">
        <v>1</v>
      </c>
      <c r="N440" s="209" t="s">
        <v>3306</v>
      </c>
      <c r="O440" s="209" t="s">
        <v>2832</v>
      </c>
      <c r="P440" s="209" t="s">
        <v>159</v>
      </c>
      <c r="Q440" s="243" t="s">
        <v>160</v>
      </c>
      <c r="R440" s="243"/>
      <c r="S440" s="243"/>
      <c r="Z440" s="209"/>
      <c r="AA440" s="209"/>
      <c r="AB440" s="209"/>
      <c r="AH440" s="244"/>
      <c r="AI440" s="244"/>
      <c r="AJ440" s="244"/>
      <c r="AQ440" s="209"/>
      <c r="AR440" s="209"/>
      <c r="AS440" s="209"/>
      <c r="BX440" s="274"/>
      <c r="CA440" s="209"/>
      <c r="CO440" s="349" t="s">
        <v>238</v>
      </c>
      <c r="CP440" t="s">
        <v>149</v>
      </c>
      <c r="CQ440" t="s">
        <v>380</v>
      </c>
      <c r="CR440" s="272" t="s">
        <v>521</v>
      </c>
      <c r="CS440" s="350" t="s">
        <v>3501</v>
      </c>
      <c r="CT440" s="209" t="s">
        <v>380</v>
      </c>
      <c r="CU440" s="211" t="str">
        <f t="shared" si="181"/>
        <v>N/A</v>
      </c>
      <c r="CV440" s="211" t="str">
        <f t="shared" si="182"/>
        <v>N/A</v>
      </c>
      <c r="CW440" s="211" t="str">
        <f t="shared" si="183"/>
        <v>N/A</v>
      </c>
      <c r="CX440" s="211" t="str">
        <f t="shared" si="184"/>
        <v>N/A</v>
      </c>
      <c r="CY440" s="211" t="str">
        <f t="shared" si="185"/>
        <v>N/A</v>
      </c>
      <c r="CZ440" s="211" t="str">
        <f t="shared" si="186"/>
        <v>N/A</v>
      </c>
      <c r="DA440" s="211" t="str">
        <f t="shared" si="187"/>
        <v>N/A</v>
      </c>
      <c r="DB440" s="211" t="str">
        <f t="shared" si="188"/>
        <v>N/A</v>
      </c>
      <c r="DC440" s="211" t="str">
        <f t="shared" si="189"/>
        <v>N/A</v>
      </c>
      <c r="DD440" s="211" t="str">
        <f t="shared" si="190"/>
        <v>N/A</v>
      </c>
      <c r="DE440" s="211" t="str">
        <f t="shared" si="191"/>
        <v>N/A</v>
      </c>
      <c r="DF440" s="211" t="str">
        <f t="shared" si="192"/>
        <v xml:space="preserve">Las actividades ejecutadas en el periodo evidencian un avance integral en la gestión de riesgos de seguridad digital y privacidad de la información dentro de la entidad. Se actualizaron lineamientos y políticas clave, se fortaleció la cultura institucional mediante jornadas de sensibilización y capacitación dirigidas a gestores y colaboradores, y se brindó acompañamiento técnico en la identificación, análisis y valoración de riesgos con criticidad moderada, alta y extrema, incluyendo la revisión de controles y la definición de tratamientos. Además, se formalizó la aceptación y aprobación de los riesgos identificados junto con sus planes de mejoramiento, y se publicaron los mapas de riesgos de los procesos, consolidando así un ciclo de gestión más maduro, documentado y alineado con las exigencias de seguridad digital y continuidad operativa.
</v>
      </c>
    </row>
    <row r="441" spans="1:110" ht="64.5" customHeight="1">
      <c r="A441" s="349" t="s">
        <v>238</v>
      </c>
      <c r="B441" t="s">
        <v>149</v>
      </c>
      <c r="C441" t="s">
        <v>375</v>
      </c>
      <c r="D441" s="272" t="s">
        <v>521</v>
      </c>
      <c r="E441" s="272" t="s">
        <v>526</v>
      </c>
      <c r="F441" s="351" t="s">
        <v>527</v>
      </c>
      <c r="G441" t="s">
        <v>2807</v>
      </c>
      <c r="H441">
        <v>5</v>
      </c>
      <c r="I441" s="437">
        <v>4</v>
      </c>
      <c r="J441" s="437">
        <v>5</v>
      </c>
      <c r="K441">
        <v>1</v>
      </c>
      <c r="L441" s="350" t="s">
        <v>3499</v>
      </c>
      <c r="M441" t="b">
        <v>1</v>
      </c>
      <c r="N441" s="350" t="s">
        <v>3500</v>
      </c>
      <c r="O441" t="s">
        <v>2832</v>
      </c>
      <c r="P441" s="350" t="s">
        <v>159</v>
      </c>
      <c r="Q441" s="350" t="s">
        <v>160</v>
      </c>
    </row>
    <row r="442" spans="1:110" ht="64.5" customHeight="1">
      <c r="A442" s="349" t="s">
        <v>238</v>
      </c>
      <c r="B442" t="s">
        <v>149</v>
      </c>
      <c r="C442" t="s">
        <v>380</v>
      </c>
      <c r="D442" s="272" t="s">
        <v>521</v>
      </c>
      <c r="E442" s="272" t="s">
        <v>530</v>
      </c>
      <c r="F442" s="351" t="s">
        <v>531</v>
      </c>
      <c r="G442" t="s">
        <v>178</v>
      </c>
      <c r="H442">
        <v>4</v>
      </c>
      <c r="I442" s="437">
        <v>8</v>
      </c>
      <c r="J442" s="437">
        <v>8</v>
      </c>
      <c r="K442">
        <v>1</v>
      </c>
      <c r="L442" s="350" t="s">
        <v>3501</v>
      </c>
      <c r="M442" t="b">
        <v>1</v>
      </c>
      <c r="N442" s="350" t="s">
        <v>3502</v>
      </c>
      <c r="O442" t="s">
        <v>2832</v>
      </c>
      <c r="P442" s="350" t="s">
        <v>159</v>
      </c>
      <c r="Q442" s="350" t="s">
        <v>160</v>
      </c>
    </row>
    <row r="443" spans="1:110" ht="64.5" customHeight="1">
      <c r="A443" s="349" t="s">
        <v>607</v>
      </c>
      <c r="B443" s="209" t="s">
        <v>149</v>
      </c>
      <c r="C443" s="209" t="s">
        <v>1205</v>
      </c>
      <c r="D443" s="209" t="s">
        <v>1206</v>
      </c>
      <c r="E443" s="209" t="s">
        <v>1207</v>
      </c>
      <c r="F443" s="349" t="s">
        <v>1208</v>
      </c>
      <c r="G443" s="209" t="s">
        <v>178</v>
      </c>
      <c r="H443" s="243">
        <v>0.3</v>
      </c>
      <c r="I443" s="433">
        <v>71</v>
      </c>
      <c r="J443" s="433">
        <v>73</v>
      </c>
      <c r="K443" s="290">
        <f>+I443/J443</f>
        <v>0.9726027397260274</v>
      </c>
      <c r="L443" s="209" t="s">
        <v>3538</v>
      </c>
      <c r="M443" s="209" t="b">
        <v>0</v>
      </c>
      <c r="O443" s="209" t="s">
        <v>2832</v>
      </c>
      <c r="P443" s="209" t="s">
        <v>159</v>
      </c>
      <c r="Q443" s="243" t="s">
        <v>160</v>
      </c>
    </row>
  </sheetData>
  <mergeCells count="2">
    <mergeCell ref="BB1:BM1"/>
    <mergeCell ref="BN1:BY1"/>
  </mergeCells>
  <phoneticPr fontId="44" type="noConversion"/>
  <pageMargins left="0.7" right="0.7" top="0.75" bottom="0.75" header="0.3" footer="0.3"/>
  <pageSetup orientation="portrait" r:id="rId3"/>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C7EC4-D86D-4010-808D-489527C1FD02}">
  <sheetPr codeName="Hoja20"/>
  <dimension ref="A1:Q67"/>
  <sheetViews>
    <sheetView view="pageBreakPreview" topLeftCell="A29" zoomScale="80" zoomScaleNormal="73" zoomScaleSheetLayoutView="80" zoomScalePageLayoutView="55" workbookViewId="0">
      <selection activeCell="B38" sqref="B38:D38"/>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15.75">
      <c r="A6" s="789" t="s">
        <v>8</v>
      </c>
      <c r="B6" s="790"/>
      <c r="C6" s="711" t="str">
        <f>VLOOKUP(L12,Reporte!$N$5:$BN$133,2,FALSE)</f>
        <v>Porcentaje de  decisión de fondo de  las investigaciones administrativas con riesgo de caducidad 2025</v>
      </c>
      <c r="D6" s="711"/>
      <c r="E6" s="711"/>
      <c r="F6" s="711"/>
      <c r="G6" s="711"/>
      <c r="H6" s="711"/>
      <c r="I6" s="711"/>
      <c r="J6" s="711"/>
      <c r="K6" s="711"/>
      <c r="L6" s="711"/>
      <c r="M6" s="711"/>
      <c r="N6" s="711"/>
      <c r="O6" s="791"/>
      <c r="P6" s="128"/>
    </row>
    <row r="7" spans="1:17" ht="59.2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15.75">
      <c r="A8" s="792" t="s">
        <v>1594</v>
      </c>
      <c r="B8" s="774"/>
      <c r="C8" s="711" t="str">
        <f>VLOOKUP(L12,Reporte!$A$5:$N$133,13,FALSE)</f>
        <v>Gestionar con decisión de fondo (sanción, cierre y archivo y caducidad) las investigaciones administrativas con riesgo de caducidad 2025</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1.25" customHeight="1">
      <c r="A10" s="794"/>
      <c r="B10" s="795"/>
      <c r="C10" s="711" t="str">
        <f>VLOOKUP(L12,Reporte!$N$5:$BN$133,4,FALSE)</f>
        <v xml:space="preserve">Número de investigaciones administrativas con riesgo de caducidad 2025, que hayan sido objeto de decisión dentro del trimestre de reporte </v>
      </c>
      <c r="D10" s="711"/>
      <c r="E10" s="711"/>
      <c r="F10" s="799" t="str">
        <f>VLOOKUP(L12,Reporte!$N$5:$BN$133,6,FALSE)</f>
        <v>Mide el porcentaje de investigaciones con riesgo de caducidad.</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investigaciones con caducidad 2025*100</v>
      </c>
      <c r="D12" s="711"/>
      <c r="E12" s="711"/>
      <c r="F12" s="799"/>
      <c r="G12" s="799"/>
      <c r="H12" s="799"/>
      <c r="I12" s="799"/>
      <c r="J12" s="712" t="str">
        <f>VLOOKUP(L12,Reporte!$N$5:$BN$133,7,FALSE)</f>
        <v>Eficiencia</v>
      </c>
      <c r="K12" s="712"/>
      <c r="L12" s="713" t="s">
        <v>329</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Delegatura de Investigaciones Administrativas</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166</v>
      </c>
      <c r="F22" s="139">
        <f>VLOOKUP(L12,Reporte!$N$5:$BN$133,33,FALSE)</f>
        <v>0</v>
      </c>
      <c r="G22" s="132">
        <f>VLOOKUP(L12,Reporte!$N$5:$BN$133,34,FALSE)</f>
        <v>0</v>
      </c>
      <c r="H22" s="139">
        <f>VLOOKUP(L12,Reporte!$N$5:$BN$133,35,FALSE)</f>
        <v>136</v>
      </c>
      <c r="I22" s="132">
        <f>VLOOKUP(L12,Reporte!$N$5:$BN$133,36,FALSE)</f>
        <v>0</v>
      </c>
      <c r="J22" s="139">
        <f>VLOOKUP(L12,Reporte!$N$5:$BN$133,37,FALSE)</f>
        <v>0</v>
      </c>
      <c r="K22" s="139">
        <f>VLOOKUP(L12,Reporte!$N$5:$BN$133,38,FALSE)</f>
        <v>97</v>
      </c>
      <c r="L22" s="139">
        <f>VLOOKUP(L12,Reporte!$N$5:$BN$133,39,FALSE)</f>
        <v>0</v>
      </c>
      <c r="M22" s="139">
        <f>VLOOKUP(L12,Reporte!$N$5:$BN$133,40,FALSE)</f>
        <v>0</v>
      </c>
      <c r="N22" s="133">
        <f>VLOOKUP(L12,Reporte!$N$5:$BN$133,41,FALSE)</f>
        <v>41</v>
      </c>
      <c r="O22" s="133">
        <f>SUM(C22:N22)</f>
        <v>440</v>
      </c>
      <c r="P22" s="128"/>
    </row>
    <row r="23" spans="1:17" ht="16.5" thickBot="1">
      <c r="A23" s="690" t="s">
        <v>76</v>
      </c>
      <c r="B23" s="691"/>
      <c r="C23" s="140">
        <f>VLOOKUP(L12,Reporte!$N$5:$BN$133,42,FALSE)</f>
        <v>0</v>
      </c>
      <c r="D23" s="140">
        <f>VLOOKUP(L12,Reporte!$N$5:$BN$133,43,FALSE)</f>
        <v>0</v>
      </c>
      <c r="E23" s="140">
        <f>VLOOKUP(L12,Reporte!$N$5:$BN$133,44,FALSE)</f>
        <v>441</v>
      </c>
      <c r="F23" s="140">
        <f>VLOOKUP(L12,Reporte!$N$5:$BN$133,45,FALSE)</f>
        <v>0</v>
      </c>
      <c r="G23" s="140">
        <f>VLOOKUP(L12,Reporte!$N$5:$BN$133,46,FALSE)</f>
        <v>0</v>
      </c>
      <c r="H23" s="140">
        <f>VLOOKUP(L12,Reporte!$N$5:$BN$133,47,FALSE)</f>
        <v>441</v>
      </c>
      <c r="I23" s="140">
        <f>VLOOKUP(L12,Reporte!$N$5:$BN$133,48,FALSE)</f>
        <v>0</v>
      </c>
      <c r="J23" s="140">
        <f>VLOOKUP(L12,Reporte!$N$5:$BN$133,49,FALSE)</f>
        <v>0</v>
      </c>
      <c r="K23" s="140">
        <f>VLOOKUP(L12,Reporte!$N$5:$BN$133,50,FALSE)</f>
        <v>441</v>
      </c>
      <c r="L23" s="140">
        <f>VLOOKUP(L12,Reporte!$N$5:$BN$133,51,FALSE)</f>
        <v>0</v>
      </c>
      <c r="M23" s="140">
        <f>VLOOKUP(L12,Reporte!$N$5:$BN$133,52,FALSE)</f>
        <v>0</v>
      </c>
      <c r="N23" s="141">
        <f>VLOOKUP(L12,Reporte!$N$5:$BN$133,53,FALSE)</f>
        <v>441</v>
      </c>
      <c r="O23" s="133">
        <f>MAX(C23:N23)</f>
        <v>441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0.37641723356009071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0.30839002267573695</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0.2199546485260771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9.297052154195011E-2</v>
      </c>
      <c r="C37" s="146">
        <f t="shared" si="0"/>
        <v>1</v>
      </c>
      <c r="D37" s="146">
        <f>+D36</f>
        <v>0.98</v>
      </c>
      <c r="E37" s="147"/>
      <c r="F37" s="147"/>
      <c r="G37" s="147"/>
      <c r="H37" s="147"/>
      <c r="I37" s="147"/>
      <c r="J37" s="147"/>
      <c r="K37" s="147"/>
      <c r="L37" s="685"/>
      <c r="M37" s="685"/>
      <c r="N37" s="685"/>
      <c r="O37" s="701"/>
      <c r="P37" s="148"/>
      <c r="Q37" s="149"/>
    </row>
    <row r="38" spans="1:17" s="127" customFormat="1" ht="15.75" thickBot="1">
      <c r="A38" s="152" t="s">
        <v>106</v>
      </c>
      <c r="B38" s="432">
        <f>IF(ISERROR($O$22/$O$23),0,$O$22/$O$23)</f>
        <v>0.99773242630385484</v>
      </c>
      <c r="C38" s="432">
        <f>+C37</f>
        <v>1</v>
      </c>
      <c r="D38" s="432">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​Se cumple con más de la meta establecida del 25%,  ya que se identificaron 441 investigaciones con riesgo de caducidad ( 2025 ) a enero de 2025 y en el trimestre se han expedido 166 decisiones lo cual equivale al 37.6%, lo anterior se logro tras las estrategias de gestión al día con la DIA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69.75" customHeight="1" thickBot="1">
      <c r="A51" s="670" t="str">
        <f>VLOOKUP(L12,Reporte!$N$5:$BZ$133,59,FALSE)</f>
        <v xml:space="preserve">​INDICADOR A DEMANDA
INFORMACION POR TRIMESTRE
Para 2025 se identificaron 441 procesos administrativos con riesgo de caducidad 2025 , en el primer trimestre se reportaron como expedidas 166 decisiones equivalentes al 37.6%
Para el segundo trimestre de 2025 se profirieron 136 decisiones con riesgo 2025 equivalente al 30,83%
Por lo anterior se entiende que para el 30 de junio de 2025 se ha realizado un avance del 68.43 % , dando cumplimiento al indicador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51" customHeight="1" thickBot="1">
      <c r="A57" s="682" t="str">
        <f>VLOOKUP(L12,Reporte!$N$5:$BZ$133,62,FALSE)</f>
        <v xml:space="preserve">​Para 2025 se identificaron 441 procesos administrativos con riesgo de caducidad 2025 , en el primer trimestre se reportaron como expedidas 166 decisiones equivalentes al 37.6%
Para el segundo trimestre de 2025 se profirieron 136 decisiones con riesgo 2025 equivalente al 30,83%
para el tercer trimestre se profirieron 97 decisiones con riesgos 2025 equivalente al 22% 
Por lo anterior se entiende que para el 30 de septiembre de 2025 se ha realizado un avance del  90% , dando cumplimiento al indicador .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8.5" customHeight="1" thickBot="1">
      <c r="A63" s="673" t="str">
        <f>VLOOKUP(L12,Reporte!$N$5:$BZ$133,65,FALSE)</f>
        <v xml:space="preserve">Para 2025 se identificaron 441 procesos administrativos con riesgo de caducidad 2025 , en el primer trimestre se reportaron como expedidas 166 decisiones equivalentes al 37.6%. Para el segundo trimestre de 2025 se profirieron 136 decisiones con riesgo 2025 equivalente al 30,83%. Para el tercer trimestre se profirieron 97 decisiones con riesgos 2025 equivalente al 22% y para el cuarto trimestre se profieron 41 decisiones con riesgo 2025 equivalente al 9,5%  Por lo anterior se entiende que para el 31 de diciembre de 2025 se ha realizado un avance del  99,5% , dando cumplimiento al indicador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tomado 440 decisiones sobre las 441 investigaciones administrativas con riesgo de caducidad 2025, con lo cual se presenta un incumplimiento la meta de establecida para 2025.
Se presentan inconsistencias en el reporte numerado, con embargo con el análisis cualitativo es posible deducir las valores efectivos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87D1-8EEC-4BAB-88F9-3D45DFAA300C}">
  <sheetPr codeName="Hoja21"/>
  <dimension ref="A1:R67"/>
  <sheetViews>
    <sheetView view="pageBreakPreview" topLeftCell="A19" zoomScale="80" zoomScaleNormal="73" zoomScaleSheetLayoutView="80" zoomScalePageLayoutView="55" workbookViewId="0">
      <selection activeCell="Q62" sqref="Q62"/>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8" ht="13.5" customHeight="1">
      <c r="A1" s="753"/>
      <c r="B1" s="754"/>
      <c r="C1" s="661" t="s">
        <v>918</v>
      </c>
      <c r="D1" s="759"/>
      <c r="E1" s="759"/>
      <c r="F1" s="759"/>
      <c r="G1" s="759"/>
      <c r="H1" s="759"/>
      <c r="I1" s="759"/>
      <c r="J1" s="759"/>
      <c r="K1" s="759"/>
      <c r="L1" s="661" t="s">
        <v>2</v>
      </c>
      <c r="M1" s="662"/>
      <c r="N1" s="761" t="s">
        <v>1592</v>
      </c>
      <c r="O1" s="762"/>
      <c r="P1" s="128"/>
    </row>
    <row r="2" spans="1:18" ht="13.5" customHeight="1">
      <c r="A2" s="755"/>
      <c r="B2" s="756"/>
      <c r="C2" s="663"/>
      <c r="D2" s="760"/>
      <c r="E2" s="760"/>
      <c r="F2" s="760"/>
      <c r="G2" s="760"/>
      <c r="H2" s="760"/>
      <c r="I2" s="760"/>
      <c r="J2" s="760"/>
      <c r="K2" s="760"/>
      <c r="L2" s="663"/>
      <c r="M2" s="664"/>
      <c r="N2" s="763"/>
      <c r="O2" s="764"/>
      <c r="P2" s="128"/>
    </row>
    <row r="3" spans="1:18" ht="20.25" customHeight="1">
      <c r="A3" s="755"/>
      <c r="B3" s="756"/>
      <c r="C3" s="765" t="s">
        <v>5</v>
      </c>
      <c r="D3" s="766"/>
      <c r="E3" s="766"/>
      <c r="F3" s="766"/>
      <c r="G3" s="766"/>
      <c r="H3" s="766"/>
      <c r="I3" s="766"/>
      <c r="J3" s="766"/>
      <c r="K3" s="766"/>
      <c r="L3" s="773" t="s">
        <v>6</v>
      </c>
      <c r="M3" s="774"/>
      <c r="N3" s="769">
        <v>1</v>
      </c>
      <c r="O3" s="770"/>
      <c r="P3" s="128"/>
    </row>
    <row r="4" spans="1:18" ht="16.5" thickBot="1">
      <c r="A4" s="757"/>
      <c r="B4" s="758"/>
      <c r="C4" s="767"/>
      <c r="D4" s="768"/>
      <c r="E4" s="768"/>
      <c r="F4" s="768"/>
      <c r="G4" s="768"/>
      <c r="H4" s="768"/>
      <c r="I4" s="768"/>
      <c r="J4" s="768"/>
      <c r="K4" s="768"/>
      <c r="L4" s="665" t="s">
        <v>1593</v>
      </c>
      <c r="M4" s="666"/>
      <c r="N4" s="771">
        <v>45077</v>
      </c>
      <c r="O4" s="772"/>
      <c r="P4" s="128"/>
    </row>
    <row r="5" spans="1:18" s="58" customFormat="1" ht="16.5" thickBot="1">
      <c r="A5" s="784" t="s">
        <v>0</v>
      </c>
      <c r="B5" s="785"/>
      <c r="C5" s="786" t="str">
        <f>VLOOKUP(L12,Reporte!$A$5:$M$133,9,FALSE)</f>
        <v>GESTIÓN FINANCIERA</v>
      </c>
      <c r="D5" s="787"/>
      <c r="E5" s="787"/>
      <c r="F5" s="787"/>
      <c r="G5" s="787"/>
      <c r="H5" s="787"/>
      <c r="I5" s="787"/>
      <c r="J5" s="787"/>
      <c r="K5" s="787"/>
      <c r="L5" s="787"/>
      <c r="M5" s="787"/>
      <c r="N5" s="787"/>
      <c r="O5" s="788"/>
      <c r="P5" s="130"/>
      <c r="Q5" s="131"/>
    </row>
    <row r="6" spans="1:18" ht="35.25" customHeight="1">
      <c r="A6" s="789" t="s">
        <v>8</v>
      </c>
      <c r="B6" s="790"/>
      <c r="C6" s="711" t="str">
        <f>VLOOKUP(L12,Reporte!$N$5:$BN$133,2,FALSE)</f>
        <v>Ejecución presupuestal de recursos solicitados y asignados para el presupuesto para el Mejoramiento en la ejecución de las acciones de supervisión y control  frente a la gestión en el SGSSS de los vigilados de la Supersalud Nacional</v>
      </c>
      <c r="D6" s="711"/>
      <c r="E6" s="711"/>
      <c r="F6" s="711"/>
      <c r="G6" s="711"/>
      <c r="H6" s="711"/>
      <c r="I6" s="711"/>
      <c r="J6" s="711"/>
      <c r="K6" s="711"/>
      <c r="L6" s="711"/>
      <c r="M6" s="711"/>
      <c r="N6" s="711"/>
      <c r="O6" s="791"/>
      <c r="P6" s="128"/>
    </row>
    <row r="7" spans="1:18" ht="49.5" customHeight="1">
      <c r="A7" s="789" t="s">
        <v>10</v>
      </c>
      <c r="B7" s="790"/>
      <c r="C7" s="711" t="str">
        <f>VLOOKUP(L12,Reporte!A5:M133,10,FALSE)</f>
        <v>Administrar, gestionar, registrar y controlar  los recursos financieros de la Entidad a través de la aplicación de  las normas legales vigentes y la gestión organizacional, que permita la  disponibilidad de recursos económicos, con el fin de contribuir de forma eficiente y eficaz al cumplimiento de las metas institucionales propuestas.</v>
      </c>
      <c r="D7" s="711"/>
      <c r="E7" s="711"/>
      <c r="F7" s="711"/>
      <c r="G7" s="711"/>
      <c r="H7" s="711"/>
      <c r="I7" s="711"/>
      <c r="J7" s="711"/>
      <c r="K7" s="711"/>
      <c r="L7" s="711"/>
      <c r="M7" s="711"/>
      <c r="N7" s="711"/>
      <c r="O7" s="791"/>
      <c r="P7" s="128"/>
    </row>
    <row r="8" spans="1:18" ht="34.5" customHeight="1">
      <c r="A8" s="792" t="s">
        <v>1594</v>
      </c>
      <c r="B8" s="774"/>
      <c r="C8" s="711" t="str">
        <f>VLOOKUP(L12,Reporte!$A$5:$N$133,13,FALSE)</f>
        <v>Gestionar las solicitudes de investigación, procesos en trámite, decisiones, recursos y demás actos relacionados con los procesos administrativos sancionatorios con riesgo de caducidad, relacionados con las vigencias 2025-2029.</v>
      </c>
      <c r="D8" s="711"/>
      <c r="E8" s="711"/>
      <c r="F8" s="711"/>
      <c r="G8" s="711"/>
      <c r="H8" s="711"/>
      <c r="I8" s="711"/>
      <c r="J8" s="711"/>
      <c r="K8" s="711"/>
      <c r="L8" s="711"/>
      <c r="M8" s="711"/>
      <c r="N8" s="711"/>
      <c r="O8" s="791"/>
      <c r="P8" s="128"/>
    </row>
    <row r="9" spans="1:18" ht="15.75">
      <c r="A9" s="793" t="s">
        <v>12</v>
      </c>
      <c r="B9" s="766"/>
      <c r="C9" s="797" t="s">
        <v>13</v>
      </c>
      <c r="D9" s="797"/>
      <c r="E9" s="797"/>
      <c r="F9" s="797" t="s">
        <v>14</v>
      </c>
      <c r="G9" s="797"/>
      <c r="H9" s="797"/>
      <c r="I9" s="797"/>
      <c r="J9" s="797" t="s">
        <v>15</v>
      </c>
      <c r="K9" s="797"/>
      <c r="L9" s="797"/>
      <c r="M9" s="797"/>
      <c r="N9" s="797"/>
      <c r="O9" s="798"/>
      <c r="P9" s="128"/>
    </row>
    <row r="10" spans="1:18" ht="48.75" customHeight="1">
      <c r="A10" s="794"/>
      <c r="B10" s="795"/>
      <c r="C10" s="711" t="str">
        <f>VLOOKUP(L12,Reporte!$N$5:$BN$133,4,FALSE)</f>
        <v>Obligaciones totales</v>
      </c>
      <c r="D10" s="711"/>
      <c r="E10" s="711"/>
      <c r="F10" s="799" t="str">
        <f>VLOOKUP(L12,Reporte!$N$5:$BN$133,6,FALSE)</f>
        <v>Este indicador mide la ejecución presupuestal de recursos solicitados y asigandos.</v>
      </c>
      <c r="G10" s="799"/>
      <c r="H10" s="799"/>
      <c r="I10" s="799"/>
      <c r="J10" s="707" t="s">
        <v>18</v>
      </c>
      <c r="K10" s="707"/>
      <c r="L10" s="707" t="s">
        <v>19</v>
      </c>
      <c r="M10" s="707"/>
      <c r="N10" s="707" t="s">
        <v>20</v>
      </c>
      <c r="O10" s="708"/>
      <c r="P10" s="128"/>
    </row>
    <row r="11" spans="1:18" ht="15.75">
      <c r="A11" s="794"/>
      <c r="B11" s="795"/>
      <c r="C11" s="709" t="s">
        <v>21</v>
      </c>
      <c r="D11" s="709"/>
      <c r="E11" s="709"/>
      <c r="F11" s="799"/>
      <c r="G11" s="799"/>
      <c r="H11" s="799"/>
      <c r="I11" s="799"/>
      <c r="J11" s="707"/>
      <c r="K11" s="707"/>
      <c r="L11" s="707"/>
      <c r="M11" s="707"/>
      <c r="N11" s="707"/>
      <c r="O11" s="708"/>
      <c r="P11" s="128"/>
    </row>
    <row r="12" spans="1:18" ht="48.75" customHeight="1" thickBot="1">
      <c r="A12" s="796"/>
      <c r="B12" s="768"/>
      <c r="C12" s="710" t="str">
        <f>VLOOKUP(L12,Reporte!$N$5:$BN$133,5,FALSE)</f>
        <v xml:space="preserve"> Apropiación total asignada </v>
      </c>
      <c r="D12" s="711"/>
      <c r="E12" s="711"/>
      <c r="F12" s="799"/>
      <c r="G12" s="799"/>
      <c r="H12" s="799"/>
      <c r="I12" s="799"/>
      <c r="J12" s="712" t="str">
        <f>VLOOKUP(L12,Reporte!$N$5:$BN$133,7,FALSE)</f>
        <v>Efectividad</v>
      </c>
      <c r="K12" s="712"/>
      <c r="L12" s="713" t="s">
        <v>422</v>
      </c>
      <c r="M12" s="713"/>
      <c r="N12" s="714">
        <f>VLOOKUP(L12,Reporte!$AP$5:$CAB$133,38,FALSE)</f>
        <v>1</v>
      </c>
      <c r="O12" s="715"/>
      <c r="P12" s="128"/>
      <c r="R12" s="57">
        <f>VLOOKUP(L12,Reporte!$AP$5:$CAB$133,38,FALSE)</f>
        <v>1</v>
      </c>
    </row>
    <row r="13" spans="1:18" ht="16.5" thickBot="1">
      <c r="A13" s="719" t="s">
        <v>26</v>
      </c>
      <c r="B13" s="720"/>
      <c r="C13" s="721"/>
      <c r="D13" s="721"/>
      <c r="E13" s="721"/>
      <c r="F13" s="721"/>
      <c r="G13" s="721"/>
      <c r="H13" s="721"/>
      <c r="I13" s="721"/>
      <c r="J13" s="721"/>
      <c r="K13" s="721"/>
      <c r="L13" s="721"/>
      <c r="M13" s="721"/>
      <c r="N13" s="721"/>
      <c r="O13" s="722"/>
      <c r="P13" s="128"/>
    </row>
    <row r="14" spans="1:18" ht="15.75">
      <c r="A14" s="723" t="s">
        <v>27</v>
      </c>
      <c r="B14" s="707"/>
      <c r="C14" s="724" t="s">
        <v>28</v>
      </c>
      <c r="D14" s="724"/>
      <c r="E14" s="725"/>
      <c r="F14" s="726" t="s">
        <v>30</v>
      </c>
      <c r="G14" s="725"/>
      <c r="H14" s="727" t="s">
        <v>31</v>
      </c>
      <c r="I14" s="727"/>
      <c r="J14" s="727"/>
      <c r="K14" s="727"/>
      <c r="L14" s="727"/>
      <c r="M14" s="750" t="s">
        <v>32</v>
      </c>
      <c r="N14" s="751"/>
      <c r="O14" s="752"/>
      <c r="P14" s="128"/>
    </row>
    <row r="15" spans="1:18"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Delegatura de Investigaciones Administrativas</v>
      </c>
      <c r="N15" s="776"/>
      <c r="O15" s="777"/>
      <c r="P15" s="128"/>
    </row>
    <row r="16" spans="1:18"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s="193" customFormat="1" ht="12.75">
      <c r="A22" s="800" t="s">
        <v>63</v>
      </c>
      <c r="B22" s="801"/>
      <c r="C22" s="188">
        <f>VLOOKUP(L12,Reporte!$N$5:$BN$133,30,FALSE)</f>
        <v>0</v>
      </c>
      <c r="D22" s="188">
        <f>VLOOKUP(L12,Reporte!$N$5:$BN$133,31,FALSE)</f>
        <v>0</v>
      </c>
      <c r="E22" s="188">
        <f>VLOOKUP(L12,Reporte!$N$5:$BN$133,32,FALSE)</f>
        <v>400000000</v>
      </c>
      <c r="F22" s="189">
        <f>VLOOKUP(L12,Reporte!$N$5:$BN$133,33,FALSE)</f>
        <v>0</v>
      </c>
      <c r="G22" s="188">
        <f>VLOOKUP(L12,Reporte!$N$5:$BN$133,34,FALSE)</f>
        <v>0</v>
      </c>
      <c r="H22" s="189">
        <f>VLOOKUP(L12,Reporte!$N$5:$BN$133,35,FALSE)</f>
        <v>599023035</v>
      </c>
      <c r="I22" s="188">
        <f>VLOOKUP(L12,Reporte!$N$5:$BN$133,36,FALSE)</f>
        <v>0</v>
      </c>
      <c r="J22" s="189">
        <f>VLOOKUP(L12,Reporte!$N$5:$BN$133,37,FALSE)</f>
        <v>0</v>
      </c>
      <c r="K22" s="189">
        <f>VLOOKUP(L12,Reporte!$N$5:$BN$133,38,FALSE)</f>
        <v>711860467</v>
      </c>
      <c r="L22" s="189">
        <f>VLOOKUP(L12,Reporte!$N$5:$BN$133,39,FALSE)</f>
        <v>0</v>
      </c>
      <c r="M22" s="189">
        <f>VLOOKUP(L12,Reporte!$N$5:$BN$133,40,FALSE)</f>
        <v>0</v>
      </c>
      <c r="N22" s="190">
        <f>VLOOKUP(L12,Reporte!$N$5:$BN$133,41,FALSE)</f>
        <v>724231179</v>
      </c>
      <c r="O22" s="190">
        <f>+MAX(C22:N22)</f>
        <v>724231179</v>
      </c>
      <c r="P22" s="191"/>
      <c r="Q22" s="192"/>
    </row>
    <row r="23" spans="1:17" s="193" customFormat="1" ht="13.5" thickBot="1">
      <c r="A23" s="802" t="s">
        <v>76</v>
      </c>
      <c r="B23" s="803"/>
      <c r="C23" s="194">
        <f>VLOOKUP(L12,Reporte!$N$5:$BN$133,42,FALSE)</f>
        <v>0</v>
      </c>
      <c r="D23" s="194">
        <f>VLOOKUP(L12,Reporte!$N$5:$BN$133,43,FALSE)</f>
        <v>0</v>
      </c>
      <c r="E23" s="194">
        <f>VLOOKUP(L12,Reporte!$N$5:$BN$133,44,FALSE)</f>
        <v>731506000</v>
      </c>
      <c r="F23" s="194">
        <f>VLOOKUP(L12,Reporte!$N$5:$BN$133,45,FALSE)</f>
        <v>0</v>
      </c>
      <c r="G23" s="194">
        <f>VLOOKUP(L12,Reporte!$N$5:$BN$133,46,FALSE)</f>
        <v>0</v>
      </c>
      <c r="H23" s="194">
        <f>VLOOKUP(L12,Reporte!$N$5:$BN$133,47,FALSE)</f>
        <v>731506000</v>
      </c>
      <c r="I23" s="194">
        <f>VLOOKUP(L12,Reporte!$N$5:$BN$133,48,FALSE)</f>
        <v>0</v>
      </c>
      <c r="J23" s="194">
        <f>VLOOKUP(L12,Reporte!$N$5:$BN$133,49,FALSE)</f>
        <v>0</v>
      </c>
      <c r="K23" s="194">
        <f>VLOOKUP(L12,Reporte!$N$5:$BN$133,50,FALSE)</f>
        <v>731506000</v>
      </c>
      <c r="L23" s="194">
        <f>VLOOKUP(L12,Reporte!$N$5:$BN$133,51,FALSE)</f>
        <v>0</v>
      </c>
      <c r="M23" s="194">
        <f>VLOOKUP(L12,Reporte!$N$5:$BN$133,52,FALSE)</f>
        <v>0</v>
      </c>
      <c r="N23" s="195">
        <f>VLOOKUP(L12,Reporte!$N$5:$BN$133,53,FALSE)</f>
        <v>724431179</v>
      </c>
      <c r="O23" s="190">
        <f>+N23</f>
        <v>724431179</v>
      </c>
      <c r="P23" s="191"/>
      <c r="Q23" s="192"/>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0.54681711428204283</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0.81889011846792781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0.97314371584101844</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0.99972392132503729</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441">
        <f>IF(ISERROR($O$22/$O$23),0,$O$22/$O$23)</f>
        <v>0.99972392132503729</v>
      </c>
      <c r="C38" s="432">
        <f>+C37</f>
        <v>1</v>
      </c>
      <c r="D38" s="432">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27.75" customHeight="1" thickBot="1">
      <c r="A45" s="682" t="str">
        <f>VLOOKUP(L12,Reporte!$N$5:$BZ$133,56,FALSE)</f>
        <v xml:space="preserve">​El indicador se cumple ya que que se han apropiado bajo los registros presupuestales asociados a los procesos de contración de prestación de servicios profesionales ( 8 contratos) y constituyen el 54% del total del presupuesto asignado a la Delegatura.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99" customHeight="1" thickBot="1">
      <c r="A51" s="670" t="str">
        <f>VLOOKUP(L12,Reporte!$N$5:$BZ$133,59,FALSE)</f>
        <v>Total por rubro de funcionamoento $ 731.506.000
Total, ejecución acumulada:   = $599.023.035
Saldo pendiente por ejecutar:
Saldo restante: $731.506.000 – $599.023.035 = $132.482.965
 Resultado del avance 81 % 
se avanzo en mas del 50% en el semestre dando cumplimiento al presupuesto presentado a la Delegatura , se adjunta panatallazo de ejecución por areas entregado por en equipo de seguimiento presupuestal de la entidad y cdp expedidos en el trimestre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76.5" customHeight="1" thickBot="1">
      <c r="A57" s="682" t="str">
        <f>VLOOKUP(L12,Reporte!$N$5:$BZ$133,62,FALSE)</f>
        <v xml:space="preserve">Total por rubro de INVERSIÓN $ 731.506.000
Total, ejecución acumulada:   = $711.860.467 A CORTE 30 DE SEPTIEMBRE 
Saldo pendiente por ejecutar: 
Saldo restante: $731.506.000 – $711.860.467 = $19.645.533
 Resultado del avance 97 % 
se avanzo en mas del 97%  dando cumplimiento al presupuesto presentado a la Delegatura , se adjunta panatallazo de ejecución por areas entregado por en equipo de seguimiento presupuestal de la entidad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4" customHeight="1" thickBot="1">
      <c r="A63" s="670" t="str">
        <f>VLOOKUP(L12,Reporte!$N$5:$BZ$133,65,FALSE)</f>
        <v xml:space="preserve">​Total por rubro de INVERSIÓN $ 724.431.179 
Total, ejecución acumulada:   = $724.231.179 a corte 31 Diciembre 2025
Teniendo en cuenta la información suministrada por la Dra Camila Andrea Mejia Tovar, encargada de proyectos de inversion financiera de la Delegatura, informa que el CDP, es por $724.431.179, y  para el ultimo trimestre de Diciembre 2025 se ejecuto un valor de $724.231.179, lo cual corresponde al 99,97% del cumplimiento de este indicador. 
</v>
      </c>
      <c r="B63" s="671"/>
      <c r="C63" s="671"/>
      <c r="D63" s="671"/>
      <c r="E63" s="671"/>
      <c r="F63" s="671"/>
      <c r="G63" s="671"/>
      <c r="H63" s="671"/>
      <c r="I63" s="671"/>
      <c r="J63" s="671"/>
      <c r="K63" s="671"/>
      <c r="L63" s="671"/>
      <c r="M63" s="671"/>
      <c r="N63" s="671"/>
      <c r="O63" s="672"/>
      <c r="P63" s="155"/>
      <c r="Q63" s="156"/>
    </row>
    <row r="64" spans="1:17" ht="12" customHeight="1">
      <c r="A64" s="676" t="str">
        <f>VLOOKUP(L12,Reporte!$AP$5:$CB$133,39,FALSE)</f>
        <v>OBSERVACIONES: Se han ejecutado recursos por valor  $724.231.179 sobre la asignación de $724.431.179, lo que equivale a una ejecución presupuestal del 99,97%, lo que indica un incumplimiento con respecto de la meta del 100% establecida para la vigencia.
En cuanto a los datos reportados estos no coinciden con la información referida en el análisis cualitativo, es importante tener en cuenta la formula del indicador para el registro de datos en el aplicativo.</v>
      </c>
      <c r="B64" s="677"/>
      <c r="C64" s="677"/>
      <c r="D64" s="677"/>
      <c r="E64" s="677"/>
      <c r="F64" s="677"/>
      <c r="G64" s="677"/>
      <c r="H64" s="677"/>
      <c r="I64" s="677"/>
      <c r="J64" s="677"/>
      <c r="K64" s="677"/>
      <c r="L64" s="677"/>
      <c r="M64" s="677"/>
      <c r="N64" s="677"/>
      <c r="O64" s="678"/>
      <c r="P64" s="128"/>
    </row>
    <row r="65" spans="1:16" ht="4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6FCD-F7E5-4B7B-AF63-A5204D49B679}">
  <sheetPr codeName="Hoja22"/>
  <dimension ref="A1:Q67"/>
  <sheetViews>
    <sheetView view="pageBreakPreview" topLeftCell="A22" zoomScale="80" zoomScaleNormal="73" zoomScaleSheetLayoutView="80" zoomScalePageLayoutView="55" workbookViewId="0">
      <selection activeCell="A63" sqref="A63:XFD63"/>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15.75">
      <c r="A6" s="789" t="s">
        <v>8</v>
      </c>
      <c r="B6" s="790"/>
      <c r="C6" s="711" t="str">
        <f>VLOOKUP(L12,Reporte!$N$5:$BN$133,2,FALSE)</f>
        <v>Porcentaje de solicitudes de investigación aceptadas tras cumplir ANS</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3.75" customHeight="1">
      <c r="A8" s="792" t="s">
        <v>1594</v>
      </c>
      <c r="B8" s="774"/>
      <c r="C8" s="711" t="str">
        <f>VLOOKUP(L12,Reporte!$A$5:$N$133,13,FALSE)</f>
        <v>Determinar las solcitudes de investagaciones  aceptadasque cumplen con los lineamientos establecidos en los Ans del proceso de la delegada.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33.75" customHeight="1">
      <c r="A10" s="794"/>
      <c r="B10" s="795"/>
      <c r="C10" s="711" t="str">
        <f>VLOOKUP(L12,Reporte!$N$5:$BN$133,4,FALSE)</f>
        <v xml:space="preserve">Número de solicitudes de investigación aceptadas </v>
      </c>
      <c r="D10" s="711"/>
      <c r="E10" s="711"/>
      <c r="F10" s="799" t="str">
        <f>VLOOKUP(L12,Reporte!$N$5:$BN$133,6,FALSE)</f>
        <v>Número de solicitudes de investigación recibidas en el semestre de referencia  que hayan sido objeto de acto administrativo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solicitudes de investigación recibidas  en el semestre de reporte*100</v>
      </c>
      <c r="D12" s="711"/>
      <c r="E12" s="711"/>
      <c r="F12" s="799"/>
      <c r="G12" s="799"/>
      <c r="H12" s="799"/>
      <c r="I12" s="799"/>
      <c r="J12" s="712" t="str">
        <f>VLOOKUP(L12,Reporte!$N$5:$BN$133,7,FALSE)</f>
        <v>Eficiencia</v>
      </c>
      <c r="K12" s="712"/>
      <c r="L12" s="713" t="s">
        <v>306</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de Investigaciones Administrativas</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189</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143</v>
      </c>
      <c r="O22" s="133">
        <f>SUM(C22:N22)</f>
        <v>332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376</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222</v>
      </c>
      <c r="O23" s="133">
        <f>SUM(C23:N23)</f>
        <v>598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0.50265957446808507</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0.64414414414414412</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432">
        <f>IF(ISERROR($O$22/$O$23),0,$O$22/$O$23)</f>
        <v>0.55518394648829428</v>
      </c>
      <c r="C38" s="432">
        <f>+C37</f>
        <v>1</v>
      </c>
      <c r="D38" s="432">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73.5" customHeight="1" thickBot="1">
      <c r="A51" s="673" t="str">
        <f>VLOOKUP(L12,Reporte!$N$5:$BZ$133,59,FALSE)</f>
        <v xml:space="preserve">INDICADOR A DEMANDA 
Solicitudes aceptadas por ANS: 189 en el semestre 
Solicitudes recibidas​ en el semestre  376
Ante el alto porcentaje de devoluciones a las areas proveedores, durante el segundo trimestre de 2025 se adelantaron mesas de actualización de ANS con todos los proveedores del proceso administrativo sancionatorio, en donde se recordaron los acuerdos a las areas y se resolvieron dudas, con el fin de reducir estas devolciones a la luz de los acuerdos de nivel de servicio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2" customHeight="1" thickBot="1">
      <c r="A63" s="673" t="str">
        <f>VLOOKUP(L12,Reporte!$N$5:$BZ$133,65,FALSE)</f>
        <v xml:space="preserve">​Indicador a demanda, Solicitudes aceptadas por ANS: 143 en el semestre y Solicitudes recibidas en el semestre 222; Ante el porcentaje de devoluciones a las areas proveedoras, durante el ultimo trimestre 2025 se adelantaron mesas de actualizacion de ANS con todos los proveedores del proceso administrativo sancionatorio, en donde se recordaron acuerdos y areas y se resolvieron dudas, con el fin de reducir estas devoluciones a la luz de los acuerdos de nivel de servicio.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De 598 solicitudes recibidas en 2025,  se han aceptado 332 solicitudes de investigación que cumplen con ANS, con un incumplimiento significativo de la meta establecida para  2025. Se debe procurar una campaña efectiva para garantizar una adecuada divulgación y apropiación de las ANS en las Dependencias que remiten los expedientes, además de reducir la meta del indicador pues la tasa real de cumplimiento de las ANS es significativamente menor.</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40998-6F67-4E90-81F1-DDECE1D5F886}">
  <sheetPr codeName="Hoja148"/>
  <dimension ref="A1:Q67"/>
  <sheetViews>
    <sheetView view="pageBreakPreview" topLeftCell="A51" zoomScale="80" zoomScaleNormal="73" zoomScaleSheetLayoutView="80" zoomScalePageLayoutView="55" workbookViewId="0">
      <selection activeCell="A64" sqref="A64:O65"/>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35.25" customHeight="1">
      <c r="A6" s="789" t="s">
        <v>8</v>
      </c>
      <c r="B6" s="790"/>
      <c r="C6" s="711" t="str">
        <f>VLOOKUP(L12,Reporte!$N$5:$BN$133,2,FALSE)</f>
        <v xml:space="preserve">Porcentaje de procesos con aplicación de la politica sancionatoria reformulada a metodologia desarrollada para la priorizacion de casos de relevancia nacional, sobre el total de expedientes </v>
      </c>
      <c r="D6" s="711"/>
      <c r="E6" s="711"/>
      <c r="F6" s="711"/>
      <c r="G6" s="711"/>
      <c r="H6" s="711"/>
      <c r="I6" s="711"/>
      <c r="J6" s="711"/>
      <c r="K6" s="711"/>
      <c r="L6" s="711"/>
      <c r="M6" s="711"/>
      <c r="N6" s="711"/>
      <c r="O6" s="791"/>
      <c r="P6" s="128"/>
    </row>
    <row r="7" spans="1:17" ht="49.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4.5" customHeight="1">
      <c r="A8" s="792" t="s">
        <v>1594</v>
      </c>
      <c r="B8" s="774"/>
      <c r="C8" s="711" t="str">
        <f>VLOOKUP(L12,Reporte!$A$5:$N$133,13,FALSE)</f>
        <v>Implementar la política sancionatoria reformulada y la metodología desarrollada para la priorización de casos de relevancia nacional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9.75" customHeight="1">
      <c r="A10" s="794"/>
      <c r="B10" s="795"/>
      <c r="C10" s="711" t="str">
        <f>VLOOKUP(L12,Reporte!$N$5:$BN$133,4,FALSE)</f>
        <v xml:space="preserve">Numero de procesos iniciados con aplicación de la política sancionatoria y priorización de casos  </v>
      </c>
      <c r="D10" s="711"/>
      <c r="E10" s="711"/>
      <c r="F10" s="799" t="str">
        <f>VLOOKUP(L12,Reporte!$N$5:$BN$133,6,FALSE)</f>
        <v>Este indicador mide el porcentaje de procesos con aplicación de politica sancionatoria.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Total de expedientes tramitados en el semestre*100</v>
      </c>
      <c r="D12" s="711"/>
      <c r="E12" s="711"/>
      <c r="F12" s="799"/>
      <c r="G12" s="799"/>
      <c r="H12" s="799"/>
      <c r="I12" s="799"/>
      <c r="J12" s="712" t="str">
        <f>VLOOKUP(L12,Reporte!$N$5:$BN$133,7,FALSE)</f>
        <v>Eficiencia</v>
      </c>
      <c r="K12" s="712"/>
      <c r="L12" s="713" t="s">
        <v>316</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Delegatura de Investigaciones Administrativas</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s="193" customFormat="1" ht="12.75">
      <c r="A22" s="800" t="s">
        <v>63</v>
      </c>
      <c r="B22" s="801"/>
      <c r="C22" s="188">
        <f>VLOOKUP(L12,Reporte!$N$5:$BN$133,30,FALSE)</f>
        <v>0</v>
      </c>
      <c r="D22" s="188">
        <f>VLOOKUP(L12,Reporte!$N$5:$BN$133,31,FALSE)</f>
        <v>0</v>
      </c>
      <c r="E22" s="188">
        <f>VLOOKUP(L12,Reporte!$N$5:$BN$133,32,FALSE)</f>
        <v>0</v>
      </c>
      <c r="F22" s="189">
        <f>VLOOKUP(L12,Reporte!$N$5:$BN$133,33,FALSE)</f>
        <v>0</v>
      </c>
      <c r="G22" s="188">
        <f>VLOOKUP(L12,Reporte!$N$5:$BN$133,34,FALSE)</f>
        <v>0</v>
      </c>
      <c r="H22" s="189">
        <f>VLOOKUP(L12,Reporte!$N$5:$BN$133,35,FALSE)</f>
        <v>87</v>
      </c>
      <c r="I22" s="188">
        <f>VLOOKUP(L12,Reporte!$N$5:$BN$133,36,FALSE)</f>
        <v>0</v>
      </c>
      <c r="J22" s="189">
        <f>VLOOKUP(L12,Reporte!$N$5:$BN$133,37,FALSE)</f>
        <v>0</v>
      </c>
      <c r="K22" s="189">
        <f>VLOOKUP(L12,Reporte!$N$5:$BN$133,38,FALSE)</f>
        <v>116</v>
      </c>
      <c r="L22" s="189">
        <f>VLOOKUP(L12,Reporte!$N$5:$BN$133,39,FALSE)</f>
        <v>0</v>
      </c>
      <c r="M22" s="189">
        <f>VLOOKUP(L12,Reporte!$N$5:$BN$133,40,FALSE)</f>
        <v>0</v>
      </c>
      <c r="N22" s="190">
        <f>VLOOKUP(L12,Reporte!$N$5:$BN$133,41,FALSE)</f>
        <v>0</v>
      </c>
      <c r="O22" s="190">
        <f>+MAX(C22:N22)</f>
        <v>116</v>
      </c>
      <c r="P22" s="191"/>
      <c r="Q22" s="192"/>
    </row>
    <row r="23" spans="1:17" s="193" customFormat="1" ht="13.5" thickBot="1">
      <c r="A23" s="802" t="s">
        <v>76</v>
      </c>
      <c r="B23" s="803"/>
      <c r="C23" s="194">
        <f>VLOOKUP(L12,Reporte!$N$5:$BN$133,42,FALSE)</f>
        <v>0</v>
      </c>
      <c r="D23" s="194">
        <f>VLOOKUP(L12,Reporte!$N$5:$BN$133,43,FALSE)</f>
        <v>0</v>
      </c>
      <c r="E23" s="194">
        <f>VLOOKUP(L12,Reporte!$N$5:$BN$133,44,FALSE)</f>
        <v>1</v>
      </c>
      <c r="F23" s="194">
        <f>VLOOKUP(L12,Reporte!$N$5:$BN$133,45,FALSE)</f>
        <v>0</v>
      </c>
      <c r="G23" s="194">
        <f>VLOOKUP(L12,Reporte!$N$5:$BN$133,46,FALSE)</f>
        <v>0</v>
      </c>
      <c r="H23" s="194">
        <f>VLOOKUP(L12,Reporte!$N$5:$BN$133,47,FALSE)</f>
        <v>1</v>
      </c>
      <c r="I23" s="194">
        <f>VLOOKUP(L12,Reporte!$N$5:$BN$133,48,FALSE)</f>
        <v>0</v>
      </c>
      <c r="J23" s="194">
        <f>VLOOKUP(L12,Reporte!$N$5:$BN$133,49,FALSE)</f>
        <v>0</v>
      </c>
      <c r="K23" s="194">
        <f>VLOOKUP(L12,Reporte!$N$5:$BN$133,50,FALSE)</f>
        <v>2</v>
      </c>
      <c r="L23" s="194">
        <f>VLOOKUP(L12,Reporte!$N$5:$BN$133,51,FALSE)</f>
        <v>0</v>
      </c>
      <c r="M23" s="194">
        <f>VLOOKUP(L12,Reporte!$N$5:$BN$133,52,FALSE)</f>
        <v>0</v>
      </c>
      <c r="N23" s="195">
        <f>VLOOKUP(L12,Reporte!$N$5:$BN$133,53,FALSE)</f>
        <v>0</v>
      </c>
      <c r="O23" s="190">
        <f>+MAX(C23:N23)</f>
        <v>2</v>
      </c>
      <c r="P23" s="191"/>
      <c r="Q23" s="192"/>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87</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58</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58</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​Este indicador es a demanda y a la fecha no se han expedido procesos con priorización  , es importante resaltar que el denominador aplicado es el del total de expedientes con averiguación/apertura/ improcedencia que son 37 en total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60" customHeight="1" thickBot="1">
      <c r="A51" s="670" t="str">
        <f>VLOOKUP(L12,Reporte!$N$5:$BZ$133,59,FALSE)</f>
        <v xml:space="preserve">​INDICADOR A DEMANDA
Durante el TRIMESTRE se expidieron con apertura/improcedencia /investigación preliminar 87 procesos de los cuales 8 fueron por  criterio de priorización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​INDICADOR A DEMANADA 
Durante el TRIMESTRE se expidieron con apertura/improcedencia /investigación preliminar 116 procesos de  DE LOS CUALES 2 fueron por  criterio de priorización de orden judicial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e">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e">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0" t="e">
        <f>VLOOKUP(L12,Reporte!$N$5:$BZ$133,65,FALSE)</f>
        <v>#N/A</v>
      </c>
      <c r="B63" s="671"/>
      <c r="C63" s="671"/>
      <c r="D63" s="671"/>
      <c r="E63" s="671"/>
      <c r="F63" s="671"/>
      <c r="G63" s="671"/>
      <c r="H63" s="671"/>
      <c r="I63" s="671"/>
      <c r="J63" s="671"/>
      <c r="K63" s="671"/>
      <c r="L63" s="671"/>
      <c r="M63" s="671"/>
      <c r="N63" s="671"/>
      <c r="O63" s="672"/>
      <c r="P63" s="155"/>
      <c r="Q63" s="156"/>
    </row>
    <row r="64" spans="1:17" ht="12">
      <c r="A64" s="804">
        <f>VLOOKUP(L12,Reporte!$AP$5:$CB$133,39,FALSE)</f>
        <v>0</v>
      </c>
      <c r="B64" s="805"/>
      <c r="C64" s="805"/>
      <c r="D64" s="805"/>
      <c r="E64" s="805"/>
      <c r="F64" s="805"/>
      <c r="G64" s="805"/>
      <c r="H64" s="805"/>
      <c r="I64" s="805"/>
      <c r="J64" s="805"/>
      <c r="K64" s="805"/>
      <c r="L64" s="805"/>
      <c r="M64" s="805"/>
      <c r="N64" s="805"/>
      <c r="O64" s="806"/>
      <c r="P64" s="128"/>
    </row>
    <row r="65" spans="1:16" ht="38.25" customHeight="1" thickBot="1">
      <c r="A65" s="807"/>
      <c r="B65" s="808"/>
      <c r="C65" s="808"/>
      <c r="D65" s="808"/>
      <c r="E65" s="808"/>
      <c r="F65" s="808"/>
      <c r="G65" s="808"/>
      <c r="H65" s="808"/>
      <c r="I65" s="808"/>
      <c r="J65" s="808"/>
      <c r="K65" s="808"/>
      <c r="L65" s="808"/>
      <c r="M65" s="808"/>
      <c r="N65" s="808"/>
      <c r="O65" s="809"/>
      <c r="P65" s="128"/>
    </row>
    <row r="66" spans="1:16" ht="12">
      <c r="B66" s="157"/>
    </row>
    <row r="67" spans="1:16" ht="15.75">
      <c r="A67" s="659" t="s">
        <v>1600</v>
      </c>
      <c r="B67" s="659"/>
      <c r="C67" s="659"/>
      <c r="D67" s="659"/>
      <c r="E67" s="660">
        <f>+INDICADORES!D22</f>
        <v>46037</v>
      </c>
      <c r="F67" s="6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67:D67"/>
    <mergeCell ref="E67:F67"/>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2C96-2CFE-44E1-806A-43A336CC96F1}">
  <sheetPr codeName="Hoja23"/>
  <dimension ref="A1:Q67"/>
  <sheetViews>
    <sheetView view="pageBreakPreview" topLeftCell="A51" zoomScale="80" zoomScaleNormal="73" zoomScaleSheetLayoutView="80" zoomScalePageLayoutView="55" workbookViewId="0">
      <selection activeCell="A51" sqref="A51:O51"/>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JURISDICCIONAL Y DE CONCILIACIÓN</v>
      </c>
      <c r="D5" s="787"/>
      <c r="E5" s="787"/>
      <c r="F5" s="787"/>
      <c r="G5" s="787"/>
      <c r="H5" s="787"/>
      <c r="I5" s="787"/>
      <c r="J5" s="787"/>
      <c r="K5" s="787"/>
      <c r="L5" s="787"/>
      <c r="M5" s="787"/>
      <c r="N5" s="787"/>
      <c r="O5" s="788"/>
      <c r="P5" s="130"/>
      <c r="Q5" s="131"/>
    </row>
    <row r="6" spans="1:17" ht="33.75" customHeight="1">
      <c r="A6" s="789" t="s">
        <v>8</v>
      </c>
      <c r="B6" s="790"/>
      <c r="C6" s="711" t="str">
        <f>VLOOKUP(L12,Reporte!$N$5:$BN$133,2,FALSE)</f>
        <v xml:space="preserve">Pre jornadas  de la función de conciliación con informes de resultados </v>
      </c>
      <c r="D6" s="711"/>
      <c r="E6" s="711"/>
      <c r="F6" s="711"/>
      <c r="G6" s="711"/>
      <c r="H6" s="711"/>
      <c r="I6" s="711"/>
      <c r="J6" s="711"/>
      <c r="K6" s="711"/>
      <c r="L6" s="711"/>
      <c r="M6" s="711"/>
      <c r="N6" s="711"/>
      <c r="O6" s="791"/>
      <c r="P6" s="128"/>
    </row>
    <row r="7" spans="1:17" ht="42.75" customHeight="1">
      <c r="A7" s="789" t="s">
        <v>10</v>
      </c>
      <c r="B7" s="790"/>
      <c r="C7" s="711" t="str">
        <f>VLOOKUP(L12,Reporte!A5:M133,10,FALSE)</f>
        <v>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v>
      </c>
      <c r="D7" s="711"/>
      <c r="E7" s="711"/>
      <c r="F7" s="711"/>
      <c r="G7" s="711"/>
      <c r="H7" s="711"/>
      <c r="I7" s="711"/>
      <c r="J7" s="711"/>
      <c r="K7" s="711"/>
      <c r="L7" s="711"/>
      <c r="M7" s="711"/>
      <c r="N7" s="711"/>
      <c r="O7" s="791"/>
      <c r="P7" s="128"/>
    </row>
    <row r="8" spans="1:17" ht="33.75" customHeight="1">
      <c r="A8" s="792" t="s">
        <v>1594</v>
      </c>
      <c r="B8" s="774"/>
      <c r="C8" s="711" t="str">
        <f>VLOOKUP(L12,Reporte!$A$5:$N$133,13,FALSE)</f>
        <v>Realizar las Pre jornadas  de la función de conciliación  con el fin de dirimir los conflictos entre los actores del SGSS  con informes de resultados.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Pre jornadas  de la función de conciliación con informes de resultados </v>
      </c>
      <c r="D10" s="711"/>
      <c r="E10" s="711"/>
      <c r="F10" s="799" t="str">
        <f>VLOOKUP(L12,Reporte!$N$5:$BN$133,6,FALSE)</f>
        <v>Este indicador mide el Número de Pre jornadas  de la función de conciliación con informes de resultados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534</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10">
        <f>VLOOKUP(L12,Reporte!$N$5:$BN$133,11,FALSE)</f>
        <v>14</v>
      </c>
      <c r="D15" s="811"/>
      <c r="E15" s="812"/>
      <c r="F15" s="740" t="str">
        <f>VLOOKUP(L12,Reporte!$N$5:$BN$133,9,FALSE)</f>
        <v>Semestral</v>
      </c>
      <c r="G15" s="741"/>
      <c r="H15" s="707" t="s">
        <v>37</v>
      </c>
      <c r="I15" s="707"/>
      <c r="J15" s="746" t="s">
        <v>1595</v>
      </c>
      <c r="K15" s="747"/>
      <c r="L15" s="748"/>
      <c r="M15" s="775" t="str">
        <f>VLOOKUP(L12,Reporte!$N$5:$BN$133,28,FALSE)</f>
        <v>Delegatura Función Jurisdiccional y de Conciliación</v>
      </c>
      <c r="N15" s="776"/>
      <c r="O15" s="777"/>
      <c r="P15" s="128"/>
    </row>
    <row r="16" spans="1:17" ht="15.75">
      <c r="A16" s="730"/>
      <c r="B16" s="731"/>
      <c r="C16" s="813"/>
      <c r="D16" s="814"/>
      <c r="E16" s="815"/>
      <c r="F16" s="742"/>
      <c r="G16" s="743"/>
      <c r="H16" s="707" t="s">
        <v>40</v>
      </c>
      <c r="I16" s="707"/>
      <c r="J16" s="746" t="s">
        <v>1596</v>
      </c>
      <c r="K16" s="747"/>
      <c r="L16" s="748"/>
      <c r="M16" s="778"/>
      <c r="N16" s="779"/>
      <c r="O16" s="780"/>
      <c r="P16" s="128"/>
    </row>
    <row r="17" spans="1:17" ht="16.5" thickBot="1">
      <c r="A17" s="732"/>
      <c r="B17" s="733"/>
      <c r="C17" s="816"/>
      <c r="D17" s="817"/>
      <c r="E17" s="818"/>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7</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7</v>
      </c>
      <c r="O22" s="133">
        <f>SUM(C22:N22)</f>
        <v>14</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7</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7</v>
      </c>
      <c r="O23" s="133">
        <f>SUM(C23:N23)</f>
        <v>14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14</v>
      </c>
      <c r="D26" s="161">
        <f>+C26*0.98</f>
        <v>13.719999999999999</v>
      </c>
      <c r="E26" s="147"/>
      <c r="F26" s="147"/>
      <c r="G26" s="685"/>
      <c r="H26" s="685"/>
      <c r="I26" s="699"/>
      <c r="J26" s="699"/>
      <c r="K26" s="699"/>
      <c r="L26" s="685"/>
      <c r="M26" s="685"/>
      <c r="N26" s="685"/>
      <c r="O26" s="701"/>
      <c r="P26" s="148"/>
      <c r="Q26" s="149"/>
    </row>
    <row r="27" spans="1:17" s="127" customFormat="1" ht="15">
      <c r="A27" s="145" t="s">
        <v>95</v>
      </c>
      <c r="B27" s="161">
        <f>+D22</f>
        <v>0</v>
      </c>
      <c r="C27" s="161">
        <f>+C26</f>
        <v>14</v>
      </c>
      <c r="D27" s="161">
        <f>+D26</f>
        <v>13.719999999999999</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14</v>
      </c>
      <c r="D28" s="161">
        <f t="shared" si="0"/>
        <v>13.719999999999999</v>
      </c>
      <c r="E28" s="147"/>
      <c r="F28" s="147"/>
      <c r="G28" s="685"/>
      <c r="H28" s="685"/>
      <c r="I28" s="685"/>
      <c r="J28" s="685"/>
      <c r="K28" s="147"/>
      <c r="L28" s="685"/>
      <c r="M28" s="685"/>
      <c r="N28" s="685"/>
      <c r="O28" s="701"/>
      <c r="P28" s="148"/>
      <c r="Q28" s="149"/>
    </row>
    <row r="29" spans="1:17" s="127" customFormat="1" ht="15">
      <c r="A29" s="145" t="s">
        <v>97</v>
      </c>
      <c r="B29" s="161">
        <f>+F22</f>
        <v>0</v>
      </c>
      <c r="C29" s="161">
        <f t="shared" si="0"/>
        <v>14</v>
      </c>
      <c r="D29" s="161">
        <f t="shared" si="0"/>
        <v>13.719999999999999</v>
      </c>
      <c r="E29" s="147"/>
      <c r="F29" s="147"/>
      <c r="G29" s="685"/>
      <c r="H29" s="685"/>
      <c r="I29" s="685"/>
      <c r="J29" s="685"/>
      <c r="K29" s="147"/>
      <c r="L29" s="685"/>
      <c r="M29" s="685"/>
      <c r="N29" s="685"/>
      <c r="O29" s="701"/>
      <c r="P29" s="148"/>
      <c r="Q29" s="149"/>
    </row>
    <row r="30" spans="1:17" s="127" customFormat="1" ht="15">
      <c r="A30" s="145" t="s">
        <v>98</v>
      </c>
      <c r="B30" s="161">
        <f>+G22</f>
        <v>0</v>
      </c>
      <c r="C30" s="161">
        <f t="shared" si="0"/>
        <v>14</v>
      </c>
      <c r="D30" s="161">
        <f t="shared" si="0"/>
        <v>13.719999999999999</v>
      </c>
      <c r="E30" s="147"/>
      <c r="F30" s="147"/>
      <c r="G30" s="685"/>
      <c r="H30" s="685"/>
      <c r="I30" s="685"/>
      <c r="J30" s="685"/>
      <c r="K30" s="147"/>
      <c r="L30" s="685"/>
      <c r="M30" s="685"/>
      <c r="N30" s="685"/>
      <c r="O30" s="701"/>
      <c r="P30" s="148"/>
      <c r="Q30" s="149"/>
    </row>
    <row r="31" spans="1:17" s="127" customFormat="1" ht="15">
      <c r="A31" s="145" t="s">
        <v>99</v>
      </c>
      <c r="B31" s="161">
        <f>+H22</f>
        <v>7</v>
      </c>
      <c r="C31" s="161">
        <f t="shared" si="0"/>
        <v>14</v>
      </c>
      <c r="D31" s="161">
        <f t="shared" si="0"/>
        <v>13.719999999999999</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14</v>
      </c>
      <c r="D32" s="161">
        <f t="shared" si="0"/>
        <v>13.719999999999999</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14</v>
      </c>
      <c r="D33" s="161">
        <f t="shared" si="0"/>
        <v>13.719999999999999</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14</v>
      </c>
      <c r="D34" s="161">
        <f t="shared" si="0"/>
        <v>13.719999999999999</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14</v>
      </c>
      <c r="D35" s="161">
        <f t="shared" si="0"/>
        <v>13.719999999999999</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14</v>
      </c>
      <c r="D36" s="161">
        <f t="shared" si="0"/>
        <v>13.719999999999999</v>
      </c>
      <c r="E36" s="147"/>
      <c r="F36" s="147"/>
      <c r="G36" s="685"/>
      <c r="H36" s="685"/>
      <c r="I36" s="685"/>
      <c r="J36" s="685"/>
      <c r="K36" s="147"/>
      <c r="L36" s="685"/>
      <c r="M36" s="685"/>
      <c r="N36" s="685"/>
      <c r="O36" s="701"/>
      <c r="P36" s="148"/>
      <c r="Q36" s="149"/>
    </row>
    <row r="37" spans="1:17" s="127" customFormat="1" ht="15.75" thickBot="1">
      <c r="A37" s="150" t="s">
        <v>105</v>
      </c>
      <c r="B37" s="162">
        <f>+N22</f>
        <v>7</v>
      </c>
      <c r="C37" s="161">
        <f t="shared" si="0"/>
        <v>14</v>
      </c>
      <c r="D37" s="161">
        <f t="shared" si="0"/>
        <v>13.719999999999999</v>
      </c>
      <c r="E37" s="147"/>
      <c r="F37" s="147"/>
      <c r="G37" s="147"/>
      <c r="H37" s="147"/>
      <c r="I37" s="147"/>
      <c r="J37" s="147"/>
      <c r="K37" s="147"/>
      <c r="L37" s="685"/>
      <c r="M37" s="685"/>
      <c r="N37" s="685"/>
      <c r="O37" s="701"/>
      <c r="P37" s="148"/>
      <c r="Q37" s="149"/>
    </row>
    <row r="38" spans="1:17" s="127" customFormat="1" ht="15.75" thickBot="1">
      <c r="A38" s="152" t="s">
        <v>106</v>
      </c>
      <c r="B38" s="164">
        <f>+O22</f>
        <v>14</v>
      </c>
      <c r="C38" s="164">
        <f>+C37</f>
        <v>14</v>
      </c>
      <c r="D38" s="164">
        <f>+D37</f>
        <v>13.719999999999999</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06.5" customHeight="1" thickBot="1">
      <c r="A51" s="673" t="str">
        <f>VLOOKUP(L12,Reporte!$N$5:$BZ$133,59,FALSE)</f>
        <v>​se realizaron con exito las siguientes prejornadas :
1. pre-jornada bolívar – córdoba y sucre
2. pre-jornada guajira y cesar
3. pre-jornada atlántico – magdalena y san andrés 
4. pre-jornada meta – amazonas – guaviare – vaupés – vichada y guainía. 
5. pre-jornada cauca 
 6. pre-jornada boyacá 
 7. pre-jornada antioquia y chocó.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Se realizaron 5 prejornadas en el ultimo trimestre , las otras 2 corresponden al tercer trimestre. Se da cumplimiento a la meta establecida para el semestre, esto se logro a travez del ejercicio de la facultad oficiosa consagrada en el artículo 38 de la Ley 1122 de 2007, la Delegada  para la Función Jurisdiccional y de Conciliación cita  de oficio a a los actores involucrados del SGSS de estas regiones que atendieron la invitacion y se inicia el proceso para llevar posterioremente los acuerdos conciliatorios en las jornadas . se anexan las evidencias de las prejornadas .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Según el análisis cualitativo se realizaron 14 pre-jornadas, con cumplimiento la meta de establecida para 2025.
En cuanto al reporte de datos estos presentan inconsistencia, es importante precisar que debe tenerse en cuenta las variables de la formula para ingresar adecuadamente los datos.</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DDC7E-E168-43DE-A5F1-1CC9C09C91DF}">
  <sheetPr codeName="Hoja24"/>
  <dimension ref="A1:Q67"/>
  <sheetViews>
    <sheetView view="pageBreakPreview" topLeftCell="A18" zoomScale="80" zoomScaleNormal="73" zoomScaleSheetLayoutView="80" zoomScalePageLayoutView="55" workbookViewId="0">
      <selection activeCell="Q41" sqref="Q41"/>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JURISDICCIONAL Y DE CONCILIACIÓN</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 xml:space="preserve">Jornadas  de la función de conciliación con informes de resultados </v>
      </c>
      <c r="D6" s="711"/>
      <c r="E6" s="711"/>
      <c r="F6" s="711"/>
      <c r="G6" s="711"/>
      <c r="H6" s="711"/>
      <c r="I6" s="711"/>
      <c r="J6" s="711"/>
      <c r="K6" s="711"/>
      <c r="L6" s="711"/>
      <c r="M6" s="711"/>
      <c r="N6" s="711"/>
      <c r="O6" s="791"/>
      <c r="P6" s="128"/>
    </row>
    <row r="7" spans="1:17" ht="45.75" customHeight="1">
      <c r="A7" s="789" t="s">
        <v>10</v>
      </c>
      <c r="B7" s="790"/>
      <c r="C7" s="711" t="str">
        <f>VLOOKUP(L12,Reporte!A5:M133,10,FALSE)</f>
        <v>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v>
      </c>
      <c r="D7" s="711"/>
      <c r="E7" s="711"/>
      <c r="F7" s="711"/>
      <c r="G7" s="711"/>
      <c r="H7" s="711"/>
      <c r="I7" s="711"/>
      <c r="J7" s="711"/>
      <c r="K7" s="711"/>
      <c r="L7" s="711"/>
      <c r="M7" s="711"/>
      <c r="N7" s="711"/>
      <c r="O7" s="791"/>
      <c r="P7" s="128"/>
    </row>
    <row r="8" spans="1:17" ht="15.75">
      <c r="A8" s="792" t="s">
        <v>1594</v>
      </c>
      <c r="B8" s="774"/>
      <c r="C8" s="711" t="str">
        <f>VLOOKUP(L12,Reporte!$A$5:$N$133,13,FALSE)</f>
        <v>Realizar las  jornadas  de la función de conciliación  con el fin de dirimir los conflictos entre los actores del SGSS con informes de resultados.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Numero de jornadas  de la función de conciliación con informes de resultados </v>
      </c>
      <c r="D10" s="711"/>
      <c r="E10" s="711"/>
      <c r="F10" s="799" t="str">
        <f>VLOOKUP(L12,Reporte!$N$5:$BN$133,6,FALSE)</f>
        <v>Este indicador mide el Número de jornadas  de conciliación con informes de resultados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536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10">
        <f>VLOOKUP(L12,Reporte!$N$5:$BN$133,11,FALSE)</f>
        <v>14</v>
      </c>
      <c r="D15" s="811"/>
      <c r="E15" s="812"/>
      <c r="F15" s="740" t="str">
        <f>VLOOKUP(L12,Reporte!$N$5:$BN$133,9,FALSE)</f>
        <v>Semestral</v>
      </c>
      <c r="G15" s="741"/>
      <c r="H15" s="707" t="s">
        <v>37</v>
      </c>
      <c r="I15" s="707"/>
      <c r="J15" s="746" t="s">
        <v>1595</v>
      </c>
      <c r="K15" s="747"/>
      <c r="L15" s="748"/>
      <c r="M15" s="775" t="str">
        <f>VLOOKUP(L12,Reporte!$N$5:$BN$133,28,FALSE)</f>
        <v>Delegatura Función Jurisdiccional y de Conciliación</v>
      </c>
      <c r="N15" s="776"/>
      <c r="O15" s="777"/>
      <c r="P15" s="128"/>
    </row>
    <row r="16" spans="1:17" ht="15.75">
      <c r="A16" s="730"/>
      <c r="B16" s="731"/>
      <c r="C16" s="813"/>
      <c r="D16" s="814"/>
      <c r="E16" s="815"/>
      <c r="F16" s="742"/>
      <c r="G16" s="743"/>
      <c r="H16" s="707" t="s">
        <v>40</v>
      </c>
      <c r="I16" s="707"/>
      <c r="J16" s="746" t="s">
        <v>1596</v>
      </c>
      <c r="K16" s="747"/>
      <c r="L16" s="748"/>
      <c r="M16" s="778"/>
      <c r="N16" s="779"/>
      <c r="O16" s="780"/>
      <c r="P16" s="128"/>
    </row>
    <row r="17" spans="1:17" ht="16.5" thickBot="1">
      <c r="A17" s="732"/>
      <c r="B17" s="733"/>
      <c r="C17" s="816"/>
      <c r="D17" s="817"/>
      <c r="E17" s="818"/>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7</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7</v>
      </c>
      <c r="O22" s="133">
        <f>SUM(C22:N22)</f>
        <v>14</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7</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7</v>
      </c>
      <c r="O23" s="133">
        <f>SUM(C23:N23)</f>
        <v>14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14</v>
      </c>
      <c r="D26" s="161">
        <f>+C26*0.98</f>
        <v>13.719999999999999</v>
      </c>
      <c r="E26" s="147"/>
      <c r="F26" s="147"/>
      <c r="G26" s="685"/>
      <c r="H26" s="685"/>
      <c r="I26" s="699"/>
      <c r="J26" s="699"/>
      <c r="K26" s="699"/>
      <c r="L26" s="685"/>
      <c r="M26" s="685"/>
      <c r="N26" s="685"/>
      <c r="O26" s="701"/>
      <c r="P26" s="148"/>
      <c r="Q26" s="149"/>
    </row>
    <row r="27" spans="1:17" s="127" customFormat="1" ht="15">
      <c r="A27" s="145" t="s">
        <v>95</v>
      </c>
      <c r="B27" s="161">
        <f>+D22</f>
        <v>0</v>
      </c>
      <c r="C27" s="161">
        <f>+C26</f>
        <v>14</v>
      </c>
      <c r="D27" s="161">
        <f>+D26</f>
        <v>13.719999999999999</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14</v>
      </c>
      <c r="D28" s="161">
        <f t="shared" si="0"/>
        <v>13.719999999999999</v>
      </c>
      <c r="E28" s="147"/>
      <c r="F28" s="147"/>
      <c r="G28" s="685"/>
      <c r="H28" s="685"/>
      <c r="I28" s="685"/>
      <c r="J28" s="685"/>
      <c r="K28" s="147"/>
      <c r="L28" s="685"/>
      <c r="M28" s="685"/>
      <c r="N28" s="685"/>
      <c r="O28" s="701"/>
      <c r="P28" s="148"/>
      <c r="Q28" s="149"/>
    </row>
    <row r="29" spans="1:17" s="127" customFormat="1" ht="15">
      <c r="A29" s="145" t="s">
        <v>97</v>
      </c>
      <c r="B29" s="161">
        <f>+F22</f>
        <v>0</v>
      </c>
      <c r="C29" s="161">
        <f t="shared" si="0"/>
        <v>14</v>
      </c>
      <c r="D29" s="161">
        <f t="shared" si="0"/>
        <v>13.719999999999999</v>
      </c>
      <c r="E29" s="147"/>
      <c r="F29" s="147"/>
      <c r="G29" s="685"/>
      <c r="H29" s="685"/>
      <c r="I29" s="685"/>
      <c r="J29" s="685"/>
      <c r="K29" s="147"/>
      <c r="L29" s="685"/>
      <c r="M29" s="685"/>
      <c r="N29" s="685"/>
      <c r="O29" s="701"/>
      <c r="P29" s="148"/>
      <c r="Q29" s="149"/>
    </row>
    <row r="30" spans="1:17" s="127" customFormat="1" ht="15">
      <c r="A30" s="145" t="s">
        <v>98</v>
      </c>
      <c r="B30" s="161">
        <f>+G22</f>
        <v>0</v>
      </c>
      <c r="C30" s="161">
        <f t="shared" si="0"/>
        <v>14</v>
      </c>
      <c r="D30" s="161">
        <f t="shared" si="0"/>
        <v>13.719999999999999</v>
      </c>
      <c r="E30" s="147"/>
      <c r="F30" s="147"/>
      <c r="G30" s="685"/>
      <c r="H30" s="685"/>
      <c r="I30" s="685"/>
      <c r="J30" s="685"/>
      <c r="K30" s="147"/>
      <c r="L30" s="685"/>
      <c r="M30" s="685"/>
      <c r="N30" s="685"/>
      <c r="O30" s="701"/>
      <c r="P30" s="148"/>
      <c r="Q30" s="149"/>
    </row>
    <row r="31" spans="1:17" s="127" customFormat="1" ht="15">
      <c r="A31" s="145" t="s">
        <v>99</v>
      </c>
      <c r="B31" s="161">
        <f>+H22</f>
        <v>7</v>
      </c>
      <c r="C31" s="161">
        <f t="shared" si="0"/>
        <v>14</v>
      </c>
      <c r="D31" s="161">
        <f t="shared" si="0"/>
        <v>13.719999999999999</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14</v>
      </c>
      <c r="D32" s="161">
        <f t="shared" si="0"/>
        <v>13.719999999999999</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14</v>
      </c>
      <c r="D33" s="161">
        <f t="shared" si="0"/>
        <v>13.719999999999999</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14</v>
      </c>
      <c r="D34" s="161">
        <f t="shared" si="0"/>
        <v>13.719999999999999</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14</v>
      </c>
      <c r="D35" s="161">
        <f t="shared" si="0"/>
        <v>13.719999999999999</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14</v>
      </c>
      <c r="D36" s="161">
        <f t="shared" si="0"/>
        <v>13.719999999999999</v>
      </c>
      <c r="E36" s="147"/>
      <c r="F36" s="147"/>
      <c r="G36" s="685"/>
      <c r="H36" s="685"/>
      <c r="I36" s="685"/>
      <c r="J36" s="685"/>
      <c r="K36" s="147"/>
      <c r="L36" s="685"/>
      <c r="M36" s="685"/>
      <c r="N36" s="685"/>
      <c r="O36" s="701"/>
      <c r="P36" s="148"/>
      <c r="Q36" s="149"/>
    </row>
    <row r="37" spans="1:17" s="127" customFormat="1" ht="15.75" thickBot="1">
      <c r="A37" s="150" t="s">
        <v>105</v>
      </c>
      <c r="B37" s="162">
        <f>+N22</f>
        <v>7</v>
      </c>
      <c r="C37" s="161">
        <f t="shared" si="0"/>
        <v>14</v>
      </c>
      <c r="D37" s="161">
        <f t="shared" si="0"/>
        <v>13.719999999999999</v>
      </c>
      <c r="E37" s="147"/>
      <c r="F37" s="147"/>
      <c r="G37" s="147"/>
      <c r="H37" s="147"/>
      <c r="I37" s="147"/>
      <c r="J37" s="147"/>
      <c r="K37" s="147"/>
      <c r="L37" s="685"/>
      <c r="M37" s="685"/>
      <c r="N37" s="685"/>
      <c r="O37" s="701"/>
      <c r="P37" s="148"/>
      <c r="Q37" s="149"/>
    </row>
    <row r="38" spans="1:17" s="127" customFormat="1" ht="15.75" thickBot="1">
      <c r="A38" s="152" t="s">
        <v>106</v>
      </c>
      <c r="B38" s="164">
        <f>+O22</f>
        <v>14</v>
      </c>
      <c r="C38" s="164">
        <f>+C37</f>
        <v>14</v>
      </c>
      <c r="D38" s="164">
        <f>+D37</f>
        <v>13.719999999999999</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26" customHeight="1" thickBot="1">
      <c r="A51" s="673" t="str">
        <f>VLOOKUP(L12,Reporte!$N$5:$BZ$133,59,FALSE)</f>
        <v>se programan 7 jornadas formalmente con los actores del sgsss en el primer semestre; se realizan por tiempos de agenda segun las semanas que tienen dias festivos dentro de los meses de enero a junio y  la ultima jornada por lo anterior se materializa la primera semana del mes de julio; esta jornada se realiza en antioquia (medellin ) 
1.​jornada bolívar – córdoba y sucre 
2. jornada guajira y cesar 
3. jornada atlántico – magdalena y san andrés
4. jornada meta – amazonas – guaviare – vaupés – vichada  y guainía. 
5. jornada cauca 
 6. jornada boyacá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81.75" customHeight="1" thickBot="1">
      <c r="A63" s="673" t="str">
        <f>VLOOKUP(L12,Reporte!$N$5:$BZ$133,65,FALSE)</f>
        <v xml:space="preserve">​La Delegada para la Función Jurisdiccional y de Conciliación, en cumplimiento de sus funciones  procedió a convocar de manera virtual, por llamada, por correos para citar a las 7 jornadas de conciliación extrajudicial en derecho, las cuales se realizaron  en la modalidad presencial y/o virtual con la red de prestadoras de servicios de salud , se dio cumplimento a cabalidad con los requisitos exigidos para la  celebración de audiencias de conciliación extrajudicial en derecho y trámites conciliatorios,  evidenciado que el proceso fue útil para la continuidad de la gestión de conciliación, la recuperación  del flujo los recursos independientemente de su monto, permitió establecer acercamientos entre las  partes, quienes se comprometieron a aclarar y depurar las cuentas, realizar trámites de auditoría y de  liquidación de contratos, verificar el estado de glosas y devoluciones; entre otras, de manera virtual, a  través de correos electrónicos, llamadas telefónicas y/o reuniones vía Skype, con el fin de determinar  la deuda real y establecer posibles acuerdos de pago, logrando uno de losl objetivos primordiales de la DJFC.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Según el análisis cualitativo se realizaron 14 jornadas, con cumplimiento la meta de establecida para 2025.
En cuanto al reporte de indicadores es importante precisar que debe tenerse en cuenta las variables de la formula para ingresar adecuadamente los datos.</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327A0-CAF2-4725-9AEE-29094C1A093D}">
  <sheetPr codeName="Hoja25"/>
  <dimension ref="A1:Q67"/>
  <sheetViews>
    <sheetView view="pageBreakPreview" topLeftCell="A13" zoomScale="80" zoomScaleNormal="73" zoomScaleSheetLayoutView="80" zoomScalePageLayoutView="55" workbookViewId="0">
      <selection activeCell="A51" sqref="A51:XFD51"/>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JURISDICCIONAL Y DE CONCILIACIÓN</v>
      </c>
      <c r="D5" s="787"/>
      <c r="E5" s="787"/>
      <c r="F5" s="787"/>
      <c r="G5" s="787"/>
      <c r="H5" s="787"/>
      <c r="I5" s="787"/>
      <c r="J5" s="787"/>
      <c r="K5" s="787"/>
      <c r="L5" s="787"/>
      <c r="M5" s="787"/>
      <c r="N5" s="787"/>
      <c r="O5" s="788"/>
      <c r="P5" s="130"/>
      <c r="Q5" s="131"/>
    </row>
    <row r="6" spans="1:17" ht="31.5" customHeight="1">
      <c r="A6" s="789" t="s">
        <v>8</v>
      </c>
      <c r="B6" s="790"/>
      <c r="C6" s="711" t="str">
        <f>VLOOKUP(L12,Reporte!$N$5:$BN$133,2,FALSE)</f>
        <v xml:space="preserve">Porcentaje de Audiencias de Conciliación de la función de conciliación </v>
      </c>
      <c r="D6" s="711"/>
      <c r="E6" s="711"/>
      <c r="F6" s="711"/>
      <c r="G6" s="711"/>
      <c r="H6" s="711"/>
      <c r="I6" s="711"/>
      <c r="J6" s="711"/>
      <c r="K6" s="711"/>
      <c r="L6" s="711"/>
      <c r="M6" s="711"/>
      <c r="N6" s="711"/>
      <c r="O6" s="791"/>
      <c r="P6" s="128"/>
    </row>
    <row r="7" spans="1:17" ht="47.25" customHeight="1">
      <c r="A7" s="789" t="s">
        <v>10</v>
      </c>
      <c r="B7" s="790"/>
      <c r="C7" s="711" t="str">
        <f>VLOOKUP(L12,Reporte!A5:M133,10,FALSE)</f>
        <v>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v>
      </c>
      <c r="D7" s="711"/>
      <c r="E7" s="711"/>
      <c r="F7" s="711"/>
      <c r="G7" s="711"/>
      <c r="H7" s="711"/>
      <c r="I7" s="711"/>
      <c r="J7" s="711"/>
      <c r="K7" s="711"/>
      <c r="L7" s="711"/>
      <c r="M7" s="711"/>
      <c r="N7" s="711"/>
      <c r="O7" s="791"/>
      <c r="P7" s="128"/>
    </row>
    <row r="8" spans="1:17" ht="15.75">
      <c r="A8" s="792" t="s">
        <v>1594</v>
      </c>
      <c r="B8" s="774"/>
      <c r="C8" s="711" t="str">
        <f>VLOOKUP(L12,Reporte!$A$5:$N$133,13,FALSE)</f>
        <v xml:space="preserve">Realizar las audiencias de conciliación admitidas de  la red pública y privada  como  actores del SGSS  propendiendo por  el animo conciliatorio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audiencias de conciliación realizadas en el período </v>
      </c>
      <c r="D10" s="711"/>
      <c r="E10" s="711"/>
      <c r="F10" s="799" t="str">
        <f>VLOOKUP(L12,Reporte!$N$5:$BN$133,6,FALSE)</f>
        <v>Este indicador mide el Número de Pre jornadas  de la función de conciliación con informes de resultados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Total de solicitudes de conciliación a petición de parte admitidas</v>
      </c>
      <c r="D12" s="711"/>
      <c r="E12" s="711"/>
      <c r="F12" s="799"/>
      <c r="G12" s="799"/>
      <c r="H12" s="799"/>
      <c r="I12" s="799"/>
      <c r="J12" s="712" t="str">
        <f>VLOOKUP(L12,Reporte!$N$5:$BN$133,7,FALSE)</f>
        <v>Eficiencia</v>
      </c>
      <c r="K12" s="712"/>
      <c r="L12" s="713" t="s">
        <v>174</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Delegatura Función Jurisdiccional y de Conciliación</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2195</v>
      </c>
      <c r="F22" s="139">
        <f>VLOOKUP(L12,Reporte!$N$5:$BN$133,33,FALSE)</f>
        <v>0</v>
      </c>
      <c r="G22" s="132">
        <f>VLOOKUP(L12,Reporte!$N$5:$BN$133,34,FALSE)</f>
        <v>0</v>
      </c>
      <c r="H22" s="139">
        <f>VLOOKUP(L12,Reporte!$N$5:$BN$133,35,FALSE)</f>
        <v>2125</v>
      </c>
      <c r="I22" s="132">
        <f>VLOOKUP(L12,Reporte!$N$5:$BN$133,36,FALSE)</f>
        <v>0</v>
      </c>
      <c r="J22" s="139">
        <f>VLOOKUP(L12,Reporte!$N$5:$BN$133,37,FALSE)</f>
        <v>0</v>
      </c>
      <c r="K22" s="139">
        <f>VLOOKUP(L12,Reporte!$N$5:$BN$133,38,FALSE)</f>
        <v>166</v>
      </c>
      <c r="L22" s="139">
        <f>VLOOKUP(L12,Reporte!$N$5:$BN$133,39,FALSE)</f>
        <v>0</v>
      </c>
      <c r="M22" s="139">
        <f>VLOOKUP(L12,Reporte!$N$5:$BN$133,40,FALSE)</f>
        <v>0</v>
      </c>
      <c r="N22" s="133">
        <f>VLOOKUP(L12,Reporte!$N$5:$BN$133,41,FALSE)</f>
        <v>2737</v>
      </c>
      <c r="O22" s="133">
        <f>SUM(C22:N22)</f>
        <v>7223</v>
      </c>
      <c r="P22" s="128"/>
    </row>
    <row r="23" spans="1:17" ht="16.5" thickBot="1">
      <c r="A23" s="690" t="s">
        <v>76</v>
      </c>
      <c r="B23" s="691"/>
      <c r="C23" s="140">
        <f>VLOOKUP(L12,Reporte!$N$5:$BN$133,42,FALSE)</f>
        <v>0</v>
      </c>
      <c r="D23" s="140">
        <f>VLOOKUP(L12,Reporte!$N$5:$BN$133,43,FALSE)</f>
        <v>0</v>
      </c>
      <c r="E23" s="140">
        <f>VLOOKUP(L12,Reporte!$N$5:$BN$133,44,FALSE)</f>
        <v>2195</v>
      </c>
      <c r="F23" s="140">
        <f>VLOOKUP(L12,Reporte!$N$5:$BN$133,45,FALSE)</f>
        <v>0</v>
      </c>
      <c r="G23" s="140">
        <f>VLOOKUP(L12,Reporte!$N$5:$BN$133,46,FALSE)</f>
        <v>0</v>
      </c>
      <c r="H23" s="140">
        <f>VLOOKUP(L12,Reporte!$N$5:$BN$133,47,FALSE)</f>
        <v>2125</v>
      </c>
      <c r="I23" s="140">
        <f>VLOOKUP(L12,Reporte!$N$5:$BN$133,48,FALSE)</f>
        <v>0</v>
      </c>
      <c r="J23" s="140">
        <f>VLOOKUP(L12,Reporte!$N$5:$BN$133,49,FALSE)</f>
        <v>0</v>
      </c>
      <c r="K23" s="140">
        <f>VLOOKUP(L12,Reporte!$N$5:$BN$133,50,FALSE)</f>
        <v>166</v>
      </c>
      <c r="L23" s="140">
        <f>VLOOKUP(L12,Reporte!$N$5:$BN$133,51,FALSE)</f>
        <v>0</v>
      </c>
      <c r="M23" s="140">
        <f>VLOOKUP(L12,Reporte!$N$5:$BN$133,52,FALSE)</f>
        <v>0</v>
      </c>
      <c r="N23" s="141">
        <f>VLOOKUP(L12,Reporte!$N$5:$BN$133,53,FALSE)</f>
        <v>2737</v>
      </c>
      <c r="O23" s="133">
        <f>SUM(C23:N23)</f>
        <v>7223</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432">
        <f>IF(ISERROR($O$22/$O$23),0,$O$22/$O$23)</f>
        <v>1</v>
      </c>
      <c r="C38" s="432">
        <f>+C37</f>
        <v>1</v>
      </c>
      <c r="D38" s="432">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19.5" customHeight="1" thickBot="1">
      <c r="A45" s="682" t="str">
        <f>VLOOKUP(L12,Reporte!$N$5:$BZ$133,56,FALSE)</f>
        <v xml:space="preserve">​Se cumplieron con las Audiencias de acuerdo a las solicitudes de peticion admitidas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35.25" customHeight="1" thickBot="1">
      <c r="A51" s="670" t="str">
        <f>VLOOKUP(L12,Reporte!$N$5:$BZ$133,59,FALSE)</f>
        <v xml:space="preserve">el numero de audiencias realizadas en el periodo  fue de 2125 y el total de solicitudes de conciliación a petición de parte  admitidas fueron de 2125  en el segundo trimestre del 2025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​En el tercer trimestre del 2025, la Dirección de conciliación programó y surtió un total de audiencias de conciliación extrajudiciales en Derecho 2.464, de las cuales 670 se atendieron en Sede Bogotá de manera virtual, como resultado del reparto ordinario, aplazamientos, reprogramaciones y/o suspensiones y 1.794 en el desarrollo de 4 jornadas de conciliación adelantadas en territorio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​En el cuarto trimestre del 2025, la Dirección de conciliación programó y surtió un total de audiencias de conciliación extrajudiciales en Derecho 2.737, de las cuales 879 se atendieron en Sede Bogotá de manera virtual, como resultado del reparto ordinario, aplazamientos, reprogramaciones y/o suspensiones y 1.858 en el desarrollo de 5 jornadas de conciliación adelantadas en territorio.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7223 de audiencias de conciliación, logrando el cumplimiento de la meta establecida para la vigencia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EBE93-AB77-4E4A-BCB5-BE917C76321C}">
  <sheetPr codeName="Hoja26"/>
  <dimension ref="A1:Q67"/>
  <sheetViews>
    <sheetView view="pageBreakPreview" topLeftCell="A47" zoomScale="80" zoomScaleNormal="73" zoomScaleSheetLayoutView="80" zoomScalePageLayoutView="55" workbookViewId="0">
      <selection activeCell="Q36" sqref="Q36"/>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JURISDICCIONAL Y DE CONCILIACIÓN</v>
      </c>
      <c r="D5" s="787"/>
      <c r="E5" s="787"/>
      <c r="F5" s="787"/>
      <c r="G5" s="787"/>
      <c r="H5" s="787"/>
      <c r="I5" s="787"/>
      <c r="J5" s="787"/>
      <c r="K5" s="787"/>
      <c r="L5" s="787"/>
      <c r="M5" s="787"/>
      <c r="N5" s="787"/>
      <c r="O5" s="788"/>
      <c r="P5" s="130"/>
      <c r="Q5" s="131"/>
    </row>
    <row r="6" spans="1:17" ht="29.25" customHeight="1">
      <c r="A6" s="789" t="s">
        <v>8</v>
      </c>
      <c r="B6" s="790"/>
      <c r="C6" s="711" t="str">
        <f>VLOOKUP(L12,Reporte!$N$5:$BN$133,2,FALSE)</f>
        <v xml:space="preserve">Porcentaje de acuerdos de conciliación con seguimiento que sean exigibles </v>
      </c>
      <c r="D6" s="711"/>
      <c r="E6" s="711"/>
      <c r="F6" s="711"/>
      <c r="G6" s="711"/>
      <c r="H6" s="711"/>
      <c r="I6" s="711"/>
      <c r="J6" s="711"/>
      <c r="K6" s="711"/>
      <c r="L6" s="711"/>
      <c r="M6" s="711"/>
      <c r="N6" s="711"/>
      <c r="O6" s="791"/>
      <c r="P6" s="128"/>
    </row>
    <row r="7" spans="1:17" ht="58.5" customHeight="1">
      <c r="A7" s="789" t="s">
        <v>10</v>
      </c>
      <c r="B7" s="790"/>
      <c r="C7" s="711" t="str">
        <f>VLOOKUP(L12,Reporte!A5:M133,10,FALSE)</f>
        <v>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v>
      </c>
      <c r="D7" s="711"/>
      <c r="E7" s="711"/>
      <c r="F7" s="711"/>
      <c r="G7" s="711"/>
      <c r="H7" s="711"/>
      <c r="I7" s="711"/>
      <c r="J7" s="711"/>
      <c r="K7" s="711"/>
      <c r="L7" s="711"/>
      <c r="M7" s="711"/>
      <c r="N7" s="711"/>
      <c r="O7" s="791"/>
      <c r="P7" s="128"/>
    </row>
    <row r="8" spans="1:17" ht="29.25" customHeight="1">
      <c r="A8" s="792" t="s">
        <v>1594</v>
      </c>
      <c r="B8" s="774"/>
      <c r="C8" s="711" t="str">
        <f>VLOOKUP(L12,Reporte!$A$5:$N$133,13,FALSE)</f>
        <v>Realizar seguimiento al cumplimiento de los acuerdos de conciliación suscritos ante la Delegada que sean exigibles, y reportar su incumplimiento a la Delegada competente.</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acuerdos conciliatorios  con seguimientos realizados </v>
      </c>
      <c r="D10" s="711"/>
      <c r="E10" s="711"/>
      <c r="F10" s="799" t="str">
        <f>VLOOKUP(L12,Reporte!$N$5:$BN$133,6,FALSE)</f>
        <v>Este indicador mide el Número de Pre jornadas  de la función de conciliación con informes de resultados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acuerdos conciliatorios suscritos que sean exigibles </v>
      </c>
      <c r="D12" s="711"/>
      <c r="E12" s="711"/>
      <c r="F12" s="799"/>
      <c r="G12" s="799"/>
      <c r="H12" s="799"/>
      <c r="I12" s="799"/>
      <c r="J12" s="712" t="str">
        <f>VLOOKUP(L12,Reporte!$N$5:$BN$133,7,FALSE)</f>
        <v>Eficiencia</v>
      </c>
      <c r="K12" s="712"/>
      <c r="L12" s="713" t="s">
        <v>183</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Delegatura Función Jurisdiccional y de Conciliación</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377</v>
      </c>
      <c r="F22" s="139">
        <f>VLOOKUP(L12,Reporte!$N$5:$BN$133,33,FALSE)</f>
        <v>0</v>
      </c>
      <c r="G22" s="132">
        <f>VLOOKUP(L12,Reporte!$N$5:$BN$133,34,FALSE)</f>
        <v>0</v>
      </c>
      <c r="H22" s="139">
        <f>VLOOKUP(L12,Reporte!$N$5:$BN$133,35,FALSE)</f>
        <v>87</v>
      </c>
      <c r="I22" s="132">
        <f>VLOOKUP(L12,Reporte!$N$5:$BN$133,36,FALSE)</f>
        <v>0</v>
      </c>
      <c r="J22" s="139">
        <f>VLOOKUP(L12,Reporte!$N$5:$BN$133,37,FALSE)</f>
        <v>0</v>
      </c>
      <c r="K22" s="139">
        <f>VLOOKUP(L12,Reporte!$N$5:$BN$133,38,FALSE)</f>
        <v>166</v>
      </c>
      <c r="L22" s="139">
        <f>VLOOKUP(L12,Reporte!$N$5:$BN$133,39,FALSE)</f>
        <v>0</v>
      </c>
      <c r="M22" s="139">
        <f>VLOOKUP(L12,Reporte!$N$5:$BN$133,40,FALSE)</f>
        <v>0</v>
      </c>
      <c r="N22" s="133">
        <f>VLOOKUP(L12,Reporte!$N$5:$BN$133,41,FALSE)</f>
        <v>0</v>
      </c>
      <c r="O22" s="133">
        <f>SUM(C22:N22)</f>
        <v>630</v>
      </c>
      <c r="P22" s="128"/>
    </row>
    <row r="23" spans="1:17" ht="16.5" thickBot="1">
      <c r="A23" s="690" t="s">
        <v>76</v>
      </c>
      <c r="B23" s="691"/>
      <c r="C23" s="140">
        <f>VLOOKUP(L12,Reporte!$N$5:$BN$133,42,FALSE)</f>
        <v>0</v>
      </c>
      <c r="D23" s="140">
        <f>VLOOKUP(L12,Reporte!$N$5:$BN$133,43,FALSE)</f>
        <v>0</v>
      </c>
      <c r="E23" s="140">
        <f>VLOOKUP(L12,Reporte!$N$5:$BN$133,44,FALSE)</f>
        <v>377</v>
      </c>
      <c r="F23" s="140">
        <f>VLOOKUP(L12,Reporte!$N$5:$BN$133,45,FALSE)</f>
        <v>0</v>
      </c>
      <c r="G23" s="140">
        <f>VLOOKUP(L12,Reporte!$N$5:$BN$133,46,FALSE)</f>
        <v>0</v>
      </c>
      <c r="H23" s="140">
        <f>VLOOKUP(L12,Reporte!$N$5:$BN$133,47,FALSE)</f>
        <v>87</v>
      </c>
      <c r="I23" s="140">
        <f>VLOOKUP(L12,Reporte!$N$5:$BN$133,48,FALSE)</f>
        <v>0</v>
      </c>
      <c r="J23" s="140">
        <f>VLOOKUP(L12,Reporte!$N$5:$BN$133,49,FALSE)</f>
        <v>0</v>
      </c>
      <c r="K23" s="140">
        <f>VLOOKUP(L12,Reporte!$N$5:$BN$133,50,FALSE)</f>
        <v>166</v>
      </c>
      <c r="L23" s="140">
        <f>VLOOKUP(L12,Reporte!$N$5:$BN$133,51,FALSE)</f>
        <v>0</v>
      </c>
      <c r="M23" s="140">
        <f>VLOOKUP(L12,Reporte!$N$5:$BN$133,52,FALSE)</f>
        <v>0</v>
      </c>
      <c r="N23" s="141">
        <f>VLOOKUP(L12,Reporte!$N$5:$BN$133,53,FALSE)</f>
        <v>0</v>
      </c>
      <c r="O23" s="133">
        <f>SUM(C23:N23)</f>
        <v>630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​El cumplimiento de acuerdos conciliatorios con seguimientos realizados correspondientes a los acuerdos suscritos exigibles , se realizaron en su totalidad.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​se informa que el número de acuerdos conciliatorios con seguimientos  realizados fueron 87; a su vez , el  número de acuerdos conciliatorios suscritos que sean exigibles fueron tambien 87 , cunpliendose la regla establecida en el indicador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89.25" customHeight="1" thickBot="1">
      <c r="A57" s="682" t="str">
        <f>VLOOKUP(L12,Reporte!$N$5:$BZ$133,62,FALSE)</f>
        <v>​En la Dirección de Conciliación, para el tercer trimestre de 2025 se presentaron los siguientes resultados frente a las actividades descritas a continuación:
Realizar acciones para la recuperación de recursos del sistema de seguridad social a través del mecanismo de la Conciliación como método alternativo de solución de conflictos.
CUMPLIMIENTO DEL INDICADOR: Se determina mediante el porcentaje de (Valor confirmado de pago de los acuerdos conciliatorios exigibles contestados en el periodo de reporte / Valor total conciliado de los acuerdos conciliatorios exigibles contestados en el periodo de reporte).
Realizar acciones para la recuperación de recursos del sistema de seguridad social a través del mecanismo de la Conciliación como método alternativo de solución de conflictos.
Se determina mediante el número total de acuerdos conciliatorios realizados en el periodo de reporte.
= 166 Acuerdos Conciliatorios por un valor de $47.223.856.344.</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70.5" customHeight="1" thickBot="1">
      <c r="A63" s="673" t="str">
        <f>VLOOKUP(L12,Reporte!$N$5:$BZ$133,65,FALSE)</f>
        <v xml:space="preserve">Se realizaron juiciosa y adecuadamente las prejornadas y las jornadas de CONCILIACION , en estas se concilian los valores determinados y se llegan a acuerdos de pago que prestan merito ejecutivo y hacen transito a cosa juzgada. Una vez el documento es exigible, los actores participes del proceso conciliatorio informan si las obligaciones consignadas dentro del acta de conciliacion se cumplieron.
Para el caso en particular se observa que en el ultimo trimestre el cumplimiento de los acuerdos conciliatorios segun lo informado por los actores corresponde al 99.02% de las actas de conciliacion.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630 seguimientos a acuerdos conciliatorios, logrando el cumplimiento de la meta establecida para la vigencia 2025.
Sin embargo los valores reportado no corresponden a las variables de la formula.</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2ED8C-1C00-44DB-8605-DD40E2265D52}">
  <sheetPr codeName="Hoja27"/>
  <dimension ref="A1:Q67"/>
  <sheetViews>
    <sheetView view="pageBreakPreview" topLeftCell="A47" zoomScale="80" zoomScaleNormal="73" zoomScaleSheetLayoutView="80" zoomScalePageLayoutView="55" workbookViewId="0">
      <selection activeCell="R22" sqref="R22"/>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JURISDICCIONAL Y DE CONCILIACIÓN</v>
      </c>
      <c r="D5" s="787"/>
      <c r="E5" s="787"/>
      <c r="F5" s="787"/>
      <c r="G5" s="787"/>
      <c r="H5" s="787"/>
      <c r="I5" s="787"/>
      <c r="J5" s="787"/>
      <c r="K5" s="787"/>
      <c r="L5" s="787"/>
      <c r="M5" s="787"/>
      <c r="N5" s="787"/>
      <c r="O5" s="788"/>
      <c r="P5" s="130"/>
      <c r="Q5" s="131"/>
    </row>
    <row r="6" spans="1:17" ht="31.5" customHeight="1">
      <c r="A6" s="789" t="s">
        <v>8</v>
      </c>
      <c r="B6" s="790"/>
      <c r="C6" s="711" t="str">
        <f>VLOOKUP(L12,Reporte!$N$5:$BN$133,2,FALSE)</f>
        <v>Providencias Jurisdiccionales de Glosas y Devoluciones gestionados</v>
      </c>
      <c r="D6" s="711"/>
      <c r="E6" s="711"/>
      <c r="F6" s="711"/>
      <c r="G6" s="711"/>
      <c r="H6" s="711"/>
      <c r="I6" s="711"/>
      <c r="J6" s="711"/>
      <c r="K6" s="711"/>
      <c r="L6" s="711"/>
      <c r="M6" s="711"/>
      <c r="N6" s="711"/>
      <c r="O6" s="791"/>
      <c r="P6" s="128"/>
    </row>
    <row r="7" spans="1:17" ht="45.75" customHeight="1">
      <c r="A7" s="789" t="s">
        <v>10</v>
      </c>
      <c r="B7" s="790"/>
      <c r="C7" s="711" t="str">
        <f>VLOOKUP(L12,Reporte!A5:M133,10,FALSE)</f>
        <v>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v>
      </c>
      <c r="D7" s="711"/>
      <c r="E7" s="711"/>
      <c r="F7" s="711"/>
      <c r="G7" s="711"/>
      <c r="H7" s="711"/>
      <c r="I7" s="711"/>
      <c r="J7" s="711"/>
      <c r="K7" s="711"/>
      <c r="L7" s="711"/>
      <c r="M7" s="711"/>
      <c r="N7" s="711"/>
      <c r="O7" s="791"/>
      <c r="P7" s="128"/>
    </row>
    <row r="8" spans="1:17" ht="15.75">
      <c r="A8" s="792" t="s">
        <v>1594</v>
      </c>
      <c r="B8" s="774"/>
      <c r="C8" s="711" t="str">
        <f>VLOOKUP(L12,Reporte!$A$5:$N$133,13,FALSE)</f>
        <v>Conocer y gestionar los procesos jurisdiccionales de asuntos relacionados con Glosas y Devoluciones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9.25" customHeight="1">
      <c r="A10" s="794"/>
      <c r="B10" s="795"/>
      <c r="C10" s="711" t="str">
        <f>VLOOKUP(L12,Reporte!$N$5:$BN$133,4,FALSE)</f>
        <v>Número de autos y sentencias Jurisdiccionales de Glosas y Recobros gestionados en el periodo de reporte</v>
      </c>
      <c r="D10" s="711"/>
      <c r="E10" s="711"/>
      <c r="F10" s="799" t="str">
        <f>VLOOKUP(L12,Reporte!$N$5:$BN$133,6,FALSE)</f>
        <v>Este indicador mide el Número de  procesos Jurisdiccionales de Glosas y Recobros terminados.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25.5" customHeight="1" thickBot="1">
      <c r="A12" s="796"/>
      <c r="B12" s="768"/>
      <c r="C12" s="710" t="str">
        <f>VLOOKUP(L12,Reporte!$N$5:$BN$133,5,FALSE)</f>
        <v>-</v>
      </c>
      <c r="D12" s="711"/>
      <c r="E12" s="711"/>
      <c r="F12" s="799"/>
      <c r="G12" s="799"/>
      <c r="H12" s="799"/>
      <c r="I12" s="799"/>
      <c r="J12" s="712" t="str">
        <f>VLOOKUP(L12,Reporte!$N$5:$BN$133,7,FALSE)</f>
        <v>Eficacia</v>
      </c>
      <c r="K12" s="712"/>
      <c r="L12" s="713" t="s">
        <v>153</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10">
        <f>VLOOKUP(L12,Reporte!$N$5:$BN$133,11,FALSE)</f>
        <v>150</v>
      </c>
      <c r="D15" s="811"/>
      <c r="E15" s="812"/>
      <c r="F15" s="740" t="str">
        <f>VLOOKUP(L12,Reporte!$N$5:$BN$133,9,FALSE)</f>
        <v>Trimestral</v>
      </c>
      <c r="G15" s="741"/>
      <c r="H15" s="707" t="s">
        <v>37</v>
      </c>
      <c r="I15" s="707"/>
      <c r="J15" s="746" t="s">
        <v>1595</v>
      </c>
      <c r="K15" s="747"/>
      <c r="L15" s="748"/>
      <c r="M15" s="775" t="str">
        <f>VLOOKUP(L12,Reporte!$N$5:$BN$133,28,FALSE)</f>
        <v>Delegatura Función Jurisdiccional y de Conciliación</v>
      </c>
      <c r="N15" s="776"/>
      <c r="O15" s="777"/>
      <c r="P15" s="128"/>
    </row>
    <row r="16" spans="1:17" ht="15.75">
      <c r="A16" s="730"/>
      <c r="B16" s="731"/>
      <c r="C16" s="813"/>
      <c r="D16" s="814"/>
      <c r="E16" s="815"/>
      <c r="F16" s="742"/>
      <c r="G16" s="743"/>
      <c r="H16" s="707" t="s">
        <v>40</v>
      </c>
      <c r="I16" s="707"/>
      <c r="J16" s="746" t="s">
        <v>1596</v>
      </c>
      <c r="K16" s="747"/>
      <c r="L16" s="748"/>
      <c r="M16" s="778"/>
      <c r="N16" s="779"/>
      <c r="O16" s="780"/>
      <c r="P16" s="128"/>
    </row>
    <row r="17" spans="1:17" ht="16.5" thickBot="1">
      <c r="A17" s="732"/>
      <c r="B17" s="733"/>
      <c r="C17" s="816"/>
      <c r="D17" s="817"/>
      <c r="E17" s="818"/>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44</v>
      </c>
      <c r="F22" s="139">
        <f>VLOOKUP(L12,Reporte!$N$5:$BN$133,33,FALSE)</f>
        <v>0</v>
      </c>
      <c r="G22" s="132">
        <f>VLOOKUP(L12,Reporte!$N$5:$BN$133,34,FALSE)</f>
        <v>0</v>
      </c>
      <c r="H22" s="139">
        <f>VLOOKUP(L12,Reporte!$N$5:$BN$133,35,FALSE)</f>
        <v>45</v>
      </c>
      <c r="I22" s="132">
        <f>VLOOKUP(L12,Reporte!$N$5:$BN$133,36,FALSE)</f>
        <v>0</v>
      </c>
      <c r="J22" s="139">
        <f>VLOOKUP(L12,Reporte!$N$5:$BN$133,37,FALSE)</f>
        <v>0</v>
      </c>
      <c r="K22" s="139">
        <f>VLOOKUP(L12,Reporte!$N$5:$BN$133,38,FALSE)</f>
        <v>54</v>
      </c>
      <c r="L22" s="139">
        <f>VLOOKUP(L12,Reporte!$N$5:$BN$133,39,FALSE)</f>
        <v>0</v>
      </c>
      <c r="M22" s="139">
        <f>VLOOKUP(L12,Reporte!$N$5:$BN$133,40,FALSE)</f>
        <v>0</v>
      </c>
      <c r="N22" s="133">
        <f>VLOOKUP(L12,Reporte!$N$5:$BN$133,41,FALSE)</f>
        <v>30</v>
      </c>
      <c r="O22" s="133">
        <f>SUM(C22:N22)</f>
        <v>173</v>
      </c>
      <c r="P22" s="128"/>
    </row>
    <row r="23" spans="1:17" ht="16.5" thickBot="1">
      <c r="A23" s="690" t="s">
        <v>76</v>
      </c>
      <c r="B23" s="691"/>
      <c r="C23" s="140">
        <f>VLOOKUP(L12,Reporte!$N$5:$BN$133,42,FALSE)</f>
        <v>0</v>
      </c>
      <c r="D23" s="140">
        <f>VLOOKUP(L12,Reporte!$N$5:$BN$133,43,FALSE)</f>
        <v>0</v>
      </c>
      <c r="E23" s="140">
        <f>VLOOKUP(L12,Reporte!$N$5:$BN$133,44,FALSE)</f>
        <v>44</v>
      </c>
      <c r="F23" s="140">
        <f>VLOOKUP(L12,Reporte!$N$5:$BN$133,45,FALSE)</f>
        <v>0</v>
      </c>
      <c r="G23" s="140">
        <f>VLOOKUP(L12,Reporte!$N$5:$BN$133,46,FALSE)</f>
        <v>0</v>
      </c>
      <c r="H23" s="140">
        <f>VLOOKUP(L12,Reporte!$N$5:$BN$133,47,FALSE)</f>
        <v>45</v>
      </c>
      <c r="I23" s="140">
        <f>VLOOKUP(L12,Reporte!$N$5:$BN$133,48,FALSE)</f>
        <v>0</v>
      </c>
      <c r="J23" s="140">
        <f>VLOOKUP(L12,Reporte!$N$5:$BN$133,49,FALSE)</f>
        <v>0</v>
      </c>
      <c r="K23" s="140">
        <f>VLOOKUP(L12,Reporte!$N$5:$BN$133,50,FALSE)</f>
        <v>54</v>
      </c>
      <c r="L23" s="140">
        <f>VLOOKUP(L12,Reporte!$N$5:$BN$133,51,FALSE)</f>
        <v>0</v>
      </c>
      <c r="M23" s="140">
        <f>VLOOKUP(L12,Reporte!$N$5:$BN$133,52,FALSE)</f>
        <v>0</v>
      </c>
      <c r="N23" s="141">
        <f>VLOOKUP(L12,Reporte!$N$5:$BN$133,53,FALSE)</f>
        <v>30</v>
      </c>
      <c r="O23" s="133">
        <f>SUM(C23:N23)</f>
        <v>173</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150</v>
      </c>
      <c r="D26" s="161">
        <f>+C26*0.98</f>
        <v>147</v>
      </c>
      <c r="E26" s="147"/>
      <c r="F26" s="147"/>
      <c r="G26" s="685"/>
      <c r="H26" s="685"/>
      <c r="I26" s="699"/>
      <c r="J26" s="699"/>
      <c r="K26" s="699"/>
      <c r="L26" s="685"/>
      <c r="M26" s="685"/>
      <c r="N26" s="685"/>
      <c r="O26" s="701"/>
      <c r="P26" s="148"/>
      <c r="Q26" s="149"/>
    </row>
    <row r="27" spans="1:17" s="127" customFormat="1" ht="15">
      <c r="A27" s="145" t="s">
        <v>95</v>
      </c>
      <c r="B27" s="161">
        <f>+D22</f>
        <v>0</v>
      </c>
      <c r="C27" s="161">
        <f>+C26</f>
        <v>150</v>
      </c>
      <c r="D27" s="161">
        <f>+D26</f>
        <v>147</v>
      </c>
      <c r="E27" s="147"/>
      <c r="F27" s="147"/>
      <c r="G27" s="685"/>
      <c r="H27" s="685"/>
      <c r="I27" s="685"/>
      <c r="J27" s="685"/>
      <c r="K27" s="147"/>
      <c r="L27" s="685"/>
      <c r="M27" s="685"/>
      <c r="N27" s="685"/>
      <c r="O27" s="701"/>
      <c r="P27" s="148"/>
      <c r="Q27" s="149"/>
    </row>
    <row r="28" spans="1:17" s="127" customFormat="1" ht="15">
      <c r="A28" s="145" t="s">
        <v>96</v>
      </c>
      <c r="B28" s="161">
        <f>+E22</f>
        <v>44</v>
      </c>
      <c r="C28" s="161">
        <f t="shared" ref="C28:D37" si="0">+C27</f>
        <v>150</v>
      </c>
      <c r="D28" s="161">
        <f t="shared" si="0"/>
        <v>147</v>
      </c>
      <c r="E28" s="147"/>
      <c r="F28" s="147"/>
      <c r="G28" s="685"/>
      <c r="H28" s="685"/>
      <c r="I28" s="685"/>
      <c r="J28" s="685"/>
      <c r="K28" s="147"/>
      <c r="L28" s="685"/>
      <c r="M28" s="685"/>
      <c r="N28" s="685"/>
      <c r="O28" s="701"/>
      <c r="P28" s="148"/>
      <c r="Q28" s="149"/>
    </row>
    <row r="29" spans="1:17" s="127" customFormat="1" ht="15">
      <c r="A29" s="145" t="s">
        <v>97</v>
      </c>
      <c r="B29" s="161">
        <f>+F22</f>
        <v>0</v>
      </c>
      <c r="C29" s="161">
        <f t="shared" si="0"/>
        <v>150</v>
      </c>
      <c r="D29" s="161">
        <f t="shared" si="0"/>
        <v>147</v>
      </c>
      <c r="E29" s="147"/>
      <c r="F29" s="147"/>
      <c r="G29" s="685"/>
      <c r="H29" s="685"/>
      <c r="I29" s="685"/>
      <c r="J29" s="685"/>
      <c r="K29" s="147"/>
      <c r="L29" s="685"/>
      <c r="M29" s="685"/>
      <c r="N29" s="685"/>
      <c r="O29" s="701"/>
      <c r="P29" s="148"/>
      <c r="Q29" s="149"/>
    </row>
    <row r="30" spans="1:17" s="127" customFormat="1" ht="15">
      <c r="A30" s="145" t="s">
        <v>98</v>
      </c>
      <c r="B30" s="161">
        <f>+G22</f>
        <v>0</v>
      </c>
      <c r="C30" s="161">
        <f t="shared" si="0"/>
        <v>150</v>
      </c>
      <c r="D30" s="161">
        <f t="shared" si="0"/>
        <v>147</v>
      </c>
      <c r="E30" s="147"/>
      <c r="F30" s="147"/>
      <c r="G30" s="685"/>
      <c r="H30" s="685"/>
      <c r="I30" s="685"/>
      <c r="J30" s="685"/>
      <c r="K30" s="147"/>
      <c r="L30" s="685"/>
      <c r="M30" s="685"/>
      <c r="N30" s="685"/>
      <c r="O30" s="701"/>
      <c r="P30" s="148"/>
      <c r="Q30" s="149"/>
    </row>
    <row r="31" spans="1:17" s="127" customFormat="1" ht="15">
      <c r="A31" s="145" t="s">
        <v>99</v>
      </c>
      <c r="B31" s="161">
        <f>+H22</f>
        <v>45</v>
      </c>
      <c r="C31" s="161">
        <f t="shared" si="0"/>
        <v>150</v>
      </c>
      <c r="D31" s="161">
        <f t="shared" si="0"/>
        <v>147</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150</v>
      </c>
      <c r="D32" s="161">
        <f t="shared" si="0"/>
        <v>147</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150</v>
      </c>
      <c r="D33" s="161">
        <f t="shared" si="0"/>
        <v>147</v>
      </c>
      <c r="E33" s="147"/>
      <c r="F33" s="147"/>
      <c r="G33" s="685"/>
      <c r="H33" s="685"/>
      <c r="I33" s="685"/>
      <c r="J33" s="685"/>
      <c r="K33" s="147"/>
      <c r="L33" s="685"/>
      <c r="M33" s="685"/>
      <c r="N33" s="685"/>
      <c r="O33" s="701"/>
      <c r="P33" s="148"/>
      <c r="Q33" s="149"/>
    </row>
    <row r="34" spans="1:17" s="127" customFormat="1" ht="15">
      <c r="A34" s="145" t="s">
        <v>102</v>
      </c>
      <c r="B34" s="161">
        <f>+K22</f>
        <v>54</v>
      </c>
      <c r="C34" s="161">
        <f t="shared" si="0"/>
        <v>150</v>
      </c>
      <c r="D34" s="161">
        <f t="shared" si="0"/>
        <v>147</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150</v>
      </c>
      <c r="D35" s="161">
        <f t="shared" si="0"/>
        <v>147</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150</v>
      </c>
      <c r="D36" s="161">
        <f t="shared" si="0"/>
        <v>147</v>
      </c>
      <c r="E36" s="147"/>
      <c r="F36" s="147"/>
      <c r="G36" s="685"/>
      <c r="H36" s="685"/>
      <c r="I36" s="685"/>
      <c r="J36" s="685"/>
      <c r="K36" s="147"/>
      <c r="L36" s="685"/>
      <c r="M36" s="685"/>
      <c r="N36" s="685"/>
      <c r="O36" s="701"/>
      <c r="P36" s="148"/>
      <c r="Q36" s="149"/>
    </row>
    <row r="37" spans="1:17" s="127" customFormat="1" ht="15.75" thickBot="1">
      <c r="A37" s="150" t="s">
        <v>105</v>
      </c>
      <c r="B37" s="162">
        <f>+N22</f>
        <v>30</v>
      </c>
      <c r="C37" s="161">
        <f t="shared" si="0"/>
        <v>150</v>
      </c>
      <c r="D37" s="161">
        <f t="shared" si="0"/>
        <v>147</v>
      </c>
      <c r="E37" s="147"/>
      <c r="F37" s="147"/>
      <c r="G37" s="147"/>
      <c r="H37" s="147"/>
      <c r="I37" s="147"/>
      <c r="J37" s="147"/>
      <c r="K37" s="147"/>
      <c r="L37" s="685"/>
      <c r="M37" s="685"/>
      <c r="N37" s="685"/>
      <c r="O37" s="701"/>
      <c r="P37" s="148"/>
      <c r="Q37" s="149"/>
    </row>
    <row r="38" spans="1:17" s="127" customFormat="1" ht="15.75" thickBot="1">
      <c r="A38" s="152" t="s">
        <v>106</v>
      </c>
      <c r="B38" s="164">
        <f>+O22</f>
        <v>173</v>
      </c>
      <c r="C38" s="164">
        <f>+C37</f>
        <v>150</v>
      </c>
      <c r="D38" s="164">
        <f>+D37</f>
        <v>147</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​El indicador es numerico , el area correspondiente participó en un trabajo de plan de choque de la Delegada para apoyar a las demas areas a debido a la alta solicitud de estudios de demanda , y su colaboración consistió en la utilizacion de recurso humano de abogados y personal tecnico en la realizacion de estudios de demandas y sus fallos , en particular el apoyo se presta al area de coberturas. Se logra el objetivo si alterar la funcionalidad en cuanto a resultados positivos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52.5" customHeight="1" thickBot="1">
      <c r="A51" s="670" t="str">
        <f>VLOOKUP(L12,Reporte!$N$5:$BZ$133,59,FALSE)</f>
        <v xml:space="preserve">​Durante el periodo del segundo trimestre , la verificacion de medicion de esta actividad , se evidencio el cumplimiento de este indicador segun la meta establecida , fueron gestionados 45 providencias de glosas y devoluciones ; se ha disminuido notablemente el numero de expedientes que habia en represamiento y hasta el momento ya el año 2024 esta siendo terminado en su totalidad quedando pendientes cerca de 34 expedientes .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​Se realizó PLAN DE CHOQUE en aras de optimizar el recuerso humano del area para dar cumplimiento a la alta demanda de denuncias relacionadas con Glosas en salud , de los diferentes actores del SGSSS.y esto hizo que se superara satisfactoriamente la meta establecida ya que estas circustancias son de causa subita e imprevista.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​Con las actividades realizadas por el area encargada, se hizo una adecuada intervencion de los 30 procesos de  GLOSAS y recobros; a pesar de que estos tienen la caracteristica de ser muy complejos en tiempos de oportunidad ya que muchos son enviados a pruebas a otras estancias judiciales ( tribunales etc ) y pueden afectar lo que se llama la MORA JUDICIAL normal en nuestro medio , con lo cual  se van gestionando durante los periodos de seguimiento, otros expedientes en algun grado de avance para ir sometiendo la mora judicial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gestionado 173 autos y sentencias Jurisdiccionales, con sobrecumplimiento de 115% con respecto de la meta de 150,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F9DE3-33EE-4EA2-BA2E-CB21806B02F0}">
  <sheetPr codeName="Hoja28"/>
  <dimension ref="A1:Q67"/>
  <sheetViews>
    <sheetView view="pageBreakPreview" topLeftCell="A49" zoomScale="80" zoomScaleNormal="73" zoomScaleSheetLayoutView="80" zoomScalePageLayoutView="55" workbookViewId="0">
      <selection activeCell="Q34" sqref="Q3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JURISDICCIONAL Y DE CONCILIACIÓN</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Procesos Jurisdiccionales de reconocimiento economico gestionados</v>
      </c>
      <c r="D6" s="711"/>
      <c r="E6" s="711"/>
      <c r="F6" s="711"/>
      <c r="G6" s="711"/>
      <c r="H6" s="711"/>
      <c r="I6" s="711"/>
      <c r="J6" s="711"/>
      <c r="K6" s="711"/>
      <c r="L6" s="711"/>
      <c r="M6" s="711"/>
      <c r="N6" s="711"/>
      <c r="O6" s="791"/>
      <c r="P6" s="128"/>
    </row>
    <row r="7" spans="1:17" ht="48" customHeight="1">
      <c r="A7" s="789" t="s">
        <v>10</v>
      </c>
      <c r="B7" s="790"/>
      <c r="C7" s="711" t="str">
        <f>VLOOKUP(L12,Reporte!A5:M133,10,FALSE)</f>
        <v>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v>
      </c>
      <c r="D7" s="711"/>
      <c r="E7" s="711"/>
      <c r="F7" s="711"/>
      <c r="G7" s="711"/>
      <c r="H7" s="711"/>
      <c r="I7" s="711"/>
      <c r="J7" s="711"/>
      <c r="K7" s="711"/>
      <c r="L7" s="711"/>
      <c r="M7" s="711"/>
      <c r="N7" s="711"/>
      <c r="O7" s="791"/>
      <c r="P7" s="128"/>
    </row>
    <row r="8" spans="1:17" ht="15.75">
      <c r="A8" s="792" t="s">
        <v>1594</v>
      </c>
      <c r="B8" s="774"/>
      <c r="C8" s="711" t="str">
        <f>VLOOKUP(L12,Reporte!$A$5:$N$133,13,FALSE)</f>
        <v>Conocer y gestionar los procesos jurisdiccionales de asuntos relacionados con Reconocimiento Económico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4" customHeight="1">
      <c r="A10" s="794"/>
      <c r="B10" s="795"/>
      <c r="C10" s="711" t="str">
        <f>VLOOKUP(L12,Reporte!$N$5:$BN$133,4,FALSE)</f>
        <v>Número de procesos Jurisdiccionales de Reconocimiento Económico gestionados.</v>
      </c>
      <c r="D10" s="711"/>
      <c r="E10" s="711"/>
      <c r="F10" s="799" t="str">
        <f>VLOOKUP(L12,Reporte!$N$5:$BN$133,6,FALSE)</f>
        <v>Este indicador mide el Número de  procesos Jurisdiccionales de Reconocimiento Económico  terminados.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165</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10">
        <f>VLOOKUP(L12,Reporte!$N$5:$BN$133,11,FALSE)</f>
        <v>520</v>
      </c>
      <c r="D15" s="811"/>
      <c r="E15" s="812"/>
      <c r="F15" s="740" t="str">
        <f>VLOOKUP(L12,Reporte!$N$5:$BN$133,9,FALSE)</f>
        <v>Trimestral</v>
      </c>
      <c r="G15" s="741"/>
      <c r="H15" s="707" t="s">
        <v>37</v>
      </c>
      <c r="I15" s="707"/>
      <c r="J15" s="746" t="s">
        <v>1595</v>
      </c>
      <c r="K15" s="747"/>
      <c r="L15" s="748"/>
      <c r="M15" s="775" t="str">
        <f>VLOOKUP(L12,Reporte!$N$5:$BN$133,28,FALSE)</f>
        <v>Delegatura Función Jurisdiccional y de Conciliación</v>
      </c>
      <c r="N15" s="776"/>
      <c r="O15" s="777"/>
      <c r="P15" s="128"/>
    </row>
    <row r="16" spans="1:17" ht="15.75">
      <c r="A16" s="730"/>
      <c r="B16" s="731"/>
      <c r="C16" s="813"/>
      <c r="D16" s="814"/>
      <c r="E16" s="815"/>
      <c r="F16" s="742"/>
      <c r="G16" s="743"/>
      <c r="H16" s="707" t="s">
        <v>40</v>
      </c>
      <c r="I16" s="707"/>
      <c r="J16" s="746" t="s">
        <v>1596</v>
      </c>
      <c r="K16" s="747"/>
      <c r="L16" s="748"/>
      <c r="M16" s="778"/>
      <c r="N16" s="779"/>
      <c r="O16" s="780"/>
      <c r="P16" s="128"/>
    </row>
    <row r="17" spans="1:17" ht="16.5" thickBot="1">
      <c r="A17" s="732"/>
      <c r="B17" s="733"/>
      <c r="C17" s="816"/>
      <c r="D17" s="817"/>
      <c r="E17" s="818"/>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120</v>
      </c>
      <c r="F22" s="139">
        <f>VLOOKUP(L12,Reporte!$N$5:$BN$133,33,FALSE)</f>
        <v>0</v>
      </c>
      <c r="G22" s="132">
        <f>VLOOKUP(L12,Reporte!$N$5:$BN$133,34,FALSE)</f>
        <v>0</v>
      </c>
      <c r="H22" s="139">
        <f>VLOOKUP(L12,Reporte!$N$5:$BN$133,35,FALSE)</f>
        <v>140</v>
      </c>
      <c r="I22" s="132">
        <f>VLOOKUP(L12,Reporte!$N$5:$BN$133,36,FALSE)</f>
        <v>0</v>
      </c>
      <c r="J22" s="139">
        <f>VLOOKUP(L12,Reporte!$N$5:$BN$133,37,FALSE)</f>
        <v>0</v>
      </c>
      <c r="K22" s="139">
        <f>VLOOKUP(L12,Reporte!$N$5:$BN$133,38,FALSE)</f>
        <v>140</v>
      </c>
      <c r="L22" s="139">
        <f>VLOOKUP(L12,Reporte!$N$5:$BN$133,39,FALSE)</f>
        <v>0</v>
      </c>
      <c r="M22" s="139">
        <f>VLOOKUP(L12,Reporte!$N$5:$BN$133,40,FALSE)</f>
        <v>0</v>
      </c>
      <c r="N22" s="133">
        <f>VLOOKUP(L12,Reporte!$N$5:$BN$133,41,FALSE)</f>
        <v>120</v>
      </c>
      <c r="O22" s="133">
        <f>SUM(C22:N22)</f>
        <v>520</v>
      </c>
      <c r="P22" s="128"/>
    </row>
    <row r="23" spans="1:17" ht="16.5" thickBot="1">
      <c r="A23" s="690" t="s">
        <v>76</v>
      </c>
      <c r="B23" s="691"/>
      <c r="C23" s="140">
        <f>VLOOKUP(L12,Reporte!$N$5:$BN$133,42,FALSE)</f>
        <v>0</v>
      </c>
      <c r="D23" s="140">
        <f>VLOOKUP(L12,Reporte!$N$5:$BN$133,43,FALSE)</f>
        <v>0</v>
      </c>
      <c r="E23" s="140">
        <f>VLOOKUP(L12,Reporte!$N$5:$BN$133,44,FALSE)</f>
        <v>120</v>
      </c>
      <c r="F23" s="140">
        <f>VLOOKUP(L12,Reporte!$N$5:$BN$133,45,FALSE)</f>
        <v>0</v>
      </c>
      <c r="G23" s="140">
        <f>VLOOKUP(L12,Reporte!$N$5:$BN$133,46,FALSE)</f>
        <v>0</v>
      </c>
      <c r="H23" s="140">
        <f>VLOOKUP(L12,Reporte!$N$5:$BN$133,47,FALSE)</f>
        <v>140</v>
      </c>
      <c r="I23" s="140">
        <f>VLOOKUP(L12,Reporte!$N$5:$BN$133,48,FALSE)</f>
        <v>0</v>
      </c>
      <c r="J23" s="140">
        <f>VLOOKUP(L12,Reporte!$N$5:$BN$133,49,FALSE)</f>
        <v>0</v>
      </c>
      <c r="K23" s="140">
        <f>VLOOKUP(L12,Reporte!$N$5:$BN$133,50,FALSE)</f>
        <v>140</v>
      </c>
      <c r="L23" s="140">
        <f>VLOOKUP(L12,Reporte!$N$5:$BN$133,51,FALSE)</f>
        <v>0</v>
      </c>
      <c r="M23" s="140">
        <f>VLOOKUP(L12,Reporte!$N$5:$BN$133,52,FALSE)</f>
        <v>0</v>
      </c>
      <c r="N23" s="141">
        <f>VLOOKUP(L12,Reporte!$N$5:$BN$133,53,FALSE)</f>
        <v>120</v>
      </c>
      <c r="O23" s="133">
        <f>SUM(C23:N23)</f>
        <v>520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520</v>
      </c>
      <c r="D26" s="161">
        <f>+C26*0.98</f>
        <v>509.59999999999997</v>
      </c>
      <c r="E26" s="147"/>
      <c r="F26" s="147"/>
      <c r="G26" s="685"/>
      <c r="H26" s="685"/>
      <c r="I26" s="699"/>
      <c r="J26" s="699"/>
      <c r="K26" s="699"/>
      <c r="L26" s="685"/>
      <c r="M26" s="685"/>
      <c r="N26" s="685"/>
      <c r="O26" s="701"/>
      <c r="P26" s="148"/>
      <c r="Q26" s="149"/>
    </row>
    <row r="27" spans="1:17" s="127" customFormat="1" ht="15">
      <c r="A27" s="145" t="s">
        <v>95</v>
      </c>
      <c r="B27" s="161">
        <f>+D22</f>
        <v>0</v>
      </c>
      <c r="C27" s="161">
        <f>+C26</f>
        <v>520</v>
      </c>
      <c r="D27" s="161">
        <f>+D26</f>
        <v>509.59999999999997</v>
      </c>
      <c r="E27" s="147"/>
      <c r="F27" s="147"/>
      <c r="G27" s="685"/>
      <c r="H27" s="685"/>
      <c r="I27" s="685"/>
      <c r="J27" s="685"/>
      <c r="K27" s="147"/>
      <c r="L27" s="685"/>
      <c r="M27" s="685"/>
      <c r="N27" s="685"/>
      <c r="O27" s="701"/>
      <c r="P27" s="148"/>
      <c r="Q27" s="149"/>
    </row>
    <row r="28" spans="1:17" s="127" customFormat="1" ht="15">
      <c r="A28" s="145" t="s">
        <v>96</v>
      </c>
      <c r="B28" s="161">
        <f>+E22</f>
        <v>120</v>
      </c>
      <c r="C28" s="161">
        <f t="shared" ref="C28:D37" si="0">+C27</f>
        <v>520</v>
      </c>
      <c r="D28" s="161">
        <f t="shared" si="0"/>
        <v>509.59999999999997</v>
      </c>
      <c r="E28" s="147"/>
      <c r="F28" s="147"/>
      <c r="G28" s="685"/>
      <c r="H28" s="685"/>
      <c r="I28" s="685"/>
      <c r="J28" s="685"/>
      <c r="K28" s="147"/>
      <c r="L28" s="685"/>
      <c r="M28" s="685"/>
      <c r="N28" s="685"/>
      <c r="O28" s="701"/>
      <c r="P28" s="148"/>
      <c r="Q28" s="149"/>
    </row>
    <row r="29" spans="1:17" s="127" customFormat="1" ht="15">
      <c r="A29" s="145" t="s">
        <v>97</v>
      </c>
      <c r="B29" s="161">
        <f>+F22</f>
        <v>0</v>
      </c>
      <c r="C29" s="161">
        <f t="shared" si="0"/>
        <v>520</v>
      </c>
      <c r="D29" s="161">
        <f t="shared" si="0"/>
        <v>509.59999999999997</v>
      </c>
      <c r="E29" s="147"/>
      <c r="F29" s="147"/>
      <c r="G29" s="685"/>
      <c r="H29" s="685"/>
      <c r="I29" s="685"/>
      <c r="J29" s="685"/>
      <c r="K29" s="147"/>
      <c r="L29" s="685"/>
      <c r="M29" s="685"/>
      <c r="N29" s="685"/>
      <c r="O29" s="701"/>
      <c r="P29" s="148"/>
      <c r="Q29" s="149"/>
    </row>
    <row r="30" spans="1:17" s="127" customFormat="1" ht="15">
      <c r="A30" s="145" t="s">
        <v>98</v>
      </c>
      <c r="B30" s="161">
        <f>+G22</f>
        <v>0</v>
      </c>
      <c r="C30" s="161">
        <f t="shared" si="0"/>
        <v>520</v>
      </c>
      <c r="D30" s="161">
        <f t="shared" si="0"/>
        <v>509.59999999999997</v>
      </c>
      <c r="E30" s="147"/>
      <c r="F30" s="147"/>
      <c r="G30" s="685"/>
      <c r="H30" s="685"/>
      <c r="I30" s="685"/>
      <c r="J30" s="685"/>
      <c r="K30" s="147"/>
      <c r="L30" s="685"/>
      <c r="M30" s="685"/>
      <c r="N30" s="685"/>
      <c r="O30" s="701"/>
      <c r="P30" s="148"/>
      <c r="Q30" s="149"/>
    </row>
    <row r="31" spans="1:17" s="127" customFormat="1" ht="15">
      <c r="A31" s="145" t="s">
        <v>99</v>
      </c>
      <c r="B31" s="161">
        <f>+H22</f>
        <v>140</v>
      </c>
      <c r="C31" s="161">
        <f t="shared" si="0"/>
        <v>520</v>
      </c>
      <c r="D31" s="161">
        <f t="shared" si="0"/>
        <v>509.59999999999997</v>
      </c>
      <c r="E31" s="147"/>
      <c r="F31" s="147"/>
      <c r="G31" s="685"/>
      <c r="H31" s="685"/>
      <c r="I31" s="685"/>
      <c r="J31" s="685"/>
      <c r="K31" s="147"/>
      <c r="L31" s="685"/>
      <c r="M31" s="685"/>
      <c r="N31" s="685"/>
      <c r="O31" s="701"/>
      <c r="P31" s="148"/>
      <c r="Q31" s="149"/>
    </row>
    <row r="32" spans="1:17" s="127" customFormat="1" ht="15">
      <c r="A32" s="145" t="s">
        <v>100</v>
      </c>
      <c r="B32" s="161">
        <f>+I22</f>
        <v>0</v>
      </c>
      <c r="C32" s="161">
        <f t="shared" si="0"/>
        <v>520</v>
      </c>
      <c r="D32" s="161">
        <f t="shared" si="0"/>
        <v>509.59999999999997</v>
      </c>
      <c r="E32" s="147"/>
      <c r="F32" s="147"/>
      <c r="G32" s="685"/>
      <c r="H32" s="685"/>
      <c r="I32" s="685"/>
      <c r="J32" s="685"/>
      <c r="K32" s="147"/>
      <c r="L32" s="685"/>
      <c r="M32" s="685"/>
      <c r="N32" s="685"/>
      <c r="O32" s="701"/>
      <c r="P32" s="148"/>
      <c r="Q32" s="149"/>
    </row>
    <row r="33" spans="1:17" s="127" customFormat="1" ht="15">
      <c r="A33" s="145" t="s">
        <v>101</v>
      </c>
      <c r="B33" s="161">
        <f>+J22</f>
        <v>0</v>
      </c>
      <c r="C33" s="161">
        <f t="shared" si="0"/>
        <v>520</v>
      </c>
      <c r="D33" s="161">
        <f t="shared" si="0"/>
        <v>509.59999999999997</v>
      </c>
      <c r="E33" s="147"/>
      <c r="F33" s="147"/>
      <c r="G33" s="685"/>
      <c r="H33" s="685"/>
      <c r="I33" s="685"/>
      <c r="J33" s="685"/>
      <c r="K33" s="147"/>
      <c r="L33" s="685"/>
      <c r="M33" s="685"/>
      <c r="N33" s="685"/>
      <c r="O33" s="701"/>
      <c r="P33" s="148"/>
      <c r="Q33" s="149"/>
    </row>
    <row r="34" spans="1:17" s="127" customFormat="1" ht="15">
      <c r="A34" s="145" t="s">
        <v>102</v>
      </c>
      <c r="B34" s="161">
        <f>+K22</f>
        <v>140</v>
      </c>
      <c r="C34" s="161">
        <f t="shared" si="0"/>
        <v>520</v>
      </c>
      <c r="D34" s="161">
        <f t="shared" si="0"/>
        <v>509.59999999999997</v>
      </c>
      <c r="E34" s="147"/>
      <c r="F34" s="147"/>
      <c r="G34" s="685"/>
      <c r="H34" s="685"/>
      <c r="I34" s="685"/>
      <c r="J34" s="685"/>
      <c r="K34" s="147"/>
      <c r="L34" s="685"/>
      <c r="M34" s="685"/>
      <c r="N34" s="685"/>
      <c r="O34" s="701"/>
      <c r="P34" s="148"/>
      <c r="Q34" s="149"/>
    </row>
    <row r="35" spans="1:17" s="127" customFormat="1" ht="15">
      <c r="A35" s="145" t="s">
        <v>103</v>
      </c>
      <c r="B35" s="161">
        <f>+L22</f>
        <v>0</v>
      </c>
      <c r="C35" s="161">
        <f t="shared" si="0"/>
        <v>520</v>
      </c>
      <c r="D35" s="161">
        <f t="shared" si="0"/>
        <v>509.59999999999997</v>
      </c>
      <c r="E35" s="147"/>
      <c r="F35" s="147"/>
      <c r="G35" s="685"/>
      <c r="H35" s="685"/>
      <c r="I35" s="685"/>
      <c r="J35" s="685"/>
      <c r="K35" s="147"/>
      <c r="L35" s="685"/>
      <c r="M35" s="685"/>
      <c r="N35" s="685"/>
      <c r="O35" s="701"/>
      <c r="P35" s="148"/>
      <c r="Q35" s="149"/>
    </row>
    <row r="36" spans="1:17" s="127" customFormat="1" ht="15">
      <c r="A36" s="145" t="s">
        <v>104</v>
      </c>
      <c r="B36" s="161">
        <f>+M22</f>
        <v>0</v>
      </c>
      <c r="C36" s="161">
        <f t="shared" si="0"/>
        <v>520</v>
      </c>
      <c r="D36" s="161">
        <f t="shared" si="0"/>
        <v>509.59999999999997</v>
      </c>
      <c r="E36" s="147"/>
      <c r="F36" s="147"/>
      <c r="G36" s="685"/>
      <c r="H36" s="685"/>
      <c r="I36" s="685"/>
      <c r="J36" s="685"/>
      <c r="K36" s="147"/>
      <c r="L36" s="685"/>
      <c r="M36" s="685"/>
      <c r="N36" s="685"/>
      <c r="O36" s="701"/>
      <c r="P36" s="148"/>
      <c r="Q36" s="149"/>
    </row>
    <row r="37" spans="1:17" s="127" customFormat="1" ht="15.75" thickBot="1">
      <c r="A37" s="150" t="s">
        <v>105</v>
      </c>
      <c r="B37" s="162">
        <f>+N22</f>
        <v>120</v>
      </c>
      <c r="C37" s="161">
        <f t="shared" si="0"/>
        <v>520</v>
      </c>
      <c r="D37" s="161">
        <f t="shared" si="0"/>
        <v>509.59999999999997</v>
      </c>
      <c r="E37" s="147"/>
      <c r="F37" s="147"/>
      <c r="G37" s="147"/>
      <c r="H37" s="147"/>
      <c r="I37" s="147"/>
      <c r="J37" s="147"/>
      <c r="K37" s="147"/>
      <c r="L37" s="685"/>
      <c r="M37" s="685"/>
      <c r="N37" s="685"/>
      <c r="O37" s="701"/>
      <c r="P37" s="148"/>
      <c r="Q37" s="149"/>
    </row>
    <row r="38" spans="1:17" s="127" customFormat="1" ht="15.75" thickBot="1">
      <c r="A38" s="152" t="s">
        <v>106</v>
      </c>
      <c r="B38" s="164">
        <f>+O22</f>
        <v>520</v>
      </c>
      <c r="C38" s="164">
        <f>+C37</f>
        <v>520</v>
      </c>
      <c r="D38" s="164">
        <f>+D37</f>
        <v>509.59999999999997</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​Se cumplen la meta del indicador ; y aun asi,  el area presto apoyo con recurso humano de abogados en el plan de choque realizado por la delegada para favorecer  las solicitudes represadas por cobertura de la misma Delegada y dar oportuna atencion a la ciudadania y otros actores del SGSSS.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El Indicador correspondiente al numero de Providencias gestionadas y finalizadas por el Grupo de reconocimiento económico en el segundo trimestre del año 2025, correspondieron a un total de 140 providencias, proyectos que se ingresaron al despacho para aprobación  firma del Delegado durante el periodo comprendido entre abril a junio de 2025. Es de anotar que se ha logrado disminuir el numero de providencias represadas del año 2024 hasta lograr llegar a 34 providencias pendientes de dicho periodo , mejorando ostensiblemente la gestion .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​Se cumplió la meta establecida a pesar de la llegada de funcionarios nuevos de la CNSC a la Delegada, estos fueron muy receptivos y se les realizo la INDUCCION - CAPACITACION de la DFJC en temas especificos de sus actividades o  funciones y con ellos se hizo TUTORIA permanente por parte de los Directores, compañeros y el Delegado y asi cumplir con la meta a pesar del alto volumen de demandas por reconocimiento economico en salud.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Con la optimizacion del recurso humano en tiempos y movimientos para el estudio de este tipo de expedientes se puede lograr la meta establecida , aun asi la demanda de expedientes o quejas de este tipo son altas y el area si requiere el apoyo de nuevos profesionales en derecho para lograr mas aun la posiblidad de mayor satisfacción del usuario en oportunidad de entrega de solución juridica a sus requerimientos .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gestionado 520 procesos, con cumplimiento la meta de establecida para lo corrido de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2BDA-104C-4B15-B497-ED9A30838195}">
  <sheetPr codeName="Hoja6"/>
  <dimension ref="A1:DH143"/>
  <sheetViews>
    <sheetView topLeftCell="N1" zoomScale="70" zoomScaleNormal="70" workbookViewId="0">
      <pane xSplit="3" ySplit="4" topLeftCell="AO76" activePane="bottomRight" state="frozen"/>
      <selection activeCell="N1" sqref="N1"/>
      <selection pane="topRight" activeCell="Q1" sqref="Q1"/>
      <selection pane="bottomLeft" activeCell="N5" sqref="N5"/>
      <selection pane="bottomRight" activeCell="AY76" sqref="AY76"/>
    </sheetView>
  </sheetViews>
  <sheetFormatPr baseColWidth="10" defaultColWidth="11" defaultRowHeight="127.5" customHeight="1"/>
  <cols>
    <col min="1" max="1" width="8.5" style="68" bestFit="1" customWidth="1"/>
    <col min="2" max="9" width="10.25" style="68" customWidth="1"/>
    <col min="10" max="12" width="11" style="68"/>
    <col min="13" max="13" width="25.125" style="68" customWidth="1"/>
    <col min="14" max="14" width="11" style="68"/>
    <col min="15" max="15" width="21.5" style="68" customWidth="1"/>
    <col min="16" max="18" width="16.625" style="68" customWidth="1"/>
    <col min="19" max="19" width="20.375" style="68" customWidth="1"/>
    <col min="20" max="22" width="11" style="68"/>
    <col min="23" max="23" width="11.125" style="68" bestFit="1" customWidth="1"/>
    <col min="24" max="24" width="11.125" style="319" bestFit="1" customWidth="1"/>
    <col min="25" max="36" width="9.875" style="68" customWidth="1"/>
    <col min="37" max="39" width="11" style="68"/>
    <col min="40" max="40" width="18.625" style="68" bestFit="1" customWidth="1"/>
    <col min="41" max="41" width="20.125" style="68" customWidth="1"/>
    <col min="42" max="42" width="8.25" style="68" customWidth="1"/>
    <col min="43" max="44" width="5.25" style="372" customWidth="1"/>
    <col min="45" max="45" width="7" style="372" customWidth="1"/>
    <col min="46" max="46" width="6.875" style="372" customWidth="1"/>
    <col min="47" max="47" width="5.25" style="372" customWidth="1"/>
    <col min="48" max="48" width="6" style="372" customWidth="1"/>
    <col min="49" max="49" width="5.25" style="372" customWidth="1"/>
    <col min="50" max="50" width="6.5" style="372" customWidth="1"/>
    <col min="51" max="51" width="13.125" style="372" customWidth="1"/>
    <col min="52" max="53" width="5.25" style="372" customWidth="1"/>
    <col min="54" max="54" width="14.625" style="372" customWidth="1"/>
    <col min="55" max="65" width="5.25" style="221" customWidth="1"/>
    <col min="66" max="66" width="10" style="221" customWidth="1"/>
    <col min="67" max="67" width="7.25" style="210" customWidth="1"/>
    <col min="68" max="68" width="38.75" style="210" customWidth="1"/>
    <col min="69" max="69" width="66.625" style="210" customWidth="1"/>
    <col min="70" max="70" width="65.375" style="210" customWidth="1"/>
    <col min="71" max="71" width="61.625" style="210" customWidth="1"/>
    <col min="72" max="72" width="66.625" style="210" customWidth="1"/>
    <col min="73" max="74" width="55.75" style="210" customWidth="1"/>
    <col min="75" max="75" width="66.625" style="210" customWidth="1"/>
    <col min="76" max="77" width="17.25" style="210" customWidth="1"/>
    <col min="78" max="78" width="66.625" style="210" customWidth="1"/>
    <col min="79" max="79" width="4.875" style="251" customWidth="1"/>
    <col min="80" max="80" width="32.875" style="451" customWidth="1"/>
    <col min="81" max="82" width="17.625" style="362" customWidth="1"/>
    <col min="83" max="86" width="7.625" style="68" customWidth="1"/>
    <col min="87" max="87" width="14.125" style="68" bestFit="1" customWidth="1"/>
    <col min="88" max="88" width="3.125" style="68" bestFit="1" customWidth="1"/>
    <col min="89" max="89" width="11.125" style="68" bestFit="1" customWidth="1"/>
    <col min="90" max="90" width="28.625" style="68" bestFit="1" customWidth="1"/>
    <col min="91" max="91" width="41.625" style="68" bestFit="1" customWidth="1"/>
    <col min="92" max="92" width="22.625" style="68" bestFit="1" customWidth="1"/>
    <col min="93" max="93" width="23.125" style="68" bestFit="1" customWidth="1"/>
    <col min="94" max="94" width="12.625" style="68" bestFit="1" customWidth="1"/>
    <col min="95" max="95" width="11.125" style="68" bestFit="1" customWidth="1"/>
    <col min="96" max="96" width="16.125" style="68" bestFit="1" customWidth="1"/>
    <col min="97" max="105" width="11" style="68"/>
    <col min="106" max="106" width="25.125" style="415" bestFit="1" customWidth="1"/>
    <col min="107" max="107" width="26" style="415" bestFit="1" customWidth="1"/>
    <col min="108" max="108" width="11.5" style="415" bestFit="1" customWidth="1"/>
    <col min="109" max="109" width="12" style="415" bestFit="1" customWidth="1"/>
    <col min="110" max="110" width="2.625" style="415" bestFit="1" customWidth="1"/>
    <col min="111" max="111" width="12.625" style="415" bestFit="1" customWidth="1"/>
    <col min="112" max="16384" width="11" style="68"/>
  </cols>
  <sheetData>
    <row r="1" spans="1:112" s="250" customFormat="1" ht="22.5" customHeight="1">
      <c r="A1" s="249">
        <v>1</v>
      </c>
      <c r="B1" s="249">
        <v>2</v>
      </c>
      <c r="C1" s="249">
        <v>3</v>
      </c>
      <c r="D1" s="249">
        <v>4</v>
      </c>
      <c r="E1" s="249">
        <v>5</v>
      </c>
      <c r="F1" s="249">
        <v>6</v>
      </c>
      <c r="G1" s="249">
        <v>7</v>
      </c>
      <c r="H1" s="249">
        <v>8</v>
      </c>
      <c r="I1" s="249">
        <v>9</v>
      </c>
      <c r="J1" s="249">
        <v>10</v>
      </c>
      <c r="K1" s="249">
        <v>11</v>
      </c>
      <c r="L1" s="249">
        <v>12</v>
      </c>
      <c r="M1" s="249">
        <v>13</v>
      </c>
      <c r="N1" s="250">
        <v>1</v>
      </c>
      <c r="O1" s="250">
        <v>2</v>
      </c>
      <c r="P1" s="250">
        <v>3</v>
      </c>
      <c r="Q1" s="250">
        <v>4</v>
      </c>
      <c r="R1" s="250">
        <v>5</v>
      </c>
      <c r="S1" s="250">
        <v>6</v>
      </c>
      <c r="T1" s="250">
        <v>7</v>
      </c>
      <c r="U1" s="250">
        <v>8</v>
      </c>
      <c r="V1" s="250">
        <v>9</v>
      </c>
      <c r="W1" s="250">
        <v>10</v>
      </c>
      <c r="X1" s="294">
        <v>11</v>
      </c>
      <c r="Y1" s="250">
        <v>12</v>
      </c>
      <c r="Z1" s="250">
        <v>13</v>
      </c>
      <c r="AA1" s="250">
        <v>14</v>
      </c>
      <c r="AB1" s="250">
        <v>15</v>
      </c>
      <c r="AC1" s="250">
        <v>16</v>
      </c>
      <c r="AD1" s="250">
        <v>17</v>
      </c>
      <c r="AE1" s="250">
        <v>18</v>
      </c>
      <c r="AF1" s="250">
        <v>19</v>
      </c>
      <c r="AG1" s="250">
        <v>20</v>
      </c>
      <c r="AH1" s="250">
        <v>21</v>
      </c>
      <c r="AI1" s="250">
        <v>22</v>
      </c>
      <c r="AJ1" s="250">
        <v>23</v>
      </c>
      <c r="AK1" s="250">
        <v>24</v>
      </c>
      <c r="AL1" s="250">
        <v>25</v>
      </c>
      <c r="AM1" s="250">
        <v>26</v>
      </c>
      <c r="AN1" s="250">
        <v>27</v>
      </c>
      <c r="AO1" s="250">
        <v>28</v>
      </c>
      <c r="AP1" s="250">
        <v>29</v>
      </c>
      <c r="AQ1" s="364">
        <v>30</v>
      </c>
      <c r="AR1" s="364">
        <v>31</v>
      </c>
      <c r="AS1" s="364">
        <v>32</v>
      </c>
      <c r="AT1" s="364">
        <v>33</v>
      </c>
      <c r="AU1" s="364">
        <v>34</v>
      </c>
      <c r="AV1" s="364">
        <v>35</v>
      </c>
      <c r="AW1" s="364">
        <v>36</v>
      </c>
      <c r="AX1" s="364">
        <v>37</v>
      </c>
      <c r="AY1" s="364">
        <v>38</v>
      </c>
      <c r="AZ1" s="364">
        <v>39</v>
      </c>
      <c r="BA1" s="364">
        <v>40</v>
      </c>
      <c r="BB1" s="364">
        <v>41</v>
      </c>
      <c r="BC1" s="250">
        <v>42</v>
      </c>
      <c r="BD1" s="250">
        <v>43</v>
      </c>
      <c r="BE1" s="250">
        <v>44</v>
      </c>
      <c r="BF1" s="250">
        <v>45</v>
      </c>
      <c r="BG1" s="250">
        <v>46</v>
      </c>
      <c r="BH1" s="250">
        <v>47</v>
      </c>
      <c r="BI1" s="250">
        <v>48</v>
      </c>
      <c r="BJ1" s="250">
        <v>49</v>
      </c>
      <c r="BK1" s="250">
        <v>50</v>
      </c>
      <c r="BL1" s="250">
        <v>51</v>
      </c>
      <c r="BM1" s="250">
        <v>52</v>
      </c>
      <c r="BN1" s="250">
        <v>53</v>
      </c>
      <c r="BO1" s="251">
        <v>54</v>
      </c>
      <c r="BP1" s="251">
        <v>55</v>
      </c>
      <c r="BQ1" s="251">
        <v>56</v>
      </c>
      <c r="BR1" s="251">
        <v>57</v>
      </c>
      <c r="BS1" s="251">
        <v>58</v>
      </c>
      <c r="BT1" s="251">
        <v>59</v>
      </c>
      <c r="BU1" s="251">
        <v>60</v>
      </c>
      <c r="BV1" s="251">
        <v>61</v>
      </c>
      <c r="BW1" s="251">
        <v>62</v>
      </c>
      <c r="BX1" s="251">
        <v>63</v>
      </c>
      <c r="BY1" s="251">
        <v>64</v>
      </c>
      <c r="BZ1" s="251">
        <v>65</v>
      </c>
      <c r="CA1" s="251">
        <v>66</v>
      </c>
      <c r="CB1" s="442">
        <v>715</v>
      </c>
      <c r="CC1" s="353"/>
      <c r="CD1" s="353"/>
      <c r="CJ1" s="385"/>
      <c r="DB1" s="409"/>
      <c r="DC1" s="409"/>
      <c r="DD1" s="409"/>
      <c r="DE1" s="409"/>
      <c r="DF1" s="409"/>
      <c r="DG1" s="409"/>
    </row>
    <row r="2" spans="1:112" s="252" customFormat="1" ht="22.5" customHeight="1">
      <c r="B2" s="253" t="s">
        <v>821</v>
      </c>
      <c r="C2" s="254"/>
      <c r="D2" s="254"/>
      <c r="E2" s="254"/>
      <c r="F2" s="254"/>
      <c r="G2" s="254"/>
      <c r="H2" s="255"/>
      <c r="I2" s="256" t="s">
        <v>822</v>
      </c>
      <c r="J2" s="257"/>
      <c r="K2" s="258"/>
      <c r="L2" s="258"/>
      <c r="M2" s="259"/>
      <c r="N2" s="254"/>
      <c r="O2" s="259"/>
      <c r="P2" s="259"/>
      <c r="Q2" s="259"/>
      <c r="R2" s="259"/>
      <c r="S2" s="259"/>
      <c r="T2" s="259"/>
      <c r="U2" s="259"/>
      <c r="V2" s="260"/>
      <c r="W2" s="256" t="s">
        <v>823</v>
      </c>
      <c r="X2" s="295"/>
      <c r="Y2" s="261"/>
      <c r="Z2" s="261"/>
      <c r="AA2" s="261"/>
      <c r="AB2" s="262"/>
      <c r="AC2" s="257"/>
      <c r="AD2" s="257"/>
      <c r="AE2" s="257"/>
      <c r="AF2" s="257"/>
      <c r="AG2" s="257"/>
      <c r="AH2" s="257"/>
      <c r="AI2" s="257"/>
      <c r="AJ2" s="256"/>
      <c r="AK2" s="256" t="s">
        <v>824</v>
      </c>
      <c r="AL2" s="263"/>
      <c r="AM2" s="263"/>
      <c r="AN2" s="263"/>
      <c r="AO2" s="264"/>
      <c r="AP2" s="265">
        <v>1</v>
      </c>
      <c r="AQ2" s="365">
        <v>2</v>
      </c>
      <c r="AR2" s="366">
        <v>3</v>
      </c>
      <c r="AS2" s="365">
        <v>4</v>
      </c>
      <c r="AT2" s="366">
        <v>5</v>
      </c>
      <c r="AU2" s="365">
        <v>6</v>
      </c>
      <c r="AV2" s="366">
        <v>7</v>
      </c>
      <c r="AW2" s="365">
        <v>8</v>
      </c>
      <c r="AX2" s="366">
        <v>9</v>
      </c>
      <c r="AY2" s="365">
        <v>10</v>
      </c>
      <c r="AZ2" s="366">
        <v>11</v>
      </c>
      <c r="BA2" s="365">
        <v>12</v>
      </c>
      <c r="BB2" s="366">
        <v>13</v>
      </c>
      <c r="BC2" s="266">
        <v>14</v>
      </c>
      <c r="BD2" s="265">
        <v>15</v>
      </c>
      <c r="BE2" s="266">
        <v>16</v>
      </c>
      <c r="BF2" s="265">
        <v>17</v>
      </c>
      <c r="BG2" s="266">
        <v>18</v>
      </c>
      <c r="BH2" s="265">
        <v>19</v>
      </c>
      <c r="BI2" s="266">
        <v>20</v>
      </c>
      <c r="BJ2" s="265">
        <v>21</v>
      </c>
      <c r="BK2" s="266">
        <v>22</v>
      </c>
      <c r="BL2" s="265">
        <v>23</v>
      </c>
      <c r="BM2" s="266">
        <v>24</v>
      </c>
      <c r="BN2" s="265">
        <v>25</v>
      </c>
      <c r="BO2" s="443">
        <v>26</v>
      </c>
      <c r="BP2" s="444">
        <v>27</v>
      </c>
      <c r="BQ2" s="443">
        <v>28</v>
      </c>
      <c r="BR2" s="444">
        <v>29</v>
      </c>
      <c r="BS2" s="443">
        <v>30</v>
      </c>
      <c r="BT2" s="444">
        <v>31</v>
      </c>
      <c r="BU2" s="443">
        <v>32</v>
      </c>
      <c r="BV2" s="444">
        <v>33</v>
      </c>
      <c r="BW2" s="443">
        <v>34</v>
      </c>
      <c r="BX2" s="444">
        <v>35</v>
      </c>
      <c r="BY2" s="443">
        <v>36</v>
      </c>
      <c r="BZ2" s="444">
        <v>37</v>
      </c>
      <c r="CA2" s="443">
        <v>38</v>
      </c>
      <c r="CB2" s="445"/>
      <c r="CC2" s="354"/>
      <c r="CD2" s="354"/>
      <c r="CJ2" s="386"/>
      <c r="CL2" s="457">
        <v>1.2124999999999999</v>
      </c>
      <c r="DB2" s="410"/>
      <c r="DC2" s="410"/>
      <c r="DD2" s="410"/>
      <c r="DE2" s="410"/>
      <c r="DF2" s="410"/>
      <c r="DG2" s="410"/>
    </row>
    <row r="3" spans="1:112" s="71" customFormat="1" ht="26.25" thickBot="1">
      <c r="A3" s="271" t="s">
        <v>825</v>
      </c>
      <c r="B3" s="647" t="s">
        <v>826</v>
      </c>
      <c r="C3" s="647" t="s">
        <v>827</v>
      </c>
      <c r="D3" s="647" t="s">
        <v>828</v>
      </c>
      <c r="E3" s="647" t="s">
        <v>829</v>
      </c>
      <c r="F3" s="647" t="s">
        <v>830</v>
      </c>
      <c r="G3" s="647" t="s">
        <v>831</v>
      </c>
      <c r="H3" s="647" t="s">
        <v>832</v>
      </c>
      <c r="I3" s="647" t="s">
        <v>0</v>
      </c>
      <c r="J3" s="647" t="s">
        <v>833</v>
      </c>
      <c r="K3" s="647" t="s">
        <v>834</v>
      </c>
      <c r="L3" s="647" t="s">
        <v>835</v>
      </c>
      <c r="M3" s="647" t="s">
        <v>836</v>
      </c>
      <c r="N3" s="69" t="s">
        <v>825</v>
      </c>
      <c r="O3" s="649"/>
      <c r="P3" s="650"/>
      <c r="Q3" s="650"/>
      <c r="R3" s="651"/>
      <c r="S3" s="649" t="s">
        <v>14</v>
      </c>
      <c r="T3" s="650"/>
      <c r="U3" s="650"/>
      <c r="V3" s="651"/>
      <c r="W3" s="70" t="s">
        <v>837</v>
      </c>
      <c r="X3" s="652" t="s">
        <v>838</v>
      </c>
      <c r="Y3" s="653"/>
      <c r="Z3" s="653"/>
      <c r="AA3" s="653"/>
      <c r="AB3" s="653"/>
      <c r="AC3" s="653"/>
      <c r="AD3" s="653"/>
      <c r="AE3" s="653"/>
      <c r="AF3" s="653"/>
      <c r="AG3" s="653"/>
      <c r="AH3" s="653"/>
      <c r="AI3" s="653"/>
      <c r="AJ3" s="654"/>
      <c r="AK3" s="647" t="s">
        <v>839</v>
      </c>
      <c r="AL3" s="647" t="s">
        <v>840</v>
      </c>
      <c r="AM3" s="649" t="s">
        <v>841</v>
      </c>
      <c r="AN3" s="651"/>
      <c r="AO3" s="69" t="s">
        <v>842</v>
      </c>
      <c r="AP3" s="222"/>
      <c r="AQ3" s="367" t="s">
        <v>172</v>
      </c>
      <c r="AR3" s="368"/>
      <c r="AS3" s="368"/>
      <c r="AT3" s="368"/>
      <c r="AU3" s="368"/>
      <c r="AV3" s="368"/>
      <c r="AW3" s="368"/>
      <c r="AX3" s="368"/>
      <c r="AY3" s="368"/>
      <c r="AZ3" s="368"/>
      <c r="BA3" s="368"/>
      <c r="BB3" s="368"/>
      <c r="BC3" s="223" t="s">
        <v>843</v>
      </c>
      <c r="BD3" s="224"/>
      <c r="BE3" s="224"/>
      <c r="BF3" s="224"/>
      <c r="BG3" s="224"/>
      <c r="BH3" s="224"/>
      <c r="BI3" s="224"/>
      <c r="BJ3" s="224"/>
      <c r="BK3" s="224"/>
      <c r="BL3" s="224"/>
      <c r="BM3" s="224"/>
      <c r="BN3" s="224"/>
      <c r="BO3" s="212" t="s">
        <v>844</v>
      </c>
      <c r="BP3" s="212"/>
      <c r="BQ3" s="212"/>
      <c r="BR3" s="212"/>
      <c r="BS3" s="212"/>
      <c r="BT3" s="212"/>
      <c r="BU3" s="212"/>
      <c r="BV3" s="212"/>
      <c r="BW3" s="212"/>
      <c r="BX3" s="212"/>
      <c r="BY3" s="212"/>
      <c r="BZ3" s="212"/>
      <c r="CA3" s="446"/>
      <c r="CB3" s="447"/>
      <c r="CC3" s="355"/>
      <c r="CD3" s="356">
        <f>99.6/90</f>
        <v>1.1066666666666667</v>
      </c>
      <c r="DB3" s="411" t="s">
        <v>3526</v>
      </c>
      <c r="DC3" s="411" t="s">
        <v>162</v>
      </c>
      <c r="DD3" s="272"/>
      <c r="DE3" s="272"/>
      <c r="DF3" s="272"/>
      <c r="DG3" s="272"/>
    </row>
    <row r="4" spans="1:112" s="71" customFormat="1" ht="64.5" thickBot="1">
      <c r="A4" s="271" t="s">
        <v>845</v>
      </c>
      <c r="B4" s="648"/>
      <c r="C4" s="648"/>
      <c r="D4" s="648"/>
      <c r="E4" s="648"/>
      <c r="F4" s="648"/>
      <c r="G4" s="648"/>
      <c r="H4" s="648"/>
      <c r="I4" s="648"/>
      <c r="J4" s="648"/>
      <c r="K4" s="648"/>
      <c r="L4" s="648"/>
      <c r="M4" s="648"/>
      <c r="N4" s="72" t="s">
        <v>845</v>
      </c>
      <c r="O4" s="72" t="s">
        <v>846</v>
      </c>
      <c r="P4" s="72" t="s">
        <v>847</v>
      </c>
      <c r="Q4" s="72" t="s">
        <v>848</v>
      </c>
      <c r="R4" s="72" t="s">
        <v>849</v>
      </c>
      <c r="S4" s="69" t="s">
        <v>3403</v>
      </c>
      <c r="T4" s="72" t="s">
        <v>850</v>
      </c>
      <c r="U4" s="72" t="s">
        <v>851</v>
      </c>
      <c r="V4" s="72" t="s">
        <v>852</v>
      </c>
      <c r="W4" s="73"/>
      <c r="X4" s="296" t="s">
        <v>853</v>
      </c>
      <c r="Y4" s="72" t="s">
        <v>138</v>
      </c>
      <c r="Z4" s="72" t="s">
        <v>139</v>
      </c>
      <c r="AA4" s="72" t="s">
        <v>140</v>
      </c>
      <c r="AB4" s="72" t="s">
        <v>141</v>
      </c>
      <c r="AC4" s="72" t="s">
        <v>142</v>
      </c>
      <c r="AD4" s="72" t="s">
        <v>143</v>
      </c>
      <c r="AE4" s="72" t="s">
        <v>144</v>
      </c>
      <c r="AF4" s="72" t="s">
        <v>145</v>
      </c>
      <c r="AG4" s="72" t="s">
        <v>146</v>
      </c>
      <c r="AH4" s="72" t="s">
        <v>147</v>
      </c>
      <c r="AI4" s="72" t="s">
        <v>148</v>
      </c>
      <c r="AJ4" s="72" t="s">
        <v>149</v>
      </c>
      <c r="AK4" s="648"/>
      <c r="AL4" s="648"/>
      <c r="AM4" s="72" t="s">
        <v>854</v>
      </c>
      <c r="AN4" s="74" t="s">
        <v>855</v>
      </c>
      <c r="AO4" s="69"/>
      <c r="AP4" s="74" t="s">
        <v>181</v>
      </c>
      <c r="AQ4" s="369" t="s">
        <v>94</v>
      </c>
      <c r="AR4" s="369" t="s">
        <v>95</v>
      </c>
      <c r="AS4" s="369" t="s">
        <v>96</v>
      </c>
      <c r="AT4" s="369" t="s">
        <v>97</v>
      </c>
      <c r="AU4" s="369" t="s">
        <v>98</v>
      </c>
      <c r="AV4" s="369" t="s">
        <v>99</v>
      </c>
      <c r="AW4" s="369" t="s">
        <v>100</v>
      </c>
      <c r="AX4" s="369" t="s">
        <v>101</v>
      </c>
      <c r="AY4" s="369" t="s">
        <v>102</v>
      </c>
      <c r="AZ4" s="369" t="s">
        <v>103</v>
      </c>
      <c r="BA4" s="369" t="s">
        <v>104</v>
      </c>
      <c r="BB4" s="369" t="s">
        <v>105</v>
      </c>
      <c r="BC4" s="225" t="s">
        <v>94</v>
      </c>
      <c r="BD4" s="225" t="s">
        <v>95</v>
      </c>
      <c r="BE4" s="225" t="s">
        <v>96</v>
      </c>
      <c r="BF4" s="225" t="s">
        <v>97</v>
      </c>
      <c r="BG4" s="225" t="s">
        <v>98</v>
      </c>
      <c r="BH4" s="225" t="s">
        <v>99</v>
      </c>
      <c r="BI4" s="225" t="s">
        <v>100</v>
      </c>
      <c r="BJ4" s="225" t="s">
        <v>101</v>
      </c>
      <c r="BK4" s="225" t="s">
        <v>102</v>
      </c>
      <c r="BL4" s="225" t="s">
        <v>103</v>
      </c>
      <c r="BM4" s="225" t="s">
        <v>104</v>
      </c>
      <c r="BN4" s="225" t="s">
        <v>105</v>
      </c>
      <c r="BO4" s="213" t="s">
        <v>94</v>
      </c>
      <c r="BP4" s="213" t="s">
        <v>95</v>
      </c>
      <c r="BQ4" s="213" t="s">
        <v>96</v>
      </c>
      <c r="BR4" s="213" t="s">
        <v>97</v>
      </c>
      <c r="BS4" s="213" t="s">
        <v>98</v>
      </c>
      <c r="BT4" s="213" t="s">
        <v>99</v>
      </c>
      <c r="BU4" s="213" t="s">
        <v>100</v>
      </c>
      <c r="BV4" s="213" t="s">
        <v>101</v>
      </c>
      <c r="BW4" s="213" t="s">
        <v>102</v>
      </c>
      <c r="BX4" s="213" t="s">
        <v>103</v>
      </c>
      <c r="BY4" s="213" t="s">
        <v>104</v>
      </c>
      <c r="BZ4" s="213" t="s">
        <v>105</v>
      </c>
      <c r="CA4" s="448" t="s">
        <v>2829</v>
      </c>
      <c r="CB4" s="448" t="s">
        <v>3397</v>
      </c>
      <c r="CC4" s="357" t="s">
        <v>3411</v>
      </c>
      <c r="CD4" s="357" t="s">
        <v>3412</v>
      </c>
      <c r="CE4" s="271"/>
      <c r="CF4" s="271" t="s">
        <v>3404</v>
      </c>
      <c r="CG4" s="271"/>
      <c r="CH4" s="271"/>
      <c r="CI4" s="271"/>
      <c r="CJ4" s="271"/>
      <c r="CK4" s="375" t="s">
        <v>3504</v>
      </c>
      <c r="CL4" s="375" t="s">
        <v>846</v>
      </c>
      <c r="CM4" s="375" t="s">
        <v>847</v>
      </c>
      <c r="CN4" s="375" t="s">
        <v>3505</v>
      </c>
      <c r="CO4" s="375" t="s">
        <v>3506</v>
      </c>
      <c r="CP4" s="375" t="s">
        <v>3512</v>
      </c>
      <c r="CQ4" s="375" t="s">
        <v>3507</v>
      </c>
      <c r="CR4" s="375" t="s">
        <v>3508</v>
      </c>
      <c r="DB4" s="412" t="s">
        <v>170</v>
      </c>
      <c r="DC4" s="350" t="s">
        <v>3509</v>
      </c>
      <c r="DD4" s="350" t="s">
        <v>3511</v>
      </c>
      <c r="DE4" s="350" t="s">
        <v>3510</v>
      </c>
      <c r="DF4" s="350" t="s">
        <v>876</v>
      </c>
      <c r="DG4" s="350" t="s">
        <v>171</v>
      </c>
    </row>
    <row r="5" spans="1:112" s="83" customFormat="1" ht="409.6" thickTop="1" thickBot="1">
      <c r="A5" s="83" t="s">
        <v>272</v>
      </c>
      <c r="B5" s="75" t="s">
        <v>198</v>
      </c>
      <c r="C5" s="75" t="s">
        <v>856</v>
      </c>
      <c r="D5" s="75" t="s">
        <v>857</v>
      </c>
      <c r="E5" s="75" t="s">
        <v>858</v>
      </c>
      <c r="F5" s="75" t="s">
        <v>859</v>
      </c>
      <c r="G5" s="75" t="s">
        <v>189</v>
      </c>
      <c r="H5" s="75" t="s">
        <v>860</v>
      </c>
      <c r="I5" s="76" t="s">
        <v>861</v>
      </c>
      <c r="J5" s="76" t="s">
        <v>862</v>
      </c>
      <c r="K5" s="77" t="s">
        <v>863</v>
      </c>
      <c r="L5" s="77" t="s">
        <v>864</v>
      </c>
      <c r="M5" s="76" t="s">
        <v>273</v>
      </c>
      <c r="N5" s="76" t="s">
        <v>272</v>
      </c>
      <c r="O5" s="77" t="s">
        <v>865</v>
      </c>
      <c r="P5" s="77" t="s">
        <v>866</v>
      </c>
      <c r="Q5" s="77" t="s">
        <v>867</v>
      </c>
      <c r="R5" s="77" t="s">
        <v>868</v>
      </c>
      <c r="S5" s="77" t="s">
        <v>869</v>
      </c>
      <c r="T5" s="76" t="s">
        <v>870</v>
      </c>
      <c r="U5" s="76" t="s">
        <v>871</v>
      </c>
      <c r="V5" s="76" t="s">
        <v>872</v>
      </c>
      <c r="W5" s="78">
        <v>0.44</v>
      </c>
      <c r="X5" s="384">
        <v>0.66666666666666663</v>
      </c>
      <c r="Y5" s="76"/>
      <c r="Z5" s="76"/>
      <c r="AA5" s="79">
        <v>0.5</v>
      </c>
      <c r="AB5" s="76"/>
      <c r="AC5" s="76"/>
      <c r="AD5" s="80">
        <v>0.55000000000000004</v>
      </c>
      <c r="AE5" s="81"/>
      <c r="AF5" s="81"/>
      <c r="AG5" s="80">
        <v>0.6</v>
      </c>
      <c r="AH5" s="80"/>
      <c r="AI5" s="80"/>
      <c r="AJ5" s="80">
        <v>0.66</v>
      </c>
      <c r="AK5" s="76" t="s">
        <v>873</v>
      </c>
      <c r="AL5" s="76" t="s">
        <v>873</v>
      </c>
      <c r="AM5" s="76" t="s">
        <v>873</v>
      </c>
      <c r="AN5" s="76" t="s">
        <v>873</v>
      </c>
      <c r="AO5" s="76" t="s">
        <v>874</v>
      </c>
      <c r="AP5" s="82" t="s">
        <v>272</v>
      </c>
      <c r="AQ5" s="370">
        <f>+VLOOKUP(AP5,SharePoint!$BA$3:$BY$140,2,FALSE)</f>
        <v>0</v>
      </c>
      <c r="AR5" s="370">
        <f>+VLOOKUP(AP5,SharePoint!$BA$3:$BY$140,3,FALSE)</f>
        <v>0</v>
      </c>
      <c r="AS5" s="370">
        <f>+VLOOKUP(AP5,SharePoint!$BA$3:$BY$140,4,FALSE)</f>
        <v>4.625</v>
      </c>
      <c r="AT5" s="370">
        <f>+VLOOKUP(AP5,SharePoint!$BA$3:$BY$140,5,FALSE)</f>
        <v>0</v>
      </c>
      <c r="AU5" s="370">
        <f>+VLOOKUP(AP5,SharePoint!$BA$3:$BY$140,6,FALSE)</f>
        <v>0</v>
      </c>
      <c r="AV5" s="370">
        <f>+VLOOKUP(AP5,SharePoint!$BA$3:$BY$140,7,FALSE)</f>
        <v>5</v>
      </c>
      <c r="AW5" s="370">
        <f>+VLOOKUP(AP5,SharePoint!$BA$3:$BY$140,8,FALSE)</f>
        <v>0</v>
      </c>
      <c r="AX5" s="370">
        <f>+VLOOKUP(AP5,SharePoint!$BA$3:$BY$140,9,FALSE)</f>
        <v>0</v>
      </c>
      <c r="AY5" s="370">
        <f>+VLOOKUP(AP5,SharePoint!$BA$3:$BY$140,10,FALSE)</f>
        <v>5.75</v>
      </c>
      <c r="AZ5" s="370">
        <f>+VLOOKUP(AP5,SharePoint!$BA$3:$BY$140,11,FALSE)</f>
        <v>0</v>
      </c>
      <c r="BA5" s="370">
        <f>+VLOOKUP(AP5,SharePoint!$BA$3:$BY$140,12,FALSE)</f>
        <v>0</v>
      </c>
      <c r="BB5" s="363">
        <v>6</v>
      </c>
      <c r="BC5" s="226">
        <f>+VLOOKUP(AP5,SharePoint!$BA$3:$BY$140,14,FALSE)</f>
        <v>0</v>
      </c>
      <c r="BD5" s="226">
        <f>+VLOOKUP(AP5,SharePoint!$BA$3:$BY$140,15,FALSE)</f>
        <v>0</v>
      </c>
      <c r="BE5" s="226">
        <f>+VLOOKUP(AP5,SharePoint!$BA$3:$BY$140,16,FALSE)</f>
        <v>9</v>
      </c>
      <c r="BF5" s="226">
        <f>+VLOOKUP(AP5,SharePoint!$BA$3:$BY$140,17,FALSE)</f>
        <v>0</v>
      </c>
      <c r="BG5" s="226">
        <f>+VLOOKUP(AP5,SharePoint!$BA$3:$BY$140,18,FALSE)</f>
        <v>0</v>
      </c>
      <c r="BH5" s="226">
        <f>+VLOOKUP(AP5,SharePoint!$BA$3:$BY$140,19,FALSE)</f>
        <v>9</v>
      </c>
      <c r="BI5" s="226">
        <f>+VLOOKUP(AP5,SharePoint!$BA$3:$BY$140,20,FALSE)</f>
        <v>0</v>
      </c>
      <c r="BJ5" s="226">
        <f>+VLOOKUP(AP5,SharePoint!$BA$3:$BY$140,21,FALSE)</f>
        <v>0</v>
      </c>
      <c r="BK5" s="226">
        <f>+VLOOKUP(AP5,SharePoint!$BA$3:$BY$140,22,FALSE)</f>
        <v>9</v>
      </c>
      <c r="BL5" s="226">
        <f>+VLOOKUP(AP5,SharePoint!$BA$3:$BY$140,23,FALSE)</f>
        <v>0</v>
      </c>
      <c r="BM5" s="226">
        <f>+VLOOKUP(AP5,SharePoint!$BA$3:$BY$140,24,FALSE)</f>
        <v>0</v>
      </c>
      <c r="BN5" s="344">
        <v>9</v>
      </c>
      <c r="BO5" s="214" t="s">
        <v>873</v>
      </c>
      <c r="BP5" s="214" t="s">
        <v>873</v>
      </c>
      <c r="BQ5" s="215" t="s">
        <v>3022</v>
      </c>
      <c r="BR5" s="214" t="s">
        <v>873</v>
      </c>
      <c r="BS5" s="214" t="s">
        <v>873</v>
      </c>
      <c r="BT5" s="215" t="s">
        <v>3023</v>
      </c>
      <c r="BU5" s="214" t="s">
        <v>873</v>
      </c>
      <c r="BV5" s="214" t="s">
        <v>873</v>
      </c>
      <c r="BW5" s="214" t="s">
        <v>3124</v>
      </c>
      <c r="BX5" s="214" t="s">
        <v>875</v>
      </c>
      <c r="BY5" s="214" t="s">
        <v>875</v>
      </c>
      <c r="BZ5" s="214" t="s">
        <v>3383</v>
      </c>
      <c r="CA5" s="449">
        <v>1</v>
      </c>
      <c r="CB5" s="373" t="s">
        <v>3533</v>
      </c>
      <c r="CC5" s="358">
        <v>6</v>
      </c>
      <c r="CD5" s="358">
        <v>9</v>
      </c>
      <c r="CE5" s="382">
        <f>+CC5/CD5</f>
        <v>0.66666666666666663</v>
      </c>
      <c r="CF5" s="382">
        <f>+X5</f>
        <v>0.66666666666666663</v>
      </c>
      <c r="CG5" s="327" t="s">
        <v>3509</v>
      </c>
      <c r="CH5" s="327" t="str">
        <f>+U5</f>
        <v xml:space="preserve">Porcentual </v>
      </c>
      <c r="CI5" s="327"/>
      <c r="CJ5" s="381">
        <v>1</v>
      </c>
      <c r="CK5" s="376" t="str">
        <f>+AO5</f>
        <v xml:space="preserve">Delegatura para Entidades Territoriales y Generadores y Recaudadores y Administradores de Recursos del SGSSS </v>
      </c>
      <c r="CL5" s="376" t="str">
        <f>+O5</f>
        <v>Porcentaje del total de Actores del sistema con acciones de inspección y vigilancia por parte de la Dirección Regional
* Nota: Se calcula por Dirección Regional - ocho indicadores</v>
      </c>
      <c r="CM5" s="376" t="str">
        <f>+P5</f>
        <v>(Número de categoría de Actores del sistema con acciones de inspección y vigilancia por parte de la Direcciones regional / 09 categorías de actores del sistema sujeto de acciones de inspección y vigilancia de la SNS)*100.
* Nota: Se calcula por Dirección Regional - ocho indicadores</v>
      </c>
      <c r="CN5" s="389">
        <f>+CC5</f>
        <v>6</v>
      </c>
      <c r="CO5" s="389">
        <f>+CD5</f>
        <v>9</v>
      </c>
      <c r="CP5" s="388">
        <f>+CN5/CO5</f>
        <v>0.66666666666666663</v>
      </c>
      <c r="CQ5" s="377">
        <f>+CF5</f>
        <v>0.66666666666666663</v>
      </c>
      <c r="CR5" s="377" t="str">
        <f>+CG5</f>
        <v>CUMPLIO</v>
      </c>
      <c r="CS5" s="380"/>
      <c r="CT5" s="380"/>
      <c r="CU5" s="380"/>
      <c r="CV5" s="380"/>
      <c r="CW5" s="380"/>
      <c r="CX5" s="380"/>
      <c r="CY5" s="380"/>
      <c r="DB5" s="413" t="s">
        <v>348</v>
      </c>
      <c r="DC5" s="272">
        <v>1</v>
      </c>
      <c r="DD5" s="272">
        <v>3</v>
      </c>
      <c r="DE5" s="272"/>
      <c r="DF5" s="272">
        <v>1</v>
      </c>
      <c r="DG5" s="272">
        <v>5</v>
      </c>
    </row>
    <row r="6" spans="1:112" s="83" customFormat="1" ht="409.6" thickTop="1" thickBot="1">
      <c r="A6" s="83" t="s">
        <v>278</v>
      </c>
      <c r="B6" s="75" t="s">
        <v>198</v>
      </c>
      <c r="C6" s="75" t="s">
        <v>856</v>
      </c>
      <c r="D6" s="75" t="s">
        <v>857</v>
      </c>
      <c r="E6" s="75" t="s">
        <v>858</v>
      </c>
      <c r="F6" s="75" t="s">
        <v>859</v>
      </c>
      <c r="G6" s="75" t="s">
        <v>189</v>
      </c>
      <c r="H6" s="75" t="s">
        <v>860</v>
      </c>
      <c r="I6" s="76" t="s">
        <v>861</v>
      </c>
      <c r="J6" s="76" t="s">
        <v>862</v>
      </c>
      <c r="K6" s="77" t="s">
        <v>877</v>
      </c>
      <c r="L6" s="77" t="s">
        <v>864</v>
      </c>
      <c r="M6" s="77" t="s">
        <v>878</v>
      </c>
      <c r="N6" s="76" t="s">
        <v>278</v>
      </c>
      <c r="O6" s="77" t="s">
        <v>879</v>
      </c>
      <c r="P6" s="77" t="s">
        <v>880</v>
      </c>
      <c r="Q6" s="77" t="s">
        <v>881</v>
      </c>
      <c r="R6" s="77" t="s">
        <v>882</v>
      </c>
      <c r="S6" s="77" t="s">
        <v>883</v>
      </c>
      <c r="T6" s="76" t="s">
        <v>884</v>
      </c>
      <c r="U6" s="76" t="s">
        <v>871</v>
      </c>
      <c r="V6" s="76" t="s">
        <v>872</v>
      </c>
      <c r="W6" s="78">
        <v>0</v>
      </c>
      <c r="X6" s="297">
        <v>1</v>
      </c>
      <c r="Y6" s="81"/>
      <c r="Z6" s="81"/>
      <c r="AA6" s="80">
        <v>1</v>
      </c>
      <c r="AB6" s="80"/>
      <c r="AC6" s="80"/>
      <c r="AD6" s="80">
        <v>1</v>
      </c>
      <c r="AE6" s="80"/>
      <c r="AF6" s="80"/>
      <c r="AG6" s="80">
        <v>1</v>
      </c>
      <c r="AH6" s="80"/>
      <c r="AI6" s="80"/>
      <c r="AJ6" s="80">
        <v>1</v>
      </c>
      <c r="AK6" s="76" t="s">
        <v>873</v>
      </c>
      <c r="AL6" s="76" t="s">
        <v>873</v>
      </c>
      <c r="AM6" s="76" t="s">
        <v>873</v>
      </c>
      <c r="AN6" s="76" t="s">
        <v>873</v>
      </c>
      <c r="AO6" s="76" t="s">
        <v>874</v>
      </c>
      <c r="AP6" s="82" t="s">
        <v>278</v>
      </c>
      <c r="AQ6" s="370">
        <f>+VLOOKUP(AP6,SharePoint!$BA$3:$BY$140,2,FALSE)</f>
        <v>0</v>
      </c>
      <c r="AR6" s="370">
        <f>+VLOOKUP(AP6,SharePoint!$BA$3:$BY$140,3,FALSE)</f>
        <v>0</v>
      </c>
      <c r="AS6" s="370">
        <f>+VLOOKUP(AP6,SharePoint!$BA$3:$BY$140,4,FALSE)</f>
        <v>18</v>
      </c>
      <c r="AT6" s="370">
        <f>+VLOOKUP(AP6,SharePoint!$BA$3:$BY$140,5,FALSE)</f>
        <v>0</v>
      </c>
      <c r="AU6" s="370">
        <f>+VLOOKUP(AP6,SharePoint!$BA$3:$BY$140,6,FALSE)</f>
        <v>0</v>
      </c>
      <c r="AV6" s="370">
        <f>+VLOOKUP(AP6,SharePoint!$BA$3:$BY$140,7,FALSE)</f>
        <v>23</v>
      </c>
      <c r="AW6" s="370">
        <f>+VLOOKUP(AP6,SharePoint!$BA$3:$BY$140,8,FALSE)</f>
        <v>0</v>
      </c>
      <c r="AX6" s="370">
        <f>+VLOOKUP(AP6,SharePoint!$BA$3:$BY$140,9,FALSE)</f>
        <v>0</v>
      </c>
      <c r="AY6" s="370">
        <f>+VLOOKUP(AP6,SharePoint!$BA$3:$BY$140,10,FALSE)</f>
        <v>50</v>
      </c>
      <c r="AZ6" s="370">
        <f>+VLOOKUP(AP6,SharePoint!$BA$3:$BY$140,11,FALSE)</f>
        <v>0</v>
      </c>
      <c r="BA6" s="370">
        <f>+VLOOKUP(AP6,SharePoint!$BA$3:$BY$140,12,FALSE)</f>
        <v>0</v>
      </c>
      <c r="BB6" s="370">
        <f>+VLOOKUP(AP6,SharePoint!$BA$3:$BY$140,13,FALSE)</f>
        <v>1</v>
      </c>
      <c r="BC6" s="226">
        <f>+VLOOKUP(AP6,SharePoint!$BA$3:$BY$140,14,FALSE)</f>
        <v>0</v>
      </c>
      <c r="BD6" s="226">
        <f>+VLOOKUP(AP6,SharePoint!$BA$3:$BY$140,15,FALSE)</f>
        <v>0</v>
      </c>
      <c r="BE6" s="226">
        <f>+VLOOKUP(AP6,SharePoint!$BA$3:$BY$140,16,FALSE)</f>
        <v>18</v>
      </c>
      <c r="BF6" s="226">
        <f>+VLOOKUP(AP6,SharePoint!$BA$3:$BY$140,17,FALSE)</f>
        <v>0</v>
      </c>
      <c r="BG6" s="226">
        <f>+VLOOKUP(AP6,SharePoint!$BA$3:$BY$140,18,FALSE)</f>
        <v>0</v>
      </c>
      <c r="BH6" s="226">
        <f>+VLOOKUP(AP6,SharePoint!$BA$3:$BY$140,19,FALSE)</f>
        <v>23</v>
      </c>
      <c r="BI6" s="226">
        <f>+VLOOKUP(AP6,SharePoint!$BA$3:$BY$140,20,FALSE)</f>
        <v>0</v>
      </c>
      <c r="BJ6" s="226">
        <f>+VLOOKUP(AP6,SharePoint!$BA$3:$BY$140,21,FALSE)</f>
        <v>0</v>
      </c>
      <c r="BK6" s="226">
        <f>+VLOOKUP(AP6,SharePoint!$BA$3:$BY$140,22,FALSE)</f>
        <v>50</v>
      </c>
      <c r="BL6" s="226">
        <f>+VLOOKUP(AP6,SharePoint!$BA$3:$BY$140,23,FALSE)</f>
        <v>0</v>
      </c>
      <c r="BM6" s="226">
        <f>+VLOOKUP(AP6,SharePoint!$BA$3:$BY$140,24,FALSE)</f>
        <v>0</v>
      </c>
      <c r="BN6" s="226">
        <f>+VLOOKUP(AP6,SharePoint!$BA$3:$BY$140,25,FALSE)</f>
        <v>1</v>
      </c>
      <c r="BO6" s="214" t="s">
        <v>873</v>
      </c>
      <c r="BP6" s="214" t="s">
        <v>873</v>
      </c>
      <c r="BQ6" s="215" t="s">
        <v>2952</v>
      </c>
      <c r="BR6" s="214" t="s">
        <v>873</v>
      </c>
      <c r="BS6" s="214" t="s">
        <v>873</v>
      </c>
      <c r="BT6" s="215" t="s">
        <v>2991</v>
      </c>
      <c r="BU6" s="214" t="s">
        <v>873</v>
      </c>
      <c r="BV6" s="214" t="s">
        <v>873</v>
      </c>
      <c r="BW6" s="214" t="s">
        <v>2852</v>
      </c>
      <c r="BX6" s="214" t="s">
        <v>875</v>
      </c>
      <c r="BY6" s="214" t="s">
        <v>875</v>
      </c>
      <c r="BZ6" s="214" t="s">
        <v>3390</v>
      </c>
      <c r="CA6" s="449">
        <v>1</v>
      </c>
      <c r="CB6" s="373" t="s">
        <v>3405</v>
      </c>
      <c r="CC6" s="359">
        <f t="shared" ref="CC6:CC68" si="0">+SUM(AQ6:BB6)</f>
        <v>92</v>
      </c>
      <c r="CD6" s="359">
        <f t="shared" ref="CD6:CD68" si="1">+SUM(BC6:BN6)</f>
        <v>92</v>
      </c>
      <c r="CE6" s="382">
        <f t="shared" ref="CE6:CE69" si="2">+CC6/CD6</f>
        <v>1</v>
      </c>
      <c r="CF6" s="382">
        <f t="shared" ref="CF6:CF68" si="3">+X6</f>
        <v>1</v>
      </c>
      <c r="CG6" s="327" t="s">
        <v>3509</v>
      </c>
      <c r="CH6" s="327" t="str">
        <f t="shared" ref="CH6:CH69" si="4">+U6</f>
        <v xml:space="preserve">Porcentual </v>
      </c>
      <c r="CI6" s="327"/>
      <c r="CJ6" s="381">
        <v>2</v>
      </c>
      <c r="CK6" s="378" t="str">
        <f>+AO6</f>
        <v xml:space="preserve">Delegatura para Entidades Territoriales y Generadores y Recaudadores y Administradores de Recursos del SGSSS </v>
      </c>
      <c r="CL6" s="378" t="str">
        <f>+O6</f>
        <v>Porcentaje de Nuevos territorios (Departamentos, Municipios o Distritos) impactados con acciones de IV por parte de las Direcciones Regionales sobre el total de Nuevos Territorios programados.
NOTA: Se entienden como nuevos territorios impactados, aquellos que no hayan tenido acciones de IV en la Vigencia Anterior, y sí en la actual.
NOTA 2:  Las acciones de inspección y vigilancia pueden ser auditorías, mesas de Inspección y Vigilancia, Acciones Integrales en Territorio, Estrategia de territorios Vitales, Fortalecimiento de competencias de las Entidades Territoriales, entre otras.</v>
      </c>
      <c r="CM6" s="378" t="str">
        <f>+P6</f>
        <v xml:space="preserve">(Número de nuevos territorios impactados con Acciones de IV / Número de Nuevos territorios programados por la Direcciones Regionales para intervenir)*100
(NOTA: Tanto en el número de territorios impactados como en el total de territorios programados se hace la sumatoria de las regionales) </v>
      </c>
      <c r="CN6" s="390">
        <f>+CC6</f>
        <v>92</v>
      </c>
      <c r="CO6" s="390">
        <f>+CD6</f>
        <v>92</v>
      </c>
      <c r="CP6" s="387">
        <f t="shared" ref="CP6:CP7" si="5">+CN6/CO6</f>
        <v>1</v>
      </c>
      <c r="CQ6" s="379">
        <f>+CF6</f>
        <v>1</v>
      </c>
      <c r="CR6" s="379" t="str">
        <f>+CG6</f>
        <v>CUMPLIO</v>
      </c>
      <c r="DB6" s="413" t="s">
        <v>365</v>
      </c>
      <c r="DC6" s="272"/>
      <c r="DD6" s="272">
        <v>2</v>
      </c>
      <c r="DE6" s="272">
        <v>3</v>
      </c>
      <c r="DF6" s="272"/>
      <c r="DG6" s="272">
        <v>5</v>
      </c>
      <c r="DH6" s="408"/>
    </row>
    <row r="7" spans="1:112" s="83" customFormat="1" ht="409.6" thickTop="1" thickBot="1">
      <c r="A7" s="83" t="s">
        <v>284</v>
      </c>
      <c r="B7" s="75" t="s">
        <v>198</v>
      </c>
      <c r="C7" s="75" t="s">
        <v>856</v>
      </c>
      <c r="D7" s="84" t="s">
        <v>885</v>
      </c>
      <c r="E7" s="75" t="s">
        <v>858</v>
      </c>
      <c r="F7" s="76" t="s">
        <v>859</v>
      </c>
      <c r="G7" s="75" t="s">
        <v>283</v>
      </c>
      <c r="H7" s="75" t="s">
        <v>886</v>
      </c>
      <c r="I7" s="76" t="s">
        <v>861</v>
      </c>
      <c r="J7" s="76" t="s">
        <v>862</v>
      </c>
      <c r="K7" s="77" t="s">
        <v>887</v>
      </c>
      <c r="L7" s="77" t="s">
        <v>888</v>
      </c>
      <c r="M7" s="76" t="s">
        <v>285</v>
      </c>
      <c r="N7" s="76" t="s">
        <v>284</v>
      </c>
      <c r="O7" s="77" t="s">
        <v>286</v>
      </c>
      <c r="P7" s="77" t="s">
        <v>287</v>
      </c>
      <c r="Q7" s="77" t="s">
        <v>889</v>
      </c>
      <c r="R7" s="77" t="s">
        <v>890</v>
      </c>
      <c r="S7" s="77" t="s">
        <v>891</v>
      </c>
      <c r="T7" s="76" t="s">
        <v>892</v>
      </c>
      <c r="U7" s="76" t="s">
        <v>871</v>
      </c>
      <c r="V7" s="76" t="s">
        <v>872</v>
      </c>
      <c r="W7" s="78">
        <v>1</v>
      </c>
      <c r="X7" s="297">
        <v>1</v>
      </c>
      <c r="Y7" s="76"/>
      <c r="Z7" s="76"/>
      <c r="AA7" s="80">
        <v>1</v>
      </c>
      <c r="AB7" s="76"/>
      <c r="AC7" s="82"/>
      <c r="AD7" s="80">
        <v>1</v>
      </c>
      <c r="AE7" s="76"/>
      <c r="AF7" s="76"/>
      <c r="AG7" s="80">
        <v>1</v>
      </c>
      <c r="AH7" s="76"/>
      <c r="AI7" s="76"/>
      <c r="AJ7" s="80">
        <v>1</v>
      </c>
      <c r="AK7" s="76" t="s">
        <v>873</v>
      </c>
      <c r="AL7" s="76" t="s">
        <v>873</v>
      </c>
      <c r="AM7" s="76" t="s">
        <v>873</v>
      </c>
      <c r="AN7" s="76" t="s">
        <v>873</v>
      </c>
      <c r="AO7" s="76" t="s">
        <v>874</v>
      </c>
      <c r="AP7" s="82" t="s">
        <v>284</v>
      </c>
      <c r="AQ7" s="370">
        <f>+VLOOKUP(AP7,SharePoint!$BA$3:$BY$140,2,FALSE)</f>
        <v>0</v>
      </c>
      <c r="AR7" s="370">
        <f>+VLOOKUP(AP7,SharePoint!$BA$3:$BY$140,3,FALSE)</f>
        <v>0</v>
      </c>
      <c r="AS7" s="370">
        <f>+VLOOKUP(AP7,SharePoint!$BA$3:$BY$140,4,FALSE)</f>
        <v>30</v>
      </c>
      <c r="AT7" s="370">
        <f>+VLOOKUP(AP7,SharePoint!$BA$3:$BY$140,5,FALSE)</f>
        <v>0</v>
      </c>
      <c r="AU7" s="370">
        <f>+VLOOKUP(AP7,SharePoint!$BA$3:$BY$140,6,FALSE)</f>
        <v>0</v>
      </c>
      <c r="AV7" s="370">
        <f>+VLOOKUP(AP7,SharePoint!$BA$3:$BY$140,7,FALSE)</f>
        <v>23</v>
      </c>
      <c r="AW7" s="370">
        <f>+VLOOKUP(AP7,SharePoint!$BA$3:$BY$140,8,FALSE)</f>
        <v>0</v>
      </c>
      <c r="AX7" s="370">
        <f>+VLOOKUP(AP7,SharePoint!$BA$3:$BY$140,9,FALSE)</f>
        <v>0</v>
      </c>
      <c r="AY7" s="370">
        <f>+VLOOKUP(AP7,SharePoint!$BA$3:$BY$140,10,FALSE)</f>
        <v>2</v>
      </c>
      <c r="AZ7" s="370">
        <f>+VLOOKUP(AP7,SharePoint!$BA$3:$BY$140,11,FALSE)</f>
        <v>0</v>
      </c>
      <c r="BA7" s="370">
        <f>+VLOOKUP(AP7,SharePoint!$BA$3:$BY$140,12,FALSE)</f>
        <v>0</v>
      </c>
      <c r="BB7" s="370">
        <f>+VLOOKUP(AP7,SharePoint!$BA$3:$BY$140,13,FALSE)</f>
        <v>1</v>
      </c>
      <c r="BC7" s="226">
        <f>+VLOOKUP(AP7,SharePoint!$BA$3:$BY$140,14,FALSE)</f>
        <v>0</v>
      </c>
      <c r="BD7" s="226">
        <f>+VLOOKUP(AP7,SharePoint!$BA$3:$BY$140,15,FALSE)</f>
        <v>0</v>
      </c>
      <c r="BE7" s="226">
        <f>+VLOOKUP(AP7,SharePoint!$BA$3:$BY$140,16,FALSE)</f>
        <v>30</v>
      </c>
      <c r="BF7" s="226">
        <f>+VLOOKUP(AP7,SharePoint!$BA$3:$BY$140,17,FALSE)</f>
        <v>0</v>
      </c>
      <c r="BG7" s="226">
        <f>+VLOOKUP(AP7,SharePoint!$BA$3:$BY$140,18,FALSE)</f>
        <v>0</v>
      </c>
      <c r="BH7" s="226">
        <f>+VLOOKUP(AP7,SharePoint!$BA$3:$BY$140,19,FALSE)</f>
        <v>23</v>
      </c>
      <c r="BI7" s="226">
        <f>+VLOOKUP(AP7,SharePoint!$BA$3:$BY$140,20,FALSE)</f>
        <v>0</v>
      </c>
      <c r="BJ7" s="226">
        <f>+VLOOKUP(AP7,SharePoint!$BA$3:$BY$140,21,FALSE)</f>
        <v>0</v>
      </c>
      <c r="BK7" s="226">
        <f>+VLOOKUP(AP7,SharePoint!$BA$3:$BY$140,22,FALSE)</f>
        <v>2</v>
      </c>
      <c r="BL7" s="226">
        <f>+VLOOKUP(AP7,SharePoint!$BA$3:$BY$140,23,FALSE)</f>
        <v>0</v>
      </c>
      <c r="BM7" s="226">
        <f>+VLOOKUP(AP7,SharePoint!$BA$3:$BY$140,24,FALSE)</f>
        <v>0</v>
      </c>
      <c r="BN7" s="226">
        <f>+VLOOKUP(AP7,SharePoint!$BA$3:$BY$140,25,FALSE)</f>
        <v>1</v>
      </c>
      <c r="BO7" s="214" t="s">
        <v>873</v>
      </c>
      <c r="BP7" s="214" t="s">
        <v>873</v>
      </c>
      <c r="BQ7" s="215" t="s">
        <v>3024</v>
      </c>
      <c r="BR7" s="214" t="s">
        <v>873</v>
      </c>
      <c r="BS7" s="214" t="s">
        <v>873</v>
      </c>
      <c r="BT7" s="215" t="s">
        <v>3025</v>
      </c>
      <c r="BU7" s="214" t="s">
        <v>873</v>
      </c>
      <c r="BV7" s="214" t="s">
        <v>873</v>
      </c>
      <c r="BW7" s="214" t="s">
        <v>2943</v>
      </c>
      <c r="BX7" s="214" t="s">
        <v>875</v>
      </c>
      <c r="BY7" s="214" t="s">
        <v>875</v>
      </c>
      <c r="BZ7" s="214" t="s">
        <v>3180</v>
      </c>
      <c r="CA7" s="449">
        <v>1</v>
      </c>
      <c r="CB7" s="373" t="s">
        <v>3406</v>
      </c>
      <c r="CC7" s="359">
        <f t="shared" si="0"/>
        <v>56</v>
      </c>
      <c r="CD7" s="359">
        <f t="shared" si="1"/>
        <v>56</v>
      </c>
      <c r="CE7" s="382">
        <f t="shared" si="2"/>
        <v>1</v>
      </c>
      <c r="CF7" s="382">
        <f t="shared" si="3"/>
        <v>1</v>
      </c>
      <c r="CG7" s="327" t="s">
        <v>3509</v>
      </c>
      <c r="CH7" s="327" t="str">
        <f t="shared" si="4"/>
        <v xml:space="preserve">Porcentual </v>
      </c>
      <c r="CI7" s="327"/>
      <c r="CJ7" s="381">
        <v>3</v>
      </c>
      <c r="CK7" s="376" t="str">
        <f t="shared" ref="CK7:CK70" si="6">+AO7</f>
        <v xml:space="preserve">Delegatura para Entidades Territoriales y Generadores y Recaudadores y Administradores de Recursos del SGSSS </v>
      </c>
      <c r="CL7" s="376" t="str">
        <f t="shared" ref="CL7:CL70" si="7">+O7</f>
        <v>Porcentaje de alertas generadas en desarrollo de las acciones de IV a generadores, recaudadores y administradores de recursos del SGSSS con acciones de gestión sobre el total de alertas</v>
      </c>
      <c r="CM7" s="376" t="str">
        <f t="shared" ref="CM7:CM70" si="8">+P7</f>
        <v>(Número de alertas generadas en el informe del trimestre anterior con acciones de gestión / Total de alertas encontradas en el informe del trimestre anterior)*100</v>
      </c>
      <c r="CN7" s="389">
        <f t="shared" ref="CN7:CN70" si="9">+CC7</f>
        <v>56</v>
      </c>
      <c r="CO7" s="389">
        <f t="shared" ref="CO7:CO70" si="10">+CD7</f>
        <v>56</v>
      </c>
      <c r="CP7" s="388">
        <f t="shared" si="5"/>
        <v>1</v>
      </c>
      <c r="CQ7" s="377">
        <f t="shared" ref="CQ7:CQ70" si="11">+CF7</f>
        <v>1</v>
      </c>
      <c r="CR7" s="377" t="str">
        <f t="shared" ref="CR7:CR70" si="12">+CG7</f>
        <v>CUMPLIO</v>
      </c>
      <c r="DB7" s="413" t="s">
        <v>152</v>
      </c>
      <c r="DC7" s="272">
        <v>7</v>
      </c>
      <c r="DD7" s="272"/>
      <c r="DE7" s="272">
        <v>1</v>
      </c>
      <c r="DF7" s="272"/>
      <c r="DG7" s="272">
        <v>8</v>
      </c>
    </row>
    <row r="8" spans="1:112" s="83" customFormat="1" ht="409.6" thickTop="1" thickBot="1">
      <c r="A8" s="83" t="s">
        <v>289</v>
      </c>
      <c r="B8" s="75" t="s">
        <v>198</v>
      </c>
      <c r="C8" s="75" t="s">
        <v>856</v>
      </c>
      <c r="D8" s="75" t="s">
        <v>857</v>
      </c>
      <c r="E8" s="75" t="s">
        <v>858</v>
      </c>
      <c r="F8" s="75" t="s">
        <v>859</v>
      </c>
      <c r="G8" s="75" t="s">
        <v>189</v>
      </c>
      <c r="H8" s="75" t="s">
        <v>893</v>
      </c>
      <c r="I8" s="76" t="s">
        <v>894</v>
      </c>
      <c r="J8" s="76" t="s">
        <v>895</v>
      </c>
      <c r="K8" s="77" t="s">
        <v>896</v>
      </c>
      <c r="L8" s="77" t="s">
        <v>897</v>
      </c>
      <c r="M8" s="77" t="s">
        <v>290</v>
      </c>
      <c r="N8" s="76" t="s">
        <v>289</v>
      </c>
      <c r="O8" s="77" t="s">
        <v>291</v>
      </c>
      <c r="P8" s="77" t="s">
        <v>292</v>
      </c>
      <c r="Q8" s="77" t="s">
        <v>292</v>
      </c>
      <c r="R8" s="77" t="s">
        <v>876</v>
      </c>
      <c r="S8" s="77" t="s">
        <v>898</v>
      </c>
      <c r="T8" s="76" t="s">
        <v>870</v>
      </c>
      <c r="U8" s="76" t="s">
        <v>157</v>
      </c>
      <c r="V8" s="76" t="s">
        <v>872</v>
      </c>
      <c r="W8" s="77">
        <v>0</v>
      </c>
      <c r="X8" s="298">
        <v>10</v>
      </c>
      <c r="Y8" s="76"/>
      <c r="Z8" s="76"/>
      <c r="AA8" s="85">
        <v>1</v>
      </c>
      <c r="AB8" s="85"/>
      <c r="AC8" s="85"/>
      <c r="AD8" s="81">
        <v>2</v>
      </c>
      <c r="AE8" s="85"/>
      <c r="AF8" s="85"/>
      <c r="AG8" s="85">
        <v>3</v>
      </c>
      <c r="AH8" s="85"/>
      <c r="AI8" s="85"/>
      <c r="AJ8" s="81">
        <v>4</v>
      </c>
      <c r="AK8" s="86" t="s">
        <v>899</v>
      </c>
      <c r="AL8" s="76" t="s">
        <v>900</v>
      </c>
      <c r="AM8" s="76" t="s">
        <v>901</v>
      </c>
      <c r="AN8" s="87">
        <v>200000000</v>
      </c>
      <c r="AO8" s="76" t="s">
        <v>874</v>
      </c>
      <c r="AP8" s="82" t="s">
        <v>289</v>
      </c>
      <c r="AQ8" s="370">
        <f>+VLOOKUP(AP8,SharePoint!$BA$3:$BY$140,2,FALSE)</f>
        <v>0</v>
      </c>
      <c r="AR8" s="370">
        <f>+VLOOKUP(AP8,SharePoint!$BA$3:$BY$140,3,FALSE)</f>
        <v>0</v>
      </c>
      <c r="AS8" s="370">
        <f>+VLOOKUP(AP8,SharePoint!$BA$3:$BY$140,4,FALSE)</f>
        <v>5</v>
      </c>
      <c r="AT8" s="370">
        <f>+VLOOKUP(AP8,SharePoint!$BA$3:$BY$140,5,FALSE)</f>
        <v>0</v>
      </c>
      <c r="AU8" s="370">
        <f>+VLOOKUP(AP8,SharePoint!$BA$3:$BY$140,6,FALSE)</f>
        <v>0</v>
      </c>
      <c r="AV8" s="370">
        <f>+VLOOKUP(AP8,SharePoint!$BA$3:$BY$140,7,FALSE)</f>
        <v>4</v>
      </c>
      <c r="AW8" s="370">
        <f>+VLOOKUP(AP8,SharePoint!$BA$3:$BY$140,8,FALSE)</f>
        <v>0</v>
      </c>
      <c r="AX8" s="370">
        <f>+VLOOKUP(AP8,SharePoint!$BA$3:$BY$140,9,FALSE)</f>
        <v>0</v>
      </c>
      <c r="AY8" s="370">
        <f>+VLOOKUP(AP8,SharePoint!$BA$3:$BY$140,10,FALSE)</f>
        <v>5</v>
      </c>
      <c r="AZ8" s="370">
        <f>+VLOOKUP(AP8,SharePoint!$BA$3:$BY$140,11,FALSE)</f>
        <v>0</v>
      </c>
      <c r="BA8" s="370">
        <f>+VLOOKUP(AP8,SharePoint!$BA$3:$BY$140,12,FALSE)</f>
        <v>0</v>
      </c>
      <c r="BB8" s="370">
        <f>+VLOOKUP(AP8,SharePoint!$BA$3:$BY$140,13,FALSE)</f>
        <v>1</v>
      </c>
      <c r="BC8" s="226">
        <f>+VLOOKUP(AP8,SharePoint!$BA$3:$BY$140,14,FALSE)</f>
        <v>0</v>
      </c>
      <c r="BD8" s="226">
        <f>+VLOOKUP(AP8,SharePoint!$BA$3:$BY$140,15,FALSE)</f>
        <v>0</v>
      </c>
      <c r="BE8" s="226">
        <f>+VLOOKUP(AP8,SharePoint!$BA$3:$BY$140,16,FALSE)</f>
        <v>1</v>
      </c>
      <c r="BF8" s="226">
        <f>+VLOOKUP(AP8,SharePoint!$BA$3:$BY$140,17,FALSE)</f>
        <v>0</v>
      </c>
      <c r="BG8" s="226">
        <f>+VLOOKUP(AP8,SharePoint!$BA$3:$BY$140,18,FALSE)</f>
        <v>0</v>
      </c>
      <c r="BH8" s="226">
        <f>+VLOOKUP(AP8,SharePoint!$BA$3:$BY$140,19,FALSE)</f>
        <v>2</v>
      </c>
      <c r="BI8" s="226">
        <f>+VLOOKUP(AP8,SharePoint!$BA$3:$BY$140,20,FALSE)</f>
        <v>0</v>
      </c>
      <c r="BJ8" s="226">
        <f>+VLOOKUP(AP8,SharePoint!$BA$3:$BY$140,21,FALSE)</f>
        <v>0</v>
      </c>
      <c r="BK8" s="226">
        <f>+VLOOKUP(AP8,SharePoint!$BA$3:$BY$140,22,FALSE)</f>
        <v>3</v>
      </c>
      <c r="BL8" s="226">
        <f>+VLOOKUP(AP8,SharePoint!$BA$3:$BY$140,23,FALSE)</f>
        <v>0</v>
      </c>
      <c r="BM8" s="226">
        <f>+VLOOKUP(AP8,SharePoint!$BA$3:$BY$140,24,FALSE)</f>
        <v>0</v>
      </c>
      <c r="BN8" s="226">
        <f>+VLOOKUP(AP8,SharePoint!$BA$3:$BY$140,25,FALSE)</f>
        <v>4</v>
      </c>
      <c r="BO8" s="214" t="s">
        <v>873</v>
      </c>
      <c r="BP8" s="214" t="s">
        <v>873</v>
      </c>
      <c r="BQ8" s="215" t="s">
        <v>3550</v>
      </c>
      <c r="BR8" s="214" t="s">
        <v>873</v>
      </c>
      <c r="BS8" s="214" t="s">
        <v>873</v>
      </c>
      <c r="BT8" s="215" t="s">
        <v>2801</v>
      </c>
      <c r="BU8" s="214" t="s">
        <v>873</v>
      </c>
      <c r="BV8" s="214" t="s">
        <v>873</v>
      </c>
      <c r="BW8" s="214" t="s">
        <v>2944</v>
      </c>
      <c r="BX8" s="214" t="s">
        <v>875</v>
      </c>
      <c r="BY8" s="214" t="s">
        <v>875</v>
      </c>
      <c r="BZ8" s="214" t="s">
        <v>3171</v>
      </c>
      <c r="CA8" s="449">
        <v>2</v>
      </c>
      <c r="CB8" s="420" t="s">
        <v>3410</v>
      </c>
      <c r="CC8" s="358">
        <f t="shared" si="0"/>
        <v>15</v>
      </c>
      <c r="CD8" s="358">
        <f t="shared" si="1"/>
        <v>10</v>
      </c>
      <c r="CE8" s="343">
        <f t="shared" si="2"/>
        <v>1.5</v>
      </c>
      <c r="CF8" s="381">
        <f t="shared" si="3"/>
        <v>10</v>
      </c>
      <c r="CG8" s="327" t="s">
        <v>3510</v>
      </c>
      <c r="CH8" s="327" t="str">
        <f t="shared" si="4"/>
        <v>Numérica</v>
      </c>
      <c r="CI8" s="327"/>
      <c r="CJ8" s="381">
        <v>4</v>
      </c>
      <c r="CK8" s="378" t="str">
        <f t="shared" si="6"/>
        <v xml:space="preserve">Delegatura para Entidades Territoriales y Generadores y Recaudadores y Administradores de Recursos del SGSSS </v>
      </c>
      <c r="CL8" s="378" t="str">
        <f t="shared" si="7"/>
        <v>Redes de Controladores departamentales activadas</v>
      </c>
      <c r="CM8" s="378" t="str">
        <f t="shared" si="8"/>
        <v>Número de departamentos con red de Controladores activadas</v>
      </c>
      <c r="CN8" s="390">
        <f t="shared" si="9"/>
        <v>15</v>
      </c>
      <c r="CO8" s="390">
        <f t="shared" si="10"/>
        <v>10</v>
      </c>
      <c r="CP8" s="387">
        <f t="shared" ref="CP8:CP71" si="13">+CN8/CO8</f>
        <v>1.5</v>
      </c>
      <c r="CQ8" s="378">
        <f t="shared" si="11"/>
        <v>10</v>
      </c>
      <c r="CR8" s="379" t="str">
        <f t="shared" si="12"/>
        <v>SOBRECUMPLIO</v>
      </c>
      <c r="DB8" s="413" t="s">
        <v>874</v>
      </c>
      <c r="DC8" s="272">
        <v>7</v>
      </c>
      <c r="DD8" s="272"/>
      <c r="DE8" s="272">
        <v>7</v>
      </c>
      <c r="DF8" s="272"/>
      <c r="DG8" s="272">
        <v>14</v>
      </c>
    </row>
    <row r="9" spans="1:112" s="83" customFormat="1" ht="409.6" thickTop="1" thickBot="1">
      <c r="A9" s="83" t="s">
        <v>221</v>
      </c>
      <c r="B9" s="75" t="s">
        <v>198</v>
      </c>
      <c r="C9" s="75" t="s">
        <v>902</v>
      </c>
      <c r="D9" s="75" t="s">
        <v>903</v>
      </c>
      <c r="E9" s="75" t="s">
        <v>858</v>
      </c>
      <c r="F9" s="75" t="s">
        <v>859</v>
      </c>
      <c r="G9" s="75" t="s">
        <v>189</v>
      </c>
      <c r="H9" s="75" t="s">
        <v>904</v>
      </c>
      <c r="I9" s="76" t="s">
        <v>905</v>
      </c>
      <c r="J9" s="169" t="s">
        <v>906</v>
      </c>
      <c r="K9" s="76" t="s">
        <v>907</v>
      </c>
      <c r="L9" s="77" t="s">
        <v>864</v>
      </c>
      <c r="M9" s="76" t="s">
        <v>537</v>
      </c>
      <c r="N9" s="88" t="s">
        <v>221</v>
      </c>
      <c r="O9" s="77" t="s">
        <v>538</v>
      </c>
      <c r="P9" s="77" t="s">
        <v>908</v>
      </c>
      <c r="Q9" s="77" t="s">
        <v>908</v>
      </c>
      <c r="R9" s="77" t="s">
        <v>876</v>
      </c>
      <c r="S9" s="77" t="s">
        <v>909</v>
      </c>
      <c r="T9" s="76" t="s">
        <v>870</v>
      </c>
      <c r="U9" s="76" t="s">
        <v>157</v>
      </c>
      <c r="V9" s="76" t="s">
        <v>910</v>
      </c>
      <c r="W9" s="77">
        <v>70</v>
      </c>
      <c r="X9" s="298">
        <v>20</v>
      </c>
      <c r="Y9" s="76"/>
      <c r="Z9" s="76"/>
      <c r="AA9" s="76"/>
      <c r="AB9" s="85">
        <v>7</v>
      </c>
      <c r="AC9" s="81"/>
      <c r="AD9" s="81"/>
      <c r="AE9" s="81"/>
      <c r="AF9" s="85">
        <v>7</v>
      </c>
      <c r="AG9" s="81"/>
      <c r="AH9" s="81"/>
      <c r="AI9" s="81"/>
      <c r="AJ9" s="81">
        <v>6</v>
      </c>
      <c r="AK9" s="86" t="s">
        <v>899</v>
      </c>
      <c r="AL9" s="76" t="s">
        <v>911</v>
      </c>
      <c r="AM9" s="76" t="s">
        <v>901</v>
      </c>
      <c r="AN9" s="87">
        <v>575410786</v>
      </c>
      <c r="AO9" s="76" t="s">
        <v>874</v>
      </c>
      <c r="AP9" s="82" t="s">
        <v>221</v>
      </c>
      <c r="AQ9" s="370">
        <f>+VLOOKUP(AP9,SharePoint!$BA$3:$BY$140,2,FALSE)</f>
        <v>0</v>
      </c>
      <c r="AR9" s="370">
        <f>+VLOOKUP(AP9,SharePoint!$BA$3:$BY$140,3,FALSE)</f>
        <v>0</v>
      </c>
      <c r="AS9" s="370">
        <f>+VLOOKUP(AP9,SharePoint!$BA$3:$BY$140,4,FALSE)</f>
        <v>0</v>
      </c>
      <c r="AT9" s="370">
        <f>+VLOOKUP(AP9,SharePoint!$BA$3:$BY$140,5,FALSE)</f>
        <v>4</v>
      </c>
      <c r="AU9" s="370">
        <f>+VLOOKUP(AP9,SharePoint!$BA$3:$BY$140,6,FALSE)</f>
        <v>0</v>
      </c>
      <c r="AV9" s="370">
        <f>+VLOOKUP(AP9,SharePoint!$BA$3:$BY$140,7,FALSE)</f>
        <v>0</v>
      </c>
      <c r="AW9" s="370">
        <f>+VLOOKUP(AP9,SharePoint!$BA$3:$BY$140,8,FALSE)</f>
        <v>0</v>
      </c>
      <c r="AX9" s="370">
        <f>+VLOOKUP(AP9,SharePoint!$BA$3:$BY$140,9,FALSE)</f>
        <v>14</v>
      </c>
      <c r="AY9" s="370">
        <f>+VLOOKUP(AP9,SharePoint!$BA$3:$BY$140,10,FALSE)</f>
        <v>0</v>
      </c>
      <c r="AZ9" s="370">
        <f>+VLOOKUP(AP9,SharePoint!$BA$3:$BY$140,11,FALSE)</f>
        <v>0</v>
      </c>
      <c r="BA9" s="370">
        <f>+VLOOKUP(AP9,SharePoint!$BA$3:$BY$140,12,FALSE)</f>
        <v>0</v>
      </c>
      <c r="BB9" s="370">
        <f>+VLOOKUP(AP9,SharePoint!$BA$3:$BY$140,13,FALSE)</f>
        <v>2</v>
      </c>
      <c r="BC9" s="226">
        <f>+VLOOKUP(AP9,SharePoint!$BA$3:$BY$140,14,FALSE)</f>
        <v>0</v>
      </c>
      <c r="BD9" s="226">
        <f>+VLOOKUP(AP9,SharePoint!$BA$3:$BY$140,15,FALSE)</f>
        <v>0</v>
      </c>
      <c r="BE9" s="226">
        <f>+VLOOKUP(AP9,SharePoint!$BA$3:$BY$140,16,FALSE)</f>
        <v>0</v>
      </c>
      <c r="BF9" s="226">
        <f>+VLOOKUP(AP9,SharePoint!$BA$3:$BY$140,17,FALSE)</f>
        <v>7</v>
      </c>
      <c r="BG9" s="226">
        <f>+VLOOKUP(AP9,SharePoint!$BA$3:$BY$140,18,FALSE)</f>
        <v>0</v>
      </c>
      <c r="BH9" s="226">
        <f>+VLOOKUP(AP9,SharePoint!$BA$3:$BY$140,19,FALSE)</f>
        <v>0</v>
      </c>
      <c r="BI9" s="226">
        <f>+VLOOKUP(AP9,SharePoint!$BA$3:$BY$140,20,FALSE)</f>
        <v>0</v>
      </c>
      <c r="BJ9" s="226">
        <f>+VLOOKUP(AP9,SharePoint!$BA$3:$BY$140,21,FALSE)</f>
        <v>7</v>
      </c>
      <c r="BK9" s="226">
        <f>+VLOOKUP(AP9,SharePoint!$BA$3:$BY$140,22,FALSE)</f>
        <v>0</v>
      </c>
      <c r="BL9" s="226">
        <f>+VLOOKUP(AP9,SharePoint!$BA$3:$BY$140,23,FALSE)</f>
        <v>0</v>
      </c>
      <c r="BM9" s="226">
        <f>+VLOOKUP(AP9,SharePoint!$BA$3:$BY$140,24,FALSE)</f>
        <v>0</v>
      </c>
      <c r="BN9" s="226">
        <f>+VLOOKUP(AP9,SharePoint!$BA$3:$BY$140,25,FALSE)</f>
        <v>6</v>
      </c>
      <c r="BO9" s="214" t="s">
        <v>873</v>
      </c>
      <c r="BP9" s="214" t="s">
        <v>873</v>
      </c>
      <c r="BQ9" s="214" t="s">
        <v>873</v>
      </c>
      <c r="BR9" s="214" t="s">
        <v>3026</v>
      </c>
      <c r="BS9" s="214" t="s">
        <v>873</v>
      </c>
      <c r="BT9" s="214" t="s">
        <v>873</v>
      </c>
      <c r="BU9" s="214" t="s">
        <v>873</v>
      </c>
      <c r="BV9" s="214" t="s">
        <v>2842</v>
      </c>
      <c r="BW9" s="214" t="s">
        <v>873</v>
      </c>
      <c r="BX9" s="214" t="s">
        <v>875</v>
      </c>
      <c r="BY9" s="214" t="s">
        <v>875</v>
      </c>
      <c r="BZ9" s="214" t="s">
        <v>3340</v>
      </c>
      <c r="CA9" s="449">
        <v>1</v>
      </c>
      <c r="CB9" s="373" t="s">
        <v>3409</v>
      </c>
      <c r="CC9" s="359">
        <f t="shared" si="0"/>
        <v>20</v>
      </c>
      <c r="CD9" s="359">
        <f t="shared" si="1"/>
        <v>20</v>
      </c>
      <c r="CE9" s="343">
        <f t="shared" si="2"/>
        <v>1</v>
      </c>
      <c r="CF9" s="381">
        <f t="shared" si="3"/>
        <v>20</v>
      </c>
      <c r="CG9" s="327" t="s">
        <v>3509</v>
      </c>
      <c r="CH9" s="327" t="str">
        <f t="shared" si="4"/>
        <v>Numérica</v>
      </c>
      <c r="CI9" s="327"/>
      <c r="CJ9" s="381">
        <v>5</v>
      </c>
      <c r="CK9" s="376" t="str">
        <f t="shared" si="6"/>
        <v xml:space="preserve">Delegatura para Entidades Territoriales y Generadores y Recaudadores y Administradores de Recursos del SGSSS </v>
      </c>
      <c r="CL9" s="376" t="str">
        <f t="shared" si="7"/>
        <v>Auditorías de Inspección y Vigilancia realizadas por la Delegada de Entidades territoriales</v>
      </c>
      <c r="CM9" s="376" t="str">
        <f t="shared" si="8"/>
        <v xml:space="preserve">Número de Auditorías realizadas </v>
      </c>
      <c r="CN9" s="389">
        <f t="shared" si="9"/>
        <v>20</v>
      </c>
      <c r="CO9" s="389">
        <f t="shared" si="10"/>
        <v>20</v>
      </c>
      <c r="CP9" s="388">
        <f t="shared" si="13"/>
        <v>1</v>
      </c>
      <c r="CQ9" s="376">
        <f t="shared" si="11"/>
        <v>20</v>
      </c>
      <c r="CR9" s="377" t="str">
        <f t="shared" si="12"/>
        <v>CUMPLIO</v>
      </c>
      <c r="DB9" s="413" t="s">
        <v>1058</v>
      </c>
      <c r="DC9" s="272">
        <v>3</v>
      </c>
      <c r="DD9" s="272">
        <v>1</v>
      </c>
      <c r="DE9" s="272">
        <v>4</v>
      </c>
      <c r="DF9" s="272"/>
      <c r="DG9" s="272">
        <v>8</v>
      </c>
    </row>
    <row r="10" spans="1:112" s="83" customFormat="1" ht="409.6" thickTop="1" thickBot="1">
      <c r="A10" s="83" t="s">
        <v>225</v>
      </c>
      <c r="B10" s="75" t="s">
        <v>198</v>
      </c>
      <c r="C10" s="75" t="s">
        <v>902</v>
      </c>
      <c r="D10" s="75" t="s">
        <v>903</v>
      </c>
      <c r="E10" s="75" t="s">
        <v>858</v>
      </c>
      <c r="F10" s="75" t="s">
        <v>859</v>
      </c>
      <c r="G10" s="75" t="s">
        <v>189</v>
      </c>
      <c r="H10" s="75" t="s">
        <v>904</v>
      </c>
      <c r="I10" s="76" t="s">
        <v>905</v>
      </c>
      <c r="J10" s="169" t="s">
        <v>906</v>
      </c>
      <c r="K10" s="76" t="s">
        <v>907</v>
      </c>
      <c r="L10" s="77" t="s">
        <v>864</v>
      </c>
      <c r="M10" s="77" t="s">
        <v>912</v>
      </c>
      <c r="N10" s="88" t="s">
        <v>225</v>
      </c>
      <c r="O10" s="76" t="s">
        <v>294</v>
      </c>
      <c r="P10" s="76" t="s">
        <v>295</v>
      </c>
      <c r="Q10" s="76" t="s">
        <v>295</v>
      </c>
      <c r="R10" s="77" t="s">
        <v>876</v>
      </c>
      <c r="S10" s="76" t="s">
        <v>913</v>
      </c>
      <c r="T10" s="76" t="s">
        <v>870</v>
      </c>
      <c r="U10" s="76" t="s">
        <v>157</v>
      </c>
      <c r="V10" s="76" t="s">
        <v>914</v>
      </c>
      <c r="W10" s="77">
        <v>33</v>
      </c>
      <c r="X10" s="298">
        <v>40</v>
      </c>
      <c r="Y10" s="76"/>
      <c r="Z10" s="76"/>
      <c r="AA10" s="76">
        <v>1</v>
      </c>
      <c r="AB10" s="81">
        <v>4</v>
      </c>
      <c r="AC10" s="81">
        <v>5</v>
      </c>
      <c r="AD10" s="85">
        <v>5</v>
      </c>
      <c r="AE10" s="81">
        <v>5</v>
      </c>
      <c r="AF10" s="81">
        <v>5</v>
      </c>
      <c r="AG10" s="81">
        <v>5</v>
      </c>
      <c r="AH10" s="81">
        <v>6</v>
      </c>
      <c r="AI10" s="81">
        <v>3</v>
      </c>
      <c r="AJ10" s="85">
        <v>1</v>
      </c>
      <c r="AK10" s="86" t="s">
        <v>899</v>
      </c>
      <c r="AL10" s="76" t="s">
        <v>915</v>
      </c>
      <c r="AM10" s="76" t="s">
        <v>901</v>
      </c>
      <c r="AN10" s="89">
        <v>438000000</v>
      </c>
      <c r="AO10" s="76" t="s">
        <v>874</v>
      </c>
      <c r="AP10" s="82" t="s">
        <v>225</v>
      </c>
      <c r="AQ10" s="370">
        <f>+VLOOKUP(AP10,SharePoint!$BA$3:$BY$140,2,FALSE)</f>
        <v>0</v>
      </c>
      <c r="AR10" s="370">
        <f>+VLOOKUP(AP10,SharePoint!$BA$3:$BY$140,3,FALSE)</f>
        <v>0</v>
      </c>
      <c r="AS10" s="370">
        <f>+VLOOKUP(AP10,SharePoint!$BA$3:$BY$140,4,FALSE)</f>
        <v>1</v>
      </c>
      <c r="AT10" s="370">
        <f>+VLOOKUP(AP10,SharePoint!$BA$3:$BY$140,5,FALSE)</f>
        <v>4</v>
      </c>
      <c r="AU10" s="370">
        <f>+VLOOKUP(AP10,SharePoint!$BA$3:$BY$140,6,FALSE)</f>
        <v>5</v>
      </c>
      <c r="AV10" s="370">
        <f>+VLOOKUP(AP10,SharePoint!$BA$3:$BY$140,7,FALSE)</f>
        <v>16</v>
      </c>
      <c r="AW10" s="370">
        <f>+VLOOKUP(AP10,SharePoint!$BA$3:$BY$140,8,FALSE)</f>
        <v>7</v>
      </c>
      <c r="AX10" s="370">
        <f>+VLOOKUP(AP10,SharePoint!$BA$3:$BY$140,9,FALSE)</f>
        <v>17</v>
      </c>
      <c r="AY10" s="370">
        <f>+VLOOKUP(AP10,SharePoint!$BA$3:$BY$140,10,FALSE)</f>
        <v>5</v>
      </c>
      <c r="AZ10" s="370">
        <f>+VLOOKUP(AP10,SharePoint!$BA$3:$BY$140,11,FALSE)</f>
        <v>12</v>
      </c>
      <c r="BA10" s="370">
        <f>+VLOOKUP(AP10,SharePoint!$BA$3:$BY$140,12,FALSE)</f>
        <v>8</v>
      </c>
      <c r="BB10" s="370">
        <f>+VLOOKUP(AP10,SharePoint!$BA$3:$BY$140,13,FALSE)</f>
        <v>10</v>
      </c>
      <c r="BC10" s="226">
        <f>+VLOOKUP(AP10,SharePoint!$BA$3:$BY$140,14,FALSE)</f>
        <v>0</v>
      </c>
      <c r="BD10" s="226">
        <f>+VLOOKUP(AP10,SharePoint!$BA$3:$BY$140,15,FALSE)</f>
        <v>0</v>
      </c>
      <c r="BE10" s="226">
        <f>+VLOOKUP(AP10,SharePoint!$BA$3:$BY$140,16,FALSE)</f>
        <v>1</v>
      </c>
      <c r="BF10" s="226">
        <f>+VLOOKUP(AP10,SharePoint!$BA$3:$BY$140,17,FALSE)</f>
        <v>4</v>
      </c>
      <c r="BG10" s="226">
        <f>+VLOOKUP(AP10,SharePoint!$BA$3:$BY$140,18,FALSE)</f>
        <v>5</v>
      </c>
      <c r="BH10" s="226">
        <f>+VLOOKUP(AP10,SharePoint!$BA$3:$BY$140,19,FALSE)</f>
        <v>5</v>
      </c>
      <c r="BI10" s="226">
        <f>+VLOOKUP(AP10,SharePoint!$BA$3:$BY$140,20,FALSE)</f>
        <v>5</v>
      </c>
      <c r="BJ10" s="226">
        <f>+VLOOKUP(AP10,SharePoint!$BA$3:$BY$140,21,FALSE)</f>
        <v>5</v>
      </c>
      <c r="BK10" s="226">
        <f>+VLOOKUP(AP10,SharePoint!$BA$3:$BY$140,22,FALSE)</f>
        <v>5</v>
      </c>
      <c r="BL10" s="226">
        <f>+VLOOKUP(AP10,SharePoint!$BA$3:$BY$140,23,FALSE)</f>
        <v>6</v>
      </c>
      <c r="BM10" s="226">
        <f>+VLOOKUP(AP10,SharePoint!$BA$3:$BY$140,24,FALSE)</f>
        <v>3</v>
      </c>
      <c r="BN10" s="226">
        <f>+VLOOKUP(AP10,SharePoint!$BA$3:$BY$140,25,FALSE)</f>
        <v>10</v>
      </c>
      <c r="BO10" s="214" t="s">
        <v>873</v>
      </c>
      <c r="BP10" s="214" t="s">
        <v>873</v>
      </c>
      <c r="BQ10" s="215" t="s">
        <v>2826</v>
      </c>
      <c r="BR10" s="215" t="s">
        <v>3551</v>
      </c>
      <c r="BS10" s="215" t="s">
        <v>2973</v>
      </c>
      <c r="BT10" s="215" t="s">
        <v>2987</v>
      </c>
      <c r="BU10" s="214" t="s">
        <v>2939</v>
      </c>
      <c r="BV10" s="214" t="s">
        <v>2844</v>
      </c>
      <c r="BW10" s="214" t="s">
        <v>2945</v>
      </c>
      <c r="BX10" s="214" t="s">
        <v>3341</v>
      </c>
      <c r="BY10" s="214" t="s">
        <v>875</v>
      </c>
      <c r="BZ10" s="214" t="s">
        <v>875</v>
      </c>
      <c r="CA10" s="449">
        <v>1</v>
      </c>
      <c r="CB10" s="420" t="s">
        <v>3503</v>
      </c>
      <c r="CC10" s="358">
        <f>+SUM(AQ10:BB10)</f>
        <v>85</v>
      </c>
      <c r="CD10" s="358">
        <v>40</v>
      </c>
      <c r="CE10" s="343">
        <f>+CC10/CD10</f>
        <v>2.125</v>
      </c>
      <c r="CF10" s="381">
        <f t="shared" si="3"/>
        <v>40</v>
      </c>
      <c r="CG10" s="327" t="s">
        <v>3510</v>
      </c>
      <c r="CH10" s="327" t="str">
        <f t="shared" si="4"/>
        <v>Numérica</v>
      </c>
      <c r="CI10" s="327"/>
      <c r="CJ10" s="381">
        <v>1</v>
      </c>
      <c r="CK10" s="378" t="str">
        <f t="shared" si="6"/>
        <v xml:space="preserve">Delegatura para Entidades Territoriales y Generadores y Recaudadores y Administradores de Recursos del SGSSS </v>
      </c>
      <c r="CL10" s="378" t="str">
        <f t="shared" si="7"/>
        <v>Seguimientos a las auditorías de Inspección y Vigilancia Realizadas</v>
      </c>
      <c r="CM10" s="378" t="str">
        <f t="shared" si="8"/>
        <v>Numero de Seguimientos realizados</v>
      </c>
      <c r="CN10" s="390">
        <f t="shared" si="9"/>
        <v>85</v>
      </c>
      <c r="CO10" s="390">
        <f t="shared" si="10"/>
        <v>40</v>
      </c>
      <c r="CP10" s="387">
        <f t="shared" si="13"/>
        <v>2.125</v>
      </c>
      <c r="CQ10" s="378">
        <f t="shared" si="11"/>
        <v>40</v>
      </c>
      <c r="CR10" s="379" t="str">
        <f t="shared" si="12"/>
        <v>SOBRECUMPLIO</v>
      </c>
      <c r="DB10" s="413" t="s">
        <v>454</v>
      </c>
      <c r="DC10" s="272">
        <v>4</v>
      </c>
      <c r="DD10" s="272">
        <v>4</v>
      </c>
      <c r="DE10" s="272"/>
      <c r="DF10" s="272"/>
      <c r="DG10" s="272">
        <v>8</v>
      </c>
    </row>
    <row r="11" spans="1:112" s="83" customFormat="1" ht="409.6" thickTop="1" thickBot="1">
      <c r="A11" s="83" t="s">
        <v>540</v>
      </c>
      <c r="B11" s="75" t="s">
        <v>198</v>
      </c>
      <c r="C11" s="75" t="s">
        <v>902</v>
      </c>
      <c r="D11" s="75" t="s">
        <v>903</v>
      </c>
      <c r="E11" s="75" t="s">
        <v>858</v>
      </c>
      <c r="F11" s="75" t="s">
        <v>859</v>
      </c>
      <c r="G11" s="75" t="s">
        <v>189</v>
      </c>
      <c r="H11" s="75" t="s">
        <v>904</v>
      </c>
      <c r="I11" s="76" t="s">
        <v>861</v>
      </c>
      <c r="J11" s="76" t="s">
        <v>862</v>
      </c>
      <c r="K11" s="76" t="s">
        <v>907</v>
      </c>
      <c r="L11" s="77" t="s">
        <v>864</v>
      </c>
      <c r="M11" s="76" t="s">
        <v>916</v>
      </c>
      <c r="N11" s="76" t="s">
        <v>540</v>
      </c>
      <c r="O11" s="77" t="s">
        <v>542</v>
      </c>
      <c r="P11" s="77" t="s">
        <v>543</v>
      </c>
      <c r="Q11" s="77" t="s">
        <v>543</v>
      </c>
      <c r="R11" s="77" t="s">
        <v>876</v>
      </c>
      <c r="S11" s="77" t="s">
        <v>917</v>
      </c>
      <c r="T11" s="76" t="s">
        <v>870</v>
      </c>
      <c r="U11" s="76" t="s">
        <v>157</v>
      </c>
      <c r="V11" s="76" t="s">
        <v>910</v>
      </c>
      <c r="W11" s="76">
        <v>11</v>
      </c>
      <c r="X11" s="299">
        <v>11</v>
      </c>
      <c r="Y11" s="76"/>
      <c r="Z11" s="76"/>
      <c r="AA11" s="76"/>
      <c r="AB11" s="76">
        <v>6</v>
      </c>
      <c r="AC11" s="76"/>
      <c r="AD11" s="76"/>
      <c r="AE11" s="76"/>
      <c r="AF11" s="76">
        <v>3</v>
      </c>
      <c r="AG11" s="76"/>
      <c r="AH11" s="76"/>
      <c r="AI11" s="76"/>
      <c r="AJ11" s="76">
        <v>2</v>
      </c>
      <c r="AK11" s="86" t="s">
        <v>899</v>
      </c>
      <c r="AL11" s="76" t="s">
        <v>900</v>
      </c>
      <c r="AM11" s="76" t="s">
        <v>901</v>
      </c>
      <c r="AN11" s="89">
        <v>590000000</v>
      </c>
      <c r="AO11" s="76" t="s">
        <v>874</v>
      </c>
      <c r="AP11" s="82" t="s">
        <v>540</v>
      </c>
      <c r="AQ11" s="370">
        <f>+VLOOKUP(AP11,SharePoint!$BA$3:$BY$140,2,FALSE)</f>
        <v>0</v>
      </c>
      <c r="AR11" s="370">
        <f>+VLOOKUP(AP11,SharePoint!$BA$3:$BY$140,3,FALSE)</f>
        <v>0</v>
      </c>
      <c r="AS11" s="370">
        <f>+VLOOKUP(AP11,SharePoint!$BA$3:$BY$140,4,FALSE)</f>
        <v>0</v>
      </c>
      <c r="AT11" s="370">
        <f>+VLOOKUP(AP11,SharePoint!$BA$3:$BY$140,5,FALSE)</f>
        <v>6</v>
      </c>
      <c r="AU11" s="370">
        <f>+VLOOKUP(AP11,SharePoint!$BA$3:$BY$140,6,FALSE)</f>
        <v>0</v>
      </c>
      <c r="AV11" s="370">
        <f>+VLOOKUP(AP11,SharePoint!$BA$3:$BY$140,7,FALSE)</f>
        <v>0</v>
      </c>
      <c r="AW11" s="370">
        <f>+VLOOKUP(AP11,SharePoint!$BA$3:$BY$140,8,FALSE)</f>
        <v>0</v>
      </c>
      <c r="AX11" s="370">
        <f>+VLOOKUP(AP11,SharePoint!$BA$3:$BY$140,9,FALSE)</f>
        <v>1</v>
      </c>
      <c r="AY11" s="370">
        <f>+VLOOKUP(AP11,SharePoint!$BA$3:$BY$140,10,FALSE)</f>
        <v>0</v>
      </c>
      <c r="AZ11" s="370">
        <f>+VLOOKUP(AP11,SharePoint!$BA$3:$BY$140,11,FALSE)</f>
        <v>0</v>
      </c>
      <c r="BA11" s="370">
        <f>+VLOOKUP(AP11,SharePoint!$BA$3:$BY$140,12,FALSE)</f>
        <v>0</v>
      </c>
      <c r="BB11" s="370">
        <f>+VLOOKUP(AP11,SharePoint!$BA$3:$BY$140,13,FALSE)</f>
        <v>9</v>
      </c>
      <c r="BC11" s="226">
        <f>+VLOOKUP(AP11,SharePoint!$BA$3:$BY$140,14,FALSE)</f>
        <v>0</v>
      </c>
      <c r="BD11" s="226">
        <f>+VLOOKUP(AP11,SharePoint!$BA$3:$BY$140,15,FALSE)</f>
        <v>0</v>
      </c>
      <c r="BE11" s="226">
        <f>+VLOOKUP(AP11,SharePoint!$BA$3:$BY$140,16,FALSE)</f>
        <v>0</v>
      </c>
      <c r="BF11" s="226">
        <f>+VLOOKUP(AP11,SharePoint!$BA$3:$BY$140,17,FALSE)</f>
        <v>6</v>
      </c>
      <c r="BG11" s="226">
        <f>+VLOOKUP(AP11,SharePoint!$BA$3:$BY$140,18,FALSE)</f>
        <v>0</v>
      </c>
      <c r="BH11" s="226">
        <f>+VLOOKUP(AP11,SharePoint!$BA$3:$BY$140,19,FALSE)</f>
        <v>0</v>
      </c>
      <c r="BI11" s="226">
        <f>+VLOOKUP(AP11,SharePoint!$BA$3:$BY$140,20,FALSE)</f>
        <v>0</v>
      </c>
      <c r="BJ11" s="226">
        <f>+VLOOKUP(AP11,SharePoint!$BA$3:$BY$140,21,FALSE)</f>
        <v>3</v>
      </c>
      <c r="BK11" s="226">
        <f>+VLOOKUP(AP11,SharePoint!$BA$3:$BY$140,22,FALSE)</f>
        <v>0</v>
      </c>
      <c r="BL11" s="226">
        <f>+VLOOKUP(AP11,SharePoint!$BA$3:$BY$140,23,FALSE)</f>
        <v>0</v>
      </c>
      <c r="BM11" s="226">
        <f>+VLOOKUP(AP11,SharePoint!$BA$3:$BY$140,24,FALSE)</f>
        <v>0</v>
      </c>
      <c r="BN11" s="226">
        <f>+VLOOKUP(AP11,SharePoint!$BA$3:$BY$140,25,FALSE)</f>
        <v>2</v>
      </c>
      <c r="BO11" s="214" t="s">
        <v>873</v>
      </c>
      <c r="BP11" s="214" t="s">
        <v>873</v>
      </c>
      <c r="BQ11" s="214" t="s">
        <v>873</v>
      </c>
      <c r="BR11" s="215" t="s">
        <v>3027</v>
      </c>
      <c r="BS11" s="214" t="s">
        <v>873</v>
      </c>
      <c r="BT11" s="214" t="s">
        <v>873</v>
      </c>
      <c r="BU11" s="214" t="s">
        <v>873</v>
      </c>
      <c r="BV11" s="214" t="s">
        <v>2940</v>
      </c>
      <c r="BW11" s="214" t="s">
        <v>873</v>
      </c>
      <c r="BX11" s="214" t="s">
        <v>875</v>
      </c>
      <c r="BY11" s="214" t="s">
        <v>875</v>
      </c>
      <c r="BZ11" s="214" t="s">
        <v>3381</v>
      </c>
      <c r="CA11" s="449">
        <v>2</v>
      </c>
      <c r="CB11" s="423" t="s">
        <v>3528</v>
      </c>
      <c r="CC11" s="359">
        <f t="shared" si="0"/>
        <v>16</v>
      </c>
      <c r="CD11" s="328">
        <v>11</v>
      </c>
      <c r="CE11" s="394">
        <f>+CC11/CD11</f>
        <v>1.4545454545454546</v>
      </c>
      <c r="CF11" s="381">
        <f t="shared" si="3"/>
        <v>11</v>
      </c>
      <c r="CG11" s="327" t="s">
        <v>3510</v>
      </c>
      <c r="CH11" s="327" t="str">
        <f t="shared" si="4"/>
        <v>Numérica</v>
      </c>
      <c r="CI11" s="327"/>
      <c r="CJ11" s="381">
        <v>2</v>
      </c>
      <c r="CK11" s="376" t="str">
        <f t="shared" si="6"/>
        <v xml:space="preserve">Delegatura para Entidades Territoriales y Generadores y Recaudadores y Administradores de Recursos del SGSSS </v>
      </c>
      <c r="CL11" s="376" t="str">
        <f t="shared" si="7"/>
        <v>Mesas Técnicas para el fortalecimiento de competencias</v>
      </c>
      <c r="CM11" s="376" t="str">
        <f t="shared" si="8"/>
        <v>Número de Mesas Técnicas realizadas</v>
      </c>
      <c r="CN11" s="389">
        <f t="shared" si="9"/>
        <v>16</v>
      </c>
      <c r="CO11" s="389">
        <f t="shared" si="10"/>
        <v>11</v>
      </c>
      <c r="CP11" s="388">
        <f t="shared" si="13"/>
        <v>1.4545454545454546</v>
      </c>
      <c r="CQ11" s="376">
        <f t="shared" si="11"/>
        <v>11</v>
      </c>
      <c r="CR11" s="377" t="str">
        <f t="shared" si="12"/>
        <v>SOBRECUMPLIO</v>
      </c>
      <c r="DB11" s="413" t="s">
        <v>199</v>
      </c>
      <c r="DC11" s="272">
        <v>11</v>
      </c>
      <c r="DD11" s="272">
        <v>1</v>
      </c>
      <c r="DE11" s="272">
        <v>3</v>
      </c>
      <c r="DF11" s="272"/>
      <c r="DG11" s="272">
        <v>15</v>
      </c>
    </row>
    <row r="12" spans="1:112" s="83" customFormat="1" ht="409.6" thickTop="1" thickBot="1">
      <c r="A12" s="83" t="s">
        <v>341</v>
      </c>
      <c r="B12" s="75" t="s">
        <v>198</v>
      </c>
      <c r="C12" s="75" t="s">
        <v>902</v>
      </c>
      <c r="D12" s="75" t="s">
        <v>903</v>
      </c>
      <c r="E12" s="75" t="s">
        <v>858</v>
      </c>
      <c r="F12" s="75" t="s">
        <v>859</v>
      </c>
      <c r="G12" s="75" t="s">
        <v>215</v>
      </c>
      <c r="H12" s="75" t="s">
        <v>860</v>
      </c>
      <c r="I12" s="76" t="s">
        <v>918</v>
      </c>
      <c r="J12" s="77" t="s">
        <v>919</v>
      </c>
      <c r="K12" s="76" t="s">
        <v>920</v>
      </c>
      <c r="L12" s="76" t="s">
        <v>875</v>
      </c>
      <c r="M12" s="76" t="s">
        <v>544</v>
      </c>
      <c r="N12" s="88" t="s">
        <v>341</v>
      </c>
      <c r="O12" s="77" t="s">
        <v>545</v>
      </c>
      <c r="P12" s="77" t="s">
        <v>921</v>
      </c>
      <c r="Q12" s="77" t="s">
        <v>921</v>
      </c>
      <c r="R12" s="77" t="s">
        <v>876</v>
      </c>
      <c r="S12" s="77" t="s">
        <v>922</v>
      </c>
      <c r="T12" s="76" t="s">
        <v>870</v>
      </c>
      <c r="U12" s="76" t="s">
        <v>157</v>
      </c>
      <c r="V12" s="76" t="s">
        <v>910</v>
      </c>
      <c r="W12" s="76">
        <v>12</v>
      </c>
      <c r="X12" s="299">
        <v>12</v>
      </c>
      <c r="Y12" s="76"/>
      <c r="Z12" s="76"/>
      <c r="AA12" s="76"/>
      <c r="AB12" s="76">
        <v>4</v>
      </c>
      <c r="AC12" s="76"/>
      <c r="AD12" s="76"/>
      <c r="AE12" s="76"/>
      <c r="AF12" s="76">
        <v>4</v>
      </c>
      <c r="AG12" s="76"/>
      <c r="AH12" s="76"/>
      <c r="AI12" s="76"/>
      <c r="AJ12" s="76">
        <v>4</v>
      </c>
      <c r="AK12" s="76" t="s">
        <v>873</v>
      </c>
      <c r="AL12" s="76" t="s">
        <v>873</v>
      </c>
      <c r="AM12" s="76" t="s">
        <v>873</v>
      </c>
      <c r="AN12" s="76" t="s">
        <v>873</v>
      </c>
      <c r="AO12" s="76" t="s">
        <v>874</v>
      </c>
      <c r="AP12" s="82" t="s">
        <v>341</v>
      </c>
      <c r="AQ12" s="370">
        <f>+VLOOKUP(AP12,SharePoint!$BA$3:$BY$140,2,FALSE)</f>
        <v>0</v>
      </c>
      <c r="AR12" s="370">
        <f>+VLOOKUP(AP12,SharePoint!$BA$3:$BY$140,3,FALSE)</f>
        <v>0</v>
      </c>
      <c r="AS12" s="370">
        <f>+VLOOKUP(AP12,SharePoint!$BA$3:$BY$140,4,FALSE)</f>
        <v>0</v>
      </c>
      <c r="AT12" s="370">
        <f>+VLOOKUP(AP12,SharePoint!$BA$3:$BY$140,5,FALSE)</f>
        <v>4</v>
      </c>
      <c r="AU12" s="370">
        <f>+VLOOKUP(AP12,SharePoint!$BA$3:$BY$140,6,FALSE)</f>
        <v>0</v>
      </c>
      <c r="AV12" s="370">
        <f>+VLOOKUP(AP12,SharePoint!$BA$3:$BY$140,7,FALSE)</f>
        <v>0</v>
      </c>
      <c r="AW12" s="370">
        <f>+VLOOKUP(AP12,SharePoint!$BA$3:$BY$140,8,FALSE)</f>
        <v>0</v>
      </c>
      <c r="AX12" s="370">
        <f>+VLOOKUP(AP12,SharePoint!$BA$3:$BY$140,9,FALSE)</f>
        <v>3</v>
      </c>
      <c r="AY12" s="370">
        <f>+VLOOKUP(AP12,SharePoint!$BA$3:$BY$140,10,FALSE)</f>
        <v>0</v>
      </c>
      <c r="AZ12" s="370">
        <f>+VLOOKUP(AP12,SharePoint!$BA$3:$BY$140,11,FALSE)</f>
        <v>0</v>
      </c>
      <c r="BA12" s="370">
        <f>+VLOOKUP(AP12,SharePoint!$BA$3:$BY$140,12,FALSE)</f>
        <v>0</v>
      </c>
      <c r="BB12" s="370">
        <f>+VLOOKUP(AP12,SharePoint!$BA$3:$BY$140,13,FALSE)</f>
        <v>5</v>
      </c>
      <c r="BC12" s="226">
        <f>+VLOOKUP(AP12,SharePoint!$BA$3:$BY$140,14,FALSE)</f>
        <v>0</v>
      </c>
      <c r="BD12" s="226">
        <f>+VLOOKUP(AP12,SharePoint!$BA$3:$BY$140,15,FALSE)</f>
        <v>0</v>
      </c>
      <c r="BE12" s="226">
        <f>+VLOOKUP(AP12,SharePoint!$BA$3:$BY$140,16,FALSE)</f>
        <v>0</v>
      </c>
      <c r="BF12" s="226">
        <f>+VLOOKUP(AP12,SharePoint!$BA$3:$BY$140,17,FALSE)</f>
        <v>4</v>
      </c>
      <c r="BG12" s="226">
        <f>+VLOOKUP(AP12,SharePoint!$BA$3:$BY$140,18,FALSE)</f>
        <v>0</v>
      </c>
      <c r="BH12" s="226">
        <f>+VLOOKUP(AP12,SharePoint!$BA$3:$BY$140,19,FALSE)</f>
        <v>0</v>
      </c>
      <c r="BI12" s="226">
        <f>+VLOOKUP(AP12,SharePoint!$BA$3:$BY$140,20,FALSE)</f>
        <v>0</v>
      </c>
      <c r="BJ12" s="226">
        <f>+VLOOKUP(AP12,SharePoint!$BA$3:$BY$140,21,FALSE)</f>
        <v>4</v>
      </c>
      <c r="BK12" s="226">
        <f>+VLOOKUP(AP12,SharePoint!$BA$3:$BY$140,22,FALSE)</f>
        <v>0</v>
      </c>
      <c r="BL12" s="226">
        <f>+VLOOKUP(AP12,SharePoint!$BA$3:$BY$140,23,FALSE)</f>
        <v>0</v>
      </c>
      <c r="BM12" s="226">
        <f>+VLOOKUP(AP12,SharePoint!$BA$3:$BY$140,24,FALSE)</f>
        <v>0</v>
      </c>
      <c r="BN12" s="226">
        <f>+VLOOKUP(AP12,SharePoint!$BA$3:$BY$140,25,FALSE)</f>
        <v>4</v>
      </c>
      <c r="BO12" s="214" t="s">
        <v>873</v>
      </c>
      <c r="BP12" s="214" t="s">
        <v>873</v>
      </c>
      <c r="BQ12" s="214" t="s">
        <v>873</v>
      </c>
      <c r="BR12" s="215" t="s">
        <v>3028</v>
      </c>
      <c r="BS12" s="214" t="s">
        <v>873</v>
      </c>
      <c r="BT12" s="214" t="s">
        <v>873</v>
      </c>
      <c r="BU12" s="214" t="s">
        <v>873</v>
      </c>
      <c r="BV12" s="214" t="s">
        <v>3141</v>
      </c>
      <c r="BW12" s="214" t="s">
        <v>873</v>
      </c>
      <c r="BX12" s="214" t="s">
        <v>875</v>
      </c>
      <c r="BY12" s="214" t="s">
        <v>875</v>
      </c>
      <c r="BZ12" s="214" t="s">
        <v>3356</v>
      </c>
      <c r="CA12" s="449">
        <v>1</v>
      </c>
      <c r="CB12" s="373" t="s">
        <v>3479</v>
      </c>
      <c r="CC12" s="359">
        <f>+SUM(AQ12:BB12)</f>
        <v>12</v>
      </c>
      <c r="CD12" s="359">
        <f t="shared" si="1"/>
        <v>12</v>
      </c>
      <c r="CE12" s="343">
        <f t="shared" si="2"/>
        <v>1</v>
      </c>
      <c r="CF12" s="381">
        <f t="shared" si="3"/>
        <v>12</v>
      </c>
      <c r="CG12" s="327" t="s">
        <v>3509</v>
      </c>
      <c r="CH12" s="327" t="str">
        <f t="shared" si="4"/>
        <v>Numérica</v>
      </c>
      <c r="CI12" s="327"/>
      <c r="CJ12" s="381">
        <v>3</v>
      </c>
      <c r="CK12" s="378" t="str">
        <f t="shared" si="6"/>
        <v xml:space="preserve">Delegatura para Entidades Territoriales y Generadores y Recaudadores y Administradores de Recursos del SGSSS </v>
      </c>
      <c r="CL12" s="378" t="str">
        <f t="shared" si="7"/>
        <v>Mesas ejecutadas para la apropiación del Sistema Integrado de Gestión al interior de la Delegada.</v>
      </c>
      <c r="CM12" s="378" t="str">
        <f t="shared" si="8"/>
        <v xml:space="preserve">Número de mesas ejecutadas para la apropiación del Sistema Integrado de Gestión al interior de la Delegada realizadas </v>
      </c>
      <c r="CN12" s="390">
        <f t="shared" si="9"/>
        <v>12</v>
      </c>
      <c r="CO12" s="390">
        <f t="shared" si="10"/>
        <v>12</v>
      </c>
      <c r="CP12" s="387">
        <f t="shared" si="13"/>
        <v>1</v>
      </c>
      <c r="CQ12" s="378">
        <f t="shared" si="11"/>
        <v>12</v>
      </c>
      <c r="CR12" s="379" t="str">
        <f t="shared" si="12"/>
        <v>CUMPLIO</v>
      </c>
      <c r="DB12" s="413" t="s">
        <v>238</v>
      </c>
      <c r="DC12" s="272">
        <v>11</v>
      </c>
      <c r="DD12" s="272">
        <v>2</v>
      </c>
      <c r="DE12" s="272"/>
      <c r="DF12" s="272"/>
      <c r="DG12" s="272">
        <v>13</v>
      </c>
    </row>
    <row r="13" spans="1:112" s="83" customFormat="1" ht="409.6" thickTop="1" thickBot="1">
      <c r="A13" s="83" t="s">
        <v>296</v>
      </c>
      <c r="B13" s="75" t="s">
        <v>198</v>
      </c>
      <c r="C13" s="75" t="s">
        <v>902</v>
      </c>
      <c r="D13" s="75" t="s">
        <v>903</v>
      </c>
      <c r="E13" s="75" t="s">
        <v>923</v>
      </c>
      <c r="F13" s="75" t="s">
        <v>924</v>
      </c>
      <c r="G13" s="75" t="s">
        <v>215</v>
      </c>
      <c r="H13" s="75" t="s">
        <v>860</v>
      </c>
      <c r="I13" s="76" t="s">
        <v>861</v>
      </c>
      <c r="J13" s="76" t="s">
        <v>862</v>
      </c>
      <c r="K13" s="76" t="s">
        <v>925</v>
      </c>
      <c r="L13" s="77" t="s">
        <v>864</v>
      </c>
      <c r="M13" s="76" t="s">
        <v>297</v>
      </c>
      <c r="N13" s="88" t="s">
        <v>296</v>
      </c>
      <c r="O13" s="77" t="s">
        <v>298</v>
      </c>
      <c r="P13" s="77" t="s">
        <v>926</v>
      </c>
      <c r="Q13" s="77" t="s">
        <v>926</v>
      </c>
      <c r="R13" s="77" t="s">
        <v>876</v>
      </c>
      <c r="S13" s="77" t="s">
        <v>927</v>
      </c>
      <c r="T13" s="76" t="s">
        <v>870</v>
      </c>
      <c r="U13" s="76" t="s">
        <v>157</v>
      </c>
      <c r="V13" s="76" t="s">
        <v>872</v>
      </c>
      <c r="W13" s="77">
        <v>32</v>
      </c>
      <c r="X13" s="298">
        <v>32</v>
      </c>
      <c r="Y13" s="76"/>
      <c r="Z13" s="76"/>
      <c r="AA13" s="76">
        <v>8</v>
      </c>
      <c r="AB13" s="76"/>
      <c r="AC13" s="76"/>
      <c r="AD13" s="76">
        <v>8</v>
      </c>
      <c r="AE13" s="76"/>
      <c r="AF13" s="76"/>
      <c r="AG13" s="76">
        <v>8</v>
      </c>
      <c r="AH13" s="76"/>
      <c r="AI13" s="76"/>
      <c r="AJ13" s="76">
        <v>8</v>
      </c>
      <c r="AK13" s="86" t="s">
        <v>899</v>
      </c>
      <c r="AL13" s="76" t="s">
        <v>928</v>
      </c>
      <c r="AM13" s="76" t="s">
        <v>901</v>
      </c>
      <c r="AN13" s="89">
        <v>178000000</v>
      </c>
      <c r="AO13" s="76" t="s">
        <v>874</v>
      </c>
      <c r="AP13" s="82" t="s">
        <v>296</v>
      </c>
      <c r="AQ13" s="370">
        <f>+VLOOKUP(AP13,SharePoint!$BA$3:$BY$140,2,FALSE)</f>
        <v>0</v>
      </c>
      <c r="AR13" s="370">
        <f>+VLOOKUP(AP13,SharePoint!$BA$3:$BY$140,3,FALSE)</f>
        <v>0</v>
      </c>
      <c r="AS13" s="370">
        <f>+VLOOKUP(AP13,SharePoint!$BA$3:$BY$140,4,FALSE)</f>
        <v>8</v>
      </c>
      <c r="AT13" s="370">
        <f>+VLOOKUP(AP13,SharePoint!$BA$3:$BY$140,5,FALSE)</f>
        <v>0</v>
      </c>
      <c r="AU13" s="370">
        <f>+VLOOKUP(AP13,SharePoint!$BA$3:$BY$140,6,FALSE)</f>
        <v>0</v>
      </c>
      <c r="AV13" s="370">
        <f>+VLOOKUP(AP13,SharePoint!$BA$3:$BY$140,7,FALSE)</f>
        <v>8</v>
      </c>
      <c r="AW13" s="370">
        <f>+VLOOKUP(AP13,SharePoint!$BA$3:$BY$140,8,FALSE)</f>
        <v>0</v>
      </c>
      <c r="AX13" s="370">
        <f>+VLOOKUP(AP13,SharePoint!$BA$3:$BY$140,9,FALSE)</f>
        <v>0</v>
      </c>
      <c r="AY13" s="370">
        <f>+VLOOKUP(AP13,SharePoint!$BA$3:$BY$140,10,FALSE)</f>
        <v>5</v>
      </c>
      <c r="AZ13" s="370">
        <f>+VLOOKUP(AP13,SharePoint!$BA$3:$BY$140,11,FALSE)</f>
        <v>0</v>
      </c>
      <c r="BA13" s="370">
        <f>+VLOOKUP(AP13,SharePoint!$BA$3:$BY$140,12,FALSE)</f>
        <v>0</v>
      </c>
      <c r="BB13" s="370">
        <f>+VLOOKUP(AP13,SharePoint!$BA$3:$BY$140,13,FALSE)</f>
        <v>14</v>
      </c>
      <c r="BC13" s="226">
        <f>+VLOOKUP(AP13,SharePoint!$BA$3:$BY$140,14,FALSE)</f>
        <v>0</v>
      </c>
      <c r="BD13" s="226">
        <f>+VLOOKUP(AP13,SharePoint!$BA$3:$BY$140,15,FALSE)</f>
        <v>0</v>
      </c>
      <c r="BE13" s="226">
        <f>+VLOOKUP(AP13,SharePoint!$BA$3:$BY$140,16,FALSE)</f>
        <v>8</v>
      </c>
      <c r="BF13" s="226">
        <f>+VLOOKUP(AP13,SharePoint!$BA$3:$BY$140,17,FALSE)</f>
        <v>0</v>
      </c>
      <c r="BG13" s="226">
        <f>+VLOOKUP(AP13,SharePoint!$BA$3:$BY$140,18,FALSE)</f>
        <v>0</v>
      </c>
      <c r="BH13" s="226">
        <f>+VLOOKUP(AP13,SharePoint!$BA$3:$BY$140,19,FALSE)</f>
        <v>8</v>
      </c>
      <c r="BI13" s="226">
        <f>+VLOOKUP(AP13,SharePoint!$BA$3:$BY$140,20,FALSE)</f>
        <v>0</v>
      </c>
      <c r="BJ13" s="226">
        <f>+VLOOKUP(AP13,SharePoint!$BA$3:$BY$140,21,FALSE)</f>
        <v>0</v>
      </c>
      <c r="BK13" s="226">
        <f>+VLOOKUP(AP13,SharePoint!$BA$3:$BY$140,22,FALSE)</f>
        <v>8</v>
      </c>
      <c r="BL13" s="226">
        <f>+VLOOKUP(AP13,SharePoint!$BA$3:$BY$140,23,FALSE)</f>
        <v>0</v>
      </c>
      <c r="BM13" s="226">
        <f>+VLOOKUP(AP13,SharePoint!$BA$3:$BY$140,24,FALSE)</f>
        <v>0</v>
      </c>
      <c r="BN13" s="226">
        <f>+VLOOKUP(AP13,SharePoint!$BA$3:$BY$140,25,FALSE)</f>
        <v>8</v>
      </c>
      <c r="BO13" s="214" t="s">
        <v>873</v>
      </c>
      <c r="BP13" s="214" t="s">
        <v>873</v>
      </c>
      <c r="BQ13" s="215" t="s">
        <v>3029</v>
      </c>
      <c r="BR13" s="214" t="s">
        <v>873</v>
      </c>
      <c r="BS13" s="214" t="s">
        <v>873</v>
      </c>
      <c r="BT13" s="215" t="s">
        <v>2990</v>
      </c>
      <c r="BU13" s="214" t="s">
        <v>873</v>
      </c>
      <c r="BV13" s="214" t="s">
        <v>873</v>
      </c>
      <c r="BW13" s="214" t="s">
        <v>2856</v>
      </c>
      <c r="BX13" s="214" t="s">
        <v>875</v>
      </c>
      <c r="BY13" s="214" t="s">
        <v>875</v>
      </c>
      <c r="BZ13" s="214" t="s">
        <v>3385</v>
      </c>
      <c r="CA13" s="449">
        <v>1</v>
      </c>
      <c r="CB13" s="420" t="s">
        <v>3413</v>
      </c>
      <c r="CC13" s="358">
        <f t="shared" si="0"/>
        <v>35</v>
      </c>
      <c r="CD13" s="358">
        <f t="shared" si="1"/>
        <v>32</v>
      </c>
      <c r="CE13" s="343">
        <f t="shared" si="2"/>
        <v>1.09375</v>
      </c>
      <c r="CF13" s="381">
        <f t="shared" si="3"/>
        <v>32</v>
      </c>
      <c r="CG13" s="327" t="s">
        <v>3510</v>
      </c>
      <c r="CH13" s="327" t="str">
        <f t="shared" si="4"/>
        <v>Numérica</v>
      </c>
      <c r="CI13" s="327"/>
      <c r="CJ13" s="381">
        <v>4</v>
      </c>
      <c r="CK13" s="376" t="str">
        <f t="shared" si="6"/>
        <v xml:space="preserve">Delegatura para Entidades Territoriales y Generadores y Recaudadores y Administradores de Recursos del SGSSS </v>
      </c>
      <c r="CL13" s="376" t="str">
        <f t="shared" si="7"/>
        <v>Seguimiento a las actividades de las Direcciones regionales.</v>
      </c>
      <c r="CM13" s="376" t="str">
        <f t="shared" si="8"/>
        <v xml:space="preserve">Número de seguimientos realizados  </v>
      </c>
      <c r="CN13" s="389">
        <f>+CC13</f>
        <v>35</v>
      </c>
      <c r="CO13" s="389">
        <f t="shared" si="10"/>
        <v>32</v>
      </c>
      <c r="CP13" s="388">
        <f t="shared" si="13"/>
        <v>1.09375</v>
      </c>
      <c r="CQ13" s="376">
        <f t="shared" si="11"/>
        <v>32</v>
      </c>
      <c r="CR13" s="377" t="str">
        <f t="shared" si="12"/>
        <v>SOBRECUMPLIO</v>
      </c>
      <c r="DB13" s="413" t="s">
        <v>317</v>
      </c>
      <c r="DC13" s="272">
        <v>7</v>
      </c>
      <c r="DD13" s="272">
        <v>5</v>
      </c>
      <c r="DE13" s="272"/>
      <c r="DF13" s="272"/>
      <c r="DG13" s="272">
        <v>12</v>
      </c>
    </row>
    <row r="14" spans="1:112" s="83" customFormat="1" ht="409.6" thickTop="1" thickBot="1">
      <c r="A14" s="83" t="s">
        <v>547</v>
      </c>
      <c r="B14" s="75" t="s">
        <v>198</v>
      </c>
      <c r="C14" s="75" t="s">
        <v>902</v>
      </c>
      <c r="D14" s="75" t="s">
        <v>903</v>
      </c>
      <c r="E14" s="75" t="s">
        <v>858</v>
      </c>
      <c r="F14" s="75" t="s">
        <v>859</v>
      </c>
      <c r="G14" s="75" t="s">
        <v>189</v>
      </c>
      <c r="H14" s="75" t="s">
        <v>904</v>
      </c>
      <c r="I14" s="76" t="s">
        <v>861</v>
      </c>
      <c r="J14" s="76" t="s">
        <v>862</v>
      </c>
      <c r="K14" s="76" t="s">
        <v>907</v>
      </c>
      <c r="L14" s="77" t="s">
        <v>864</v>
      </c>
      <c r="M14" s="76" t="s">
        <v>929</v>
      </c>
      <c r="N14" s="88" t="s">
        <v>547</v>
      </c>
      <c r="O14" s="77" t="s">
        <v>549</v>
      </c>
      <c r="P14" s="77" t="s">
        <v>930</v>
      </c>
      <c r="Q14" s="77" t="s">
        <v>930</v>
      </c>
      <c r="R14" s="77" t="s">
        <v>876</v>
      </c>
      <c r="S14" s="77" t="s">
        <v>931</v>
      </c>
      <c r="T14" s="76" t="s">
        <v>870</v>
      </c>
      <c r="U14" s="76" t="s">
        <v>157</v>
      </c>
      <c r="V14" s="76" t="s">
        <v>910</v>
      </c>
      <c r="W14" s="77">
        <v>60</v>
      </c>
      <c r="X14" s="298">
        <v>70</v>
      </c>
      <c r="Y14" s="76"/>
      <c r="Z14" s="76"/>
      <c r="AA14" s="76"/>
      <c r="AB14" s="76">
        <v>14</v>
      </c>
      <c r="AC14" s="76"/>
      <c r="AD14" s="76"/>
      <c r="AE14" s="76"/>
      <c r="AF14" s="76">
        <v>34</v>
      </c>
      <c r="AG14" s="76"/>
      <c r="AH14" s="76"/>
      <c r="AI14" s="76"/>
      <c r="AJ14" s="76">
        <v>22</v>
      </c>
      <c r="AK14" s="86" t="s">
        <v>899</v>
      </c>
      <c r="AL14" s="90" t="s">
        <v>932</v>
      </c>
      <c r="AM14" s="76" t="s">
        <v>901</v>
      </c>
      <c r="AN14" s="89">
        <v>343410786</v>
      </c>
      <c r="AO14" s="76" t="s">
        <v>874</v>
      </c>
      <c r="AP14" s="82" t="s">
        <v>547</v>
      </c>
      <c r="AQ14" s="370">
        <f>+VLOOKUP(AP14,SharePoint!$BA$3:$BY$140,2,FALSE)</f>
        <v>0</v>
      </c>
      <c r="AR14" s="370">
        <f>+VLOOKUP(AP14,SharePoint!$BA$3:$BY$140,3,FALSE)</f>
        <v>0</v>
      </c>
      <c r="AS14" s="370">
        <f>+VLOOKUP(AP14,SharePoint!$BA$3:$BY$140,4,FALSE)</f>
        <v>0</v>
      </c>
      <c r="AT14" s="370">
        <f>+VLOOKUP(AP14,SharePoint!$BA$3:$BY$140,5,FALSE)</f>
        <v>14</v>
      </c>
      <c r="AU14" s="370">
        <f>+VLOOKUP(AP14,SharePoint!$BA$3:$BY$140,6,FALSE)</f>
        <v>0</v>
      </c>
      <c r="AV14" s="370">
        <f>+VLOOKUP(AP14,SharePoint!$BA$3:$BY$140,7,FALSE)</f>
        <v>0</v>
      </c>
      <c r="AW14" s="370">
        <f>+VLOOKUP(AP14,SharePoint!$BA$3:$BY$140,8,FALSE)</f>
        <v>0</v>
      </c>
      <c r="AX14" s="370">
        <f>+VLOOKUP(AP14,SharePoint!$BA$3:$BY$140,9,FALSE)</f>
        <v>41</v>
      </c>
      <c r="AY14" s="370">
        <f>+VLOOKUP(AP14,SharePoint!$BA$3:$BY$140,10,FALSE)</f>
        <v>0</v>
      </c>
      <c r="AZ14" s="370">
        <f>+VLOOKUP(AP14,SharePoint!$BA$3:$BY$140,11,FALSE)</f>
        <v>0</v>
      </c>
      <c r="BA14" s="370">
        <f>+VLOOKUP(AP14,SharePoint!$BA$3:$BY$140,12,FALSE)</f>
        <v>0</v>
      </c>
      <c r="BB14" s="370">
        <f>+VLOOKUP(AP14,SharePoint!$BA$3:$BY$140,13,FALSE)</f>
        <v>24</v>
      </c>
      <c r="BC14" s="226">
        <f>+VLOOKUP(AP14,SharePoint!$BA$3:$BY$140,14,FALSE)</f>
        <v>0</v>
      </c>
      <c r="BD14" s="226">
        <f>+VLOOKUP(AP14,SharePoint!$BA$3:$BY$140,15,FALSE)</f>
        <v>0</v>
      </c>
      <c r="BE14" s="226">
        <f>+VLOOKUP(AP14,SharePoint!$BA$3:$BY$140,16,FALSE)</f>
        <v>0</v>
      </c>
      <c r="BF14" s="226">
        <f>+VLOOKUP(AP14,SharePoint!$BA$3:$BY$140,17,FALSE)</f>
        <v>14</v>
      </c>
      <c r="BG14" s="226">
        <f>+VLOOKUP(AP14,SharePoint!$BA$3:$BY$140,18,FALSE)</f>
        <v>0</v>
      </c>
      <c r="BH14" s="226">
        <f>+VLOOKUP(AP14,SharePoint!$BA$3:$BY$140,19,FALSE)</f>
        <v>0</v>
      </c>
      <c r="BI14" s="226">
        <f>+VLOOKUP(AP14,SharePoint!$BA$3:$BY$140,20,FALSE)</f>
        <v>0</v>
      </c>
      <c r="BJ14" s="226">
        <f>+VLOOKUP(AP14,SharePoint!$BA$3:$BY$140,21,FALSE)</f>
        <v>34</v>
      </c>
      <c r="BK14" s="226">
        <f>+VLOOKUP(AP14,SharePoint!$BA$3:$BY$140,22,FALSE)</f>
        <v>0</v>
      </c>
      <c r="BL14" s="226">
        <f>+VLOOKUP(AP14,SharePoint!$BA$3:$BY$140,23,FALSE)</f>
        <v>0</v>
      </c>
      <c r="BM14" s="226">
        <f>+VLOOKUP(AP14,SharePoint!$BA$3:$BY$140,24,FALSE)</f>
        <v>0</v>
      </c>
      <c r="BN14" s="226">
        <f>+VLOOKUP(AP14,SharePoint!$BA$3:$BY$140,25,FALSE)</f>
        <v>22</v>
      </c>
      <c r="BO14" s="214" t="s">
        <v>873</v>
      </c>
      <c r="BP14" s="214" t="s">
        <v>873</v>
      </c>
      <c r="BQ14" s="214" t="s">
        <v>873</v>
      </c>
      <c r="BR14" s="215" t="s">
        <v>3030</v>
      </c>
      <c r="BS14" s="214" t="s">
        <v>873</v>
      </c>
      <c r="BT14" s="214" t="s">
        <v>873</v>
      </c>
      <c r="BU14" s="214" t="s">
        <v>873</v>
      </c>
      <c r="BV14" s="214" t="s">
        <v>2941</v>
      </c>
      <c r="BW14" s="214" t="s">
        <v>873</v>
      </c>
      <c r="BX14" s="214" t="s">
        <v>875</v>
      </c>
      <c r="BY14" s="214" t="s">
        <v>875</v>
      </c>
      <c r="BZ14" s="214" t="s">
        <v>3386</v>
      </c>
      <c r="CA14" s="449">
        <v>1</v>
      </c>
      <c r="CB14" s="420" t="s">
        <v>3414</v>
      </c>
      <c r="CC14" s="358">
        <f t="shared" si="0"/>
        <v>79</v>
      </c>
      <c r="CD14" s="358">
        <f t="shared" si="1"/>
        <v>70</v>
      </c>
      <c r="CE14" s="343">
        <f>+CC14/CD14</f>
        <v>1.1285714285714286</v>
      </c>
      <c r="CF14" s="381">
        <f t="shared" si="3"/>
        <v>70</v>
      </c>
      <c r="CG14" s="327" t="s">
        <v>3510</v>
      </c>
      <c r="CH14" s="327" t="str">
        <f t="shared" si="4"/>
        <v>Numérica</v>
      </c>
      <c r="CI14" s="327"/>
      <c r="CJ14" s="381">
        <v>5</v>
      </c>
      <c r="CK14" s="378" t="str">
        <f t="shared" si="6"/>
        <v xml:space="preserve">Delegatura para Entidades Territoriales y Generadores y Recaudadores y Administradores de Recursos del SGSSS </v>
      </c>
      <c r="CL14" s="378" t="str">
        <f t="shared" si="7"/>
        <v>Ejecución de las mesas de Inspección y Vigilancia programadas.</v>
      </c>
      <c r="CM14" s="378" t="str">
        <f t="shared" si="8"/>
        <v xml:space="preserve">Mesas de Inspección y Vigilancia realizadas </v>
      </c>
      <c r="CN14" s="390">
        <f t="shared" si="9"/>
        <v>79</v>
      </c>
      <c r="CO14" s="390">
        <f t="shared" si="10"/>
        <v>70</v>
      </c>
      <c r="CP14" s="387">
        <f t="shared" si="13"/>
        <v>1.1285714285714286</v>
      </c>
      <c r="CQ14" s="378">
        <f t="shared" si="11"/>
        <v>70</v>
      </c>
      <c r="CR14" s="379" t="str">
        <f t="shared" si="12"/>
        <v>SOBRECUMPLIO</v>
      </c>
      <c r="DB14" s="413" t="s">
        <v>265</v>
      </c>
      <c r="DC14" s="272">
        <v>2</v>
      </c>
      <c r="DD14" s="272"/>
      <c r="DE14" s="272">
        <v>1</v>
      </c>
      <c r="DF14" s="272"/>
      <c r="DG14" s="272">
        <v>3</v>
      </c>
    </row>
    <row r="15" spans="1:112" s="83" customFormat="1" ht="409.6" thickTop="1" thickBot="1">
      <c r="A15" s="83" t="s">
        <v>568</v>
      </c>
      <c r="B15" s="75" t="s">
        <v>198</v>
      </c>
      <c r="C15" s="75" t="s">
        <v>856</v>
      </c>
      <c r="D15" s="75" t="s">
        <v>903</v>
      </c>
      <c r="E15" s="75" t="s">
        <v>858</v>
      </c>
      <c r="F15" s="75" t="s">
        <v>933</v>
      </c>
      <c r="G15" s="75" t="s">
        <v>189</v>
      </c>
      <c r="H15" s="75" t="s">
        <v>904</v>
      </c>
      <c r="I15" s="76" t="s">
        <v>861</v>
      </c>
      <c r="J15" s="76" t="s">
        <v>862</v>
      </c>
      <c r="K15" s="77" t="s">
        <v>934</v>
      </c>
      <c r="L15" s="77" t="s">
        <v>935</v>
      </c>
      <c r="M15" s="77" t="s">
        <v>569</v>
      </c>
      <c r="N15" s="76" t="s">
        <v>568</v>
      </c>
      <c r="O15" s="77" t="s">
        <v>936</v>
      </c>
      <c r="P15" s="77" t="s">
        <v>571</v>
      </c>
      <c r="Q15" s="77" t="s">
        <v>571</v>
      </c>
      <c r="R15" s="77" t="s">
        <v>876</v>
      </c>
      <c r="S15" s="77" t="s">
        <v>937</v>
      </c>
      <c r="T15" s="76" t="s">
        <v>870</v>
      </c>
      <c r="U15" s="76" t="s">
        <v>157</v>
      </c>
      <c r="V15" s="76" t="s">
        <v>910</v>
      </c>
      <c r="W15" s="76">
        <v>5</v>
      </c>
      <c r="X15" s="299">
        <v>11</v>
      </c>
      <c r="Y15" s="76"/>
      <c r="Z15" s="76"/>
      <c r="AA15" s="76"/>
      <c r="AB15" s="76">
        <v>4</v>
      </c>
      <c r="AC15" s="76"/>
      <c r="AD15" s="76"/>
      <c r="AE15" s="76"/>
      <c r="AF15" s="76">
        <v>4</v>
      </c>
      <c r="AG15" s="76"/>
      <c r="AH15" s="76"/>
      <c r="AI15" s="76"/>
      <c r="AJ15" s="76">
        <v>3</v>
      </c>
      <c r="AK15" s="86" t="s">
        <v>899</v>
      </c>
      <c r="AL15" s="76" t="s">
        <v>900</v>
      </c>
      <c r="AM15" s="76" t="s">
        <v>901</v>
      </c>
      <c r="AN15" s="87">
        <v>582000000</v>
      </c>
      <c r="AO15" s="76" t="s">
        <v>874</v>
      </c>
      <c r="AP15" s="82" t="s">
        <v>568</v>
      </c>
      <c r="AQ15" s="370">
        <f>+VLOOKUP(AP15,SharePoint!$BA$3:$BY$140,2,FALSE)</f>
        <v>0</v>
      </c>
      <c r="AR15" s="370">
        <f>+VLOOKUP(AP15,SharePoint!$BA$3:$BY$140,3,FALSE)</f>
        <v>0</v>
      </c>
      <c r="AS15" s="370">
        <f>+VLOOKUP(AP15,SharePoint!$BA$3:$BY$140,4,FALSE)</f>
        <v>0</v>
      </c>
      <c r="AT15" s="370">
        <f>+VLOOKUP(AP15,SharePoint!$BA$3:$BY$140,5,FALSE)</f>
        <v>4</v>
      </c>
      <c r="AU15" s="370">
        <f>+VLOOKUP(AP15,SharePoint!$BA$3:$BY$140,6,FALSE)</f>
        <v>0</v>
      </c>
      <c r="AV15" s="370">
        <f>+VLOOKUP(AP15,SharePoint!$BA$3:$BY$140,7,FALSE)</f>
        <v>0</v>
      </c>
      <c r="AW15" s="370">
        <f>+VLOOKUP(AP15,SharePoint!$BA$3:$BY$140,8,FALSE)</f>
        <v>0</v>
      </c>
      <c r="AX15" s="370">
        <f>+VLOOKUP(AP15,SharePoint!$BA$3:$BY$140,9,FALSE)</f>
        <v>5</v>
      </c>
      <c r="AY15" s="370">
        <f>+VLOOKUP(AP15,SharePoint!$BA$3:$BY$140,10,FALSE)</f>
        <v>0</v>
      </c>
      <c r="AZ15" s="370">
        <f>+VLOOKUP(AP15,SharePoint!$BA$3:$BY$140,11,FALSE)</f>
        <v>0</v>
      </c>
      <c r="BA15" s="370">
        <f>+VLOOKUP(AP15,SharePoint!$BA$3:$BY$140,12,FALSE)</f>
        <v>0</v>
      </c>
      <c r="BB15" s="370">
        <f>+VLOOKUP(AP15,SharePoint!$BA$3:$BY$140,13,FALSE)</f>
        <v>8</v>
      </c>
      <c r="BC15" s="226">
        <f>+VLOOKUP(AP15,SharePoint!$BA$3:$BY$140,14,FALSE)</f>
        <v>0</v>
      </c>
      <c r="BD15" s="226">
        <f>+VLOOKUP(AP15,SharePoint!$BA$3:$BY$140,15,FALSE)</f>
        <v>0</v>
      </c>
      <c r="BE15" s="226">
        <f>+VLOOKUP(AP15,SharePoint!$BA$3:$BY$140,16,FALSE)</f>
        <v>0</v>
      </c>
      <c r="BF15" s="226">
        <f>+VLOOKUP(AP15,SharePoint!$BA$3:$BY$140,17,FALSE)</f>
        <v>4</v>
      </c>
      <c r="BG15" s="226">
        <f>+VLOOKUP(AP15,SharePoint!$BA$3:$BY$140,18,FALSE)</f>
        <v>0</v>
      </c>
      <c r="BH15" s="226">
        <f>+VLOOKUP(AP15,SharePoint!$BA$3:$BY$140,19,FALSE)</f>
        <v>0</v>
      </c>
      <c r="BI15" s="226">
        <f>+VLOOKUP(AP15,SharePoint!$BA$3:$BY$140,20,FALSE)</f>
        <v>0</v>
      </c>
      <c r="BJ15" s="226">
        <f>+VLOOKUP(AP15,SharePoint!$BA$3:$BY$140,21,FALSE)</f>
        <v>4</v>
      </c>
      <c r="BK15" s="226">
        <f>+VLOOKUP(AP15,SharePoint!$BA$3:$BY$140,22,FALSE)</f>
        <v>0</v>
      </c>
      <c r="BL15" s="226">
        <f>+VLOOKUP(AP15,SharePoint!$BA$3:$BY$140,23,FALSE)</f>
        <v>0</v>
      </c>
      <c r="BM15" s="226">
        <f>+VLOOKUP(AP15,SharePoint!$BA$3:$BY$140,24,FALSE)</f>
        <v>0</v>
      </c>
      <c r="BN15" s="226">
        <f>+VLOOKUP(AP15,SharePoint!$BA$3:$BY$140,25,FALSE)</f>
        <v>3</v>
      </c>
      <c r="BO15" s="214" t="s">
        <v>873</v>
      </c>
      <c r="BP15" s="214" t="s">
        <v>873</v>
      </c>
      <c r="BQ15" s="214" t="s">
        <v>873</v>
      </c>
      <c r="BR15" s="215" t="s">
        <v>3031</v>
      </c>
      <c r="BS15" s="214" t="s">
        <v>873</v>
      </c>
      <c r="BT15" s="214" t="s">
        <v>873</v>
      </c>
      <c r="BU15" s="214" t="s">
        <v>873</v>
      </c>
      <c r="BV15" s="214" t="s">
        <v>2942</v>
      </c>
      <c r="BW15" s="214" t="s">
        <v>873</v>
      </c>
      <c r="BX15" s="214" t="s">
        <v>875</v>
      </c>
      <c r="BY15" s="214" t="s">
        <v>875</v>
      </c>
      <c r="BZ15" s="214" t="s">
        <v>3391</v>
      </c>
      <c r="CA15" s="449">
        <v>1</v>
      </c>
      <c r="CB15" s="420" t="s">
        <v>3415</v>
      </c>
      <c r="CC15" s="358">
        <f t="shared" si="0"/>
        <v>17</v>
      </c>
      <c r="CD15" s="358">
        <f t="shared" si="1"/>
        <v>11</v>
      </c>
      <c r="CE15" s="343">
        <f t="shared" si="2"/>
        <v>1.5454545454545454</v>
      </c>
      <c r="CF15" s="381">
        <f t="shared" si="3"/>
        <v>11</v>
      </c>
      <c r="CG15" s="327" t="s">
        <v>3510</v>
      </c>
      <c r="CH15" s="327" t="str">
        <f t="shared" si="4"/>
        <v>Numérica</v>
      </c>
      <c r="CI15" s="327"/>
      <c r="CJ15" s="381">
        <v>1</v>
      </c>
      <c r="CK15" s="376" t="str">
        <f t="shared" si="6"/>
        <v xml:space="preserve">Delegatura para Entidades Territoriales y Generadores y Recaudadores y Administradores de Recursos del SGSSS </v>
      </c>
      <c r="CL15" s="376" t="str">
        <f t="shared" si="7"/>
        <v xml:space="preserve">
Territorios con acciones Integrales</v>
      </c>
      <c r="CM15" s="376" t="str">
        <f t="shared" si="8"/>
        <v>Número de Acciones Integrales en territorio Ejecutadas</v>
      </c>
      <c r="CN15" s="389">
        <f t="shared" si="9"/>
        <v>17</v>
      </c>
      <c r="CO15" s="389">
        <f t="shared" si="10"/>
        <v>11</v>
      </c>
      <c r="CP15" s="388">
        <f t="shared" si="13"/>
        <v>1.5454545454545454</v>
      </c>
      <c r="CQ15" s="376">
        <f t="shared" si="11"/>
        <v>11</v>
      </c>
      <c r="CR15" s="377" t="str">
        <f t="shared" si="12"/>
        <v>SOBRECUMPLIO</v>
      </c>
      <c r="DB15" s="413" t="s">
        <v>607</v>
      </c>
      <c r="DC15" s="272">
        <v>2</v>
      </c>
      <c r="DD15" s="272">
        <v>1</v>
      </c>
      <c r="DE15" s="272">
        <v>3</v>
      </c>
      <c r="DF15" s="272"/>
      <c r="DG15" s="272">
        <v>6</v>
      </c>
    </row>
    <row r="16" spans="1:112" s="83" customFormat="1" ht="409.6" thickTop="1" thickBot="1">
      <c r="A16" s="83" t="s">
        <v>301</v>
      </c>
      <c r="B16" s="75" t="s">
        <v>198</v>
      </c>
      <c r="C16" s="75" t="s">
        <v>938</v>
      </c>
      <c r="D16" s="75" t="s">
        <v>939</v>
      </c>
      <c r="E16" s="75" t="s">
        <v>858</v>
      </c>
      <c r="F16" s="75" t="s">
        <v>933</v>
      </c>
      <c r="G16" s="75" t="s">
        <v>283</v>
      </c>
      <c r="H16" s="75" t="s">
        <v>886</v>
      </c>
      <c r="I16" s="76" t="s">
        <v>861</v>
      </c>
      <c r="J16" s="76" t="s">
        <v>862</v>
      </c>
      <c r="K16" s="76" t="s">
        <v>940</v>
      </c>
      <c r="L16" s="76" t="s">
        <v>875</v>
      </c>
      <c r="M16" s="77" t="s">
        <v>941</v>
      </c>
      <c r="N16" s="76" t="s">
        <v>301</v>
      </c>
      <c r="O16" s="76" t="s">
        <v>303</v>
      </c>
      <c r="P16" s="76" t="s">
        <v>304</v>
      </c>
      <c r="Q16" s="76" t="s">
        <v>304</v>
      </c>
      <c r="R16" s="77" t="s">
        <v>876</v>
      </c>
      <c r="S16" s="76" t="s">
        <v>942</v>
      </c>
      <c r="T16" s="76" t="s">
        <v>870</v>
      </c>
      <c r="U16" s="76" t="s">
        <v>157</v>
      </c>
      <c r="V16" s="76" t="s">
        <v>872</v>
      </c>
      <c r="W16" s="76">
        <v>0</v>
      </c>
      <c r="X16" s="299">
        <v>80</v>
      </c>
      <c r="Y16" s="76"/>
      <c r="Z16" s="76"/>
      <c r="AA16" s="76">
        <v>20</v>
      </c>
      <c r="AB16" s="76"/>
      <c r="AC16" s="76"/>
      <c r="AD16" s="76">
        <v>20</v>
      </c>
      <c r="AE16" s="76"/>
      <c r="AF16" s="76"/>
      <c r="AG16" s="76">
        <v>20</v>
      </c>
      <c r="AH16" s="76"/>
      <c r="AI16" s="76"/>
      <c r="AJ16" s="76">
        <v>20</v>
      </c>
      <c r="AK16" s="86" t="s">
        <v>899</v>
      </c>
      <c r="AL16" s="91" t="s">
        <v>943</v>
      </c>
      <c r="AM16" s="76" t="s">
        <v>901</v>
      </c>
      <c r="AN16" s="89">
        <v>196000000</v>
      </c>
      <c r="AO16" s="76" t="s">
        <v>874</v>
      </c>
      <c r="AP16" s="82" t="s">
        <v>301</v>
      </c>
      <c r="AQ16" s="370">
        <f>+VLOOKUP(AP16,SharePoint!$BA$3:$BY$140,2,FALSE)</f>
        <v>0</v>
      </c>
      <c r="AR16" s="370">
        <f>+VLOOKUP(AP16,SharePoint!$BA$3:$BY$140,3,FALSE)</f>
        <v>0</v>
      </c>
      <c r="AS16" s="370">
        <f>+VLOOKUP(AP16,SharePoint!$BA$3:$BY$140,4,FALSE)</f>
        <v>24</v>
      </c>
      <c r="AT16" s="370">
        <f>+VLOOKUP(AP16,SharePoint!$BA$3:$BY$140,5,FALSE)</f>
        <v>0</v>
      </c>
      <c r="AU16" s="370">
        <f>+VLOOKUP(AP16,SharePoint!$BA$3:$BY$140,6,FALSE)</f>
        <v>0</v>
      </c>
      <c r="AV16" s="370">
        <f>+VLOOKUP(AP16,SharePoint!$BA$3:$BY$140,7,FALSE)</f>
        <v>20</v>
      </c>
      <c r="AW16" s="370">
        <f>+VLOOKUP(AP16,SharePoint!$BA$3:$BY$140,8,FALSE)</f>
        <v>0</v>
      </c>
      <c r="AX16" s="370">
        <f>+VLOOKUP(AP16,SharePoint!$BA$3:$BY$140,9,FALSE)</f>
        <v>0</v>
      </c>
      <c r="AY16" s="370">
        <f>+VLOOKUP(AP16,SharePoint!$BA$3:$BY$140,10,FALSE)</f>
        <v>21</v>
      </c>
      <c r="AZ16" s="370">
        <f>+VLOOKUP(AP16,SharePoint!$BA$3:$BY$140,11,FALSE)</f>
        <v>0</v>
      </c>
      <c r="BA16" s="370">
        <f>+VLOOKUP(AP16,SharePoint!$BA$3:$BY$140,12,FALSE)</f>
        <v>0</v>
      </c>
      <c r="BB16" s="370">
        <f>+VLOOKUP(AP16,SharePoint!$BA$3:$BY$140,13,FALSE)</f>
        <v>15</v>
      </c>
      <c r="BC16" s="226">
        <f>+VLOOKUP(AP16,SharePoint!$BA$3:$BY$140,14,FALSE)</f>
        <v>0</v>
      </c>
      <c r="BD16" s="226">
        <f>+VLOOKUP(AP16,SharePoint!$BA$3:$BY$140,15,FALSE)</f>
        <v>0</v>
      </c>
      <c r="BE16" s="226">
        <f>+VLOOKUP(AP16,SharePoint!$BA$3:$BY$140,16,FALSE)</f>
        <v>20</v>
      </c>
      <c r="BF16" s="226">
        <f>+VLOOKUP(AP16,SharePoint!$BA$3:$BY$140,17,FALSE)</f>
        <v>0</v>
      </c>
      <c r="BG16" s="226">
        <f>+VLOOKUP(AP16,SharePoint!$BA$3:$BY$140,18,FALSE)</f>
        <v>0</v>
      </c>
      <c r="BH16" s="226">
        <f>+VLOOKUP(AP16,SharePoint!$BA$3:$BY$140,19,FALSE)</f>
        <v>20</v>
      </c>
      <c r="BI16" s="226">
        <f>+VLOOKUP(AP16,SharePoint!$BA$3:$BY$140,20,FALSE)</f>
        <v>0</v>
      </c>
      <c r="BJ16" s="226">
        <f>+VLOOKUP(AP16,SharePoint!$BA$3:$BY$140,21,FALSE)</f>
        <v>0</v>
      </c>
      <c r="BK16" s="226">
        <f>+VLOOKUP(AP16,SharePoint!$BA$3:$BY$140,22,FALSE)</f>
        <v>20</v>
      </c>
      <c r="BL16" s="226">
        <f>+VLOOKUP(AP16,SharePoint!$BA$3:$BY$140,23,FALSE)</f>
        <v>0</v>
      </c>
      <c r="BM16" s="226">
        <f>+VLOOKUP(AP16,SharePoint!$BA$3:$BY$140,24,FALSE)</f>
        <v>0</v>
      </c>
      <c r="BN16" s="226">
        <f>+VLOOKUP(AP16,SharePoint!$BA$3:$BY$140,25,FALSE)</f>
        <v>20</v>
      </c>
      <c r="BO16" s="214" t="s">
        <v>873</v>
      </c>
      <c r="BP16" s="214" t="s">
        <v>873</v>
      </c>
      <c r="BQ16" s="215" t="s">
        <v>305</v>
      </c>
      <c r="BR16" s="214" t="s">
        <v>873</v>
      </c>
      <c r="BS16" s="214" t="s">
        <v>873</v>
      </c>
      <c r="BT16" s="215" t="s">
        <v>2992</v>
      </c>
      <c r="BU16" s="214" t="s">
        <v>873</v>
      </c>
      <c r="BV16" s="214" t="s">
        <v>873</v>
      </c>
      <c r="BW16" s="214" t="s">
        <v>2931</v>
      </c>
      <c r="BX16" s="214" t="s">
        <v>875</v>
      </c>
      <c r="BY16" s="214" t="s">
        <v>875</v>
      </c>
      <c r="BZ16" s="214" t="s">
        <v>3392</v>
      </c>
      <c r="CA16" s="449">
        <v>1</v>
      </c>
      <c r="CB16" s="373" t="s">
        <v>3407</v>
      </c>
      <c r="CC16" s="359">
        <f t="shared" si="0"/>
        <v>80</v>
      </c>
      <c r="CD16" s="359">
        <f t="shared" si="1"/>
        <v>80</v>
      </c>
      <c r="CE16" s="343">
        <f t="shared" si="2"/>
        <v>1</v>
      </c>
      <c r="CF16" s="381">
        <f t="shared" si="3"/>
        <v>80</v>
      </c>
      <c r="CG16" s="327" t="s">
        <v>3509</v>
      </c>
      <c r="CH16" s="327" t="str">
        <f t="shared" si="4"/>
        <v>Numérica</v>
      </c>
      <c r="CI16" s="327"/>
      <c r="CJ16" s="381">
        <v>2</v>
      </c>
      <c r="CK16" s="378" t="str">
        <f t="shared" si="6"/>
        <v xml:space="preserve">Delegatura para Entidades Territoriales y Generadores y Recaudadores y Administradores de Recursos del SGSSS </v>
      </c>
      <c r="CL16" s="378" t="str">
        <f t="shared" si="7"/>
        <v>Seguimientos a Circular 030</v>
      </c>
      <c r="CM16" s="378" t="str">
        <f t="shared" si="8"/>
        <v>Numero de Seguimientos realizados - Circular 030</v>
      </c>
      <c r="CN16" s="390">
        <f t="shared" si="9"/>
        <v>80</v>
      </c>
      <c r="CO16" s="390">
        <f t="shared" si="10"/>
        <v>80</v>
      </c>
      <c r="CP16" s="387">
        <f t="shared" si="13"/>
        <v>1</v>
      </c>
      <c r="CQ16" s="378">
        <f t="shared" si="11"/>
        <v>80</v>
      </c>
      <c r="CR16" s="379" t="str">
        <f t="shared" si="12"/>
        <v>CUMPLIO</v>
      </c>
      <c r="DB16" s="413" t="s">
        <v>359</v>
      </c>
      <c r="DC16" s="272">
        <v>2</v>
      </c>
      <c r="DD16" s="272"/>
      <c r="DE16" s="272"/>
      <c r="DF16" s="272"/>
      <c r="DG16" s="272">
        <v>2</v>
      </c>
    </row>
    <row r="17" spans="1:111" s="83" customFormat="1" ht="409.6" thickTop="1" thickBot="1">
      <c r="A17" s="83" t="s">
        <v>307</v>
      </c>
      <c r="B17" s="75" t="s">
        <v>198</v>
      </c>
      <c r="C17" s="75" t="s">
        <v>902</v>
      </c>
      <c r="D17" s="75" t="s">
        <v>903</v>
      </c>
      <c r="E17" s="75" t="s">
        <v>858</v>
      </c>
      <c r="F17" s="75" t="s">
        <v>859</v>
      </c>
      <c r="G17" s="75" t="s">
        <v>189</v>
      </c>
      <c r="H17" s="75" t="s">
        <v>904</v>
      </c>
      <c r="I17" s="76" t="s">
        <v>861</v>
      </c>
      <c r="J17" s="76" t="s">
        <v>862</v>
      </c>
      <c r="K17" s="76" t="s">
        <v>907</v>
      </c>
      <c r="L17" s="77" t="s">
        <v>864</v>
      </c>
      <c r="M17" s="76" t="s">
        <v>944</v>
      </c>
      <c r="N17" s="76" t="s">
        <v>307</v>
      </c>
      <c r="O17" s="76" t="s">
        <v>945</v>
      </c>
      <c r="P17" s="76" t="s">
        <v>310</v>
      </c>
      <c r="Q17" s="76" t="s">
        <v>310</v>
      </c>
      <c r="R17" s="77" t="s">
        <v>876</v>
      </c>
      <c r="S17" s="76" t="s">
        <v>946</v>
      </c>
      <c r="T17" s="76" t="s">
        <v>870</v>
      </c>
      <c r="U17" s="76" t="s">
        <v>157</v>
      </c>
      <c r="V17" s="76" t="s">
        <v>914</v>
      </c>
      <c r="W17" s="79">
        <v>0</v>
      </c>
      <c r="X17" s="299">
        <v>33</v>
      </c>
      <c r="Y17" s="80"/>
      <c r="Z17" s="80"/>
      <c r="AA17" s="92">
        <v>3</v>
      </c>
      <c r="AB17" s="92">
        <v>6</v>
      </c>
      <c r="AC17" s="92">
        <v>7</v>
      </c>
      <c r="AD17" s="92">
        <v>7</v>
      </c>
      <c r="AE17" s="92">
        <v>7</v>
      </c>
      <c r="AF17" s="92"/>
      <c r="AG17" s="92"/>
      <c r="AH17" s="92"/>
      <c r="AI17" s="281">
        <v>1</v>
      </c>
      <c r="AJ17" s="281">
        <v>2</v>
      </c>
      <c r="AK17" s="86" t="s">
        <v>899</v>
      </c>
      <c r="AL17" s="76" t="s">
        <v>900</v>
      </c>
      <c r="AM17" s="76" t="s">
        <v>901</v>
      </c>
      <c r="AN17" s="87">
        <v>360000000</v>
      </c>
      <c r="AO17" s="76" t="s">
        <v>874</v>
      </c>
      <c r="AP17" s="82" t="s">
        <v>307</v>
      </c>
      <c r="AQ17" s="370">
        <f>+VLOOKUP(AP17,SharePoint!$BA$3:$BY$140,2,FALSE)</f>
        <v>0</v>
      </c>
      <c r="AR17" s="370">
        <f>+VLOOKUP(AP17,SharePoint!$BA$3:$BY$140,3,FALSE)</f>
        <v>0</v>
      </c>
      <c r="AS17" s="370">
        <f>+VLOOKUP(AP17,SharePoint!$BA$3:$BY$140,4,FALSE)</f>
        <v>3</v>
      </c>
      <c r="AT17" s="370">
        <f>+VLOOKUP(AP17,SharePoint!$BA$3:$BY$140,5,FALSE)</f>
        <v>6</v>
      </c>
      <c r="AU17" s="370">
        <f>+VLOOKUP(AP17,SharePoint!$BA$3:$BY$140,6,FALSE)</f>
        <v>4</v>
      </c>
      <c r="AV17" s="370">
        <f>+VLOOKUP(AP17,SharePoint!$BA$3:$BY$140,7,FALSE)</f>
        <v>2</v>
      </c>
      <c r="AW17" s="370">
        <f>+VLOOKUP(AP17,SharePoint!$BA$3:$BY$140,8,FALSE)</f>
        <v>9</v>
      </c>
      <c r="AX17" s="370">
        <f>+VLOOKUP(AP17,SharePoint!$BA$3:$BY$140,9,FALSE)</f>
        <v>0</v>
      </c>
      <c r="AY17" s="370">
        <f>+VLOOKUP(AP17,SharePoint!$BA$3:$BY$140,10,FALSE)</f>
        <v>0</v>
      </c>
      <c r="AZ17" s="370">
        <f>+VLOOKUP(AP17,SharePoint!$BA$3:$BY$140,11,FALSE)</f>
        <v>0</v>
      </c>
      <c r="BA17" s="370">
        <f>+VLOOKUP(AP17,SharePoint!$BA$3:$BY$140,12,FALSE)</f>
        <v>17</v>
      </c>
      <c r="BB17" s="370">
        <f>+VLOOKUP(AP17,SharePoint!$BA$3:$BY$140,13,FALSE)</f>
        <v>0</v>
      </c>
      <c r="BC17" s="226">
        <f>+VLOOKUP(AP17,SharePoint!$BA$3:$BY$140,14,FALSE)</f>
        <v>0</v>
      </c>
      <c r="BD17" s="226">
        <f>+VLOOKUP(AP17,SharePoint!$BA$3:$BY$140,15,FALSE)</f>
        <v>0</v>
      </c>
      <c r="BE17" s="226">
        <f>+VLOOKUP(AP17,SharePoint!$BA$3:$BY$140,16,FALSE)</f>
        <v>3</v>
      </c>
      <c r="BF17" s="226">
        <f>+VLOOKUP(AP17,SharePoint!$BA$3:$BY$140,17,FALSE)</f>
        <v>6</v>
      </c>
      <c r="BG17" s="226">
        <f>+VLOOKUP(AP17,SharePoint!$BA$3:$BY$140,18,FALSE)</f>
        <v>7</v>
      </c>
      <c r="BH17" s="226">
        <f>+VLOOKUP(AP17,SharePoint!$BA$3:$BY$140,19,FALSE)</f>
        <v>7</v>
      </c>
      <c r="BI17" s="226">
        <f>+VLOOKUP(AP17,SharePoint!$BA$3:$BY$140,20,FALSE)</f>
        <v>7</v>
      </c>
      <c r="BJ17" s="226">
        <f>+VLOOKUP(AP17,SharePoint!$BA$3:$BY$140,21,FALSE)</f>
        <v>0</v>
      </c>
      <c r="BK17" s="226">
        <f>+VLOOKUP(AP17,SharePoint!$BA$3:$BY$140,22,FALSE)</f>
        <v>0</v>
      </c>
      <c r="BL17" s="226">
        <f>+VLOOKUP(AP17,SharePoint!$BA$3:$BY$140,23,FALSE)</f>
        <v>0</v>
      </c>
      <c r="BM17" s="226">
        <f>+VLOOKUP(AP17,SharePoint!$BA$3:$BY$140,24,FALSE)</f>
        <v>1</v>
      </c>
      <c r="BN17" s="226">
        <f>+VLOOKUP(AP17,SharePoint!$BA$3:$BY$140,25,FALSE)</f>
        <v>2</v>
      </c>
      <c r="BO17" s="214" t="s">
        <v>873</v>
      </c>
      <c r="BP17" s="214" t="s">
        <v>873</v>
      </c>
      <c r="BQ17" s="215" t="s">
        <v>3032</v>
      </c>
      <c r="BR17" s="215" t="s">
        <v>3033</v>
      </c>
      <c r="BS17" s="215" t="s">
        <v>3034</v>
      </c>
      <c r="BT17" s="215" t="s">
        <v>3035</v>
      </c>
      <c r="BU17" s="214" t="s">
        <v>3140</v>
      </c>
      <c r="BV17" s="214" t="s">
        <v>873</v>
      </c>
      <c r="BW17" s="214" t="s">
        <v>873</v>
      </c>
      <c r="BX17" s="214" t="s">
        <v>875</v>
      </c>
      <c r="BY17" s="214" t="s">
        <v>3393</v>
      </c>
      <c r="BZ17" s="214" t="s">
        <v>875</v>
      </c>
      <c r="CA17" s="449">
        <v>1</v>
      </c>
      <c r="CB17" s="420" t="s">
        <v>3416</v>
      </c>
      <c r="CC17" s="358">
        <f>+SUM(AQ17:BB17)</f>
        <v>41</v>
      </c>
      <c r="CD17" s="358">
        <f t="shared" si="1"/>
        <v>33</v>
      </c>
      <c r="CE17" s="343">
        <f t="shared" si="2"/>
        <v>1.2424242424242424</v>
      </c>
      <c r="CF17" s="381">
        <f t="shared" si="3"/>
        <v>33</v>
      </c>
      <c r="CG17" s="327" t="s">
        <v>3510</v>
      </c>
      <c r="CH17" s="327" t="str">
        <f t="shared" si="4"/>
        <v>Numérica</v>
      </c>
      <c r="CI17" s="327"/>
      <c r="CJ17" s="381">
        <v>3</v>
      </c>
      <c r="CK17" s="376" t="str">
        <f t="shared" si="6"/>
        <v xml:space="preserve">Delegatura para Entidades Territoriales y Generadores y Recaudadores y Administradores de Recursos del SGSSS </v>
      </c>
      <c r="CL17" s="376" t="str">
        <f t="shared" si="7"/>
        <v xml:space="preserve"> Mesas de Gobernanza realizadas en las direcciones regionales.</v>
      </c>
      <c r="CM17" s="376" t="str">
        <f t="shared" si="8"/>
        <v>Mesas de Gobernanza Realizadas</v>
      </c>
      <c r="CN17" s="389">
        <f t="shared" si="9"/>
        <v>41</v>
      </c>
      <c r="CO17" s="389">
        <f t="shared" si="10"/>
        <v>33</v>
      </c>
      <c r="CP17" s="388">
        <f t="shared" si="13"/>
        <v>1.2424242424242424</v>
      </c>
      <c r="CQ17" s="376">
        <f t="shared" si="11"/>
        <v>33</v>
      </c>
      <c r="CR17" s="377" t="str">
        <f t="shared" si="12"/>
        <v>SOBRECUMPLIO</v>
      </c>
      <c r="DB17" s="413" t="s">
        <v>592</v>
      </c>
      <c r="DC17" s="272">
        <v>1</v>
      </c>
      <c r="DD17" s="272">
        <v>2</v>
      </c>
      <c r="DE17" s="272"/>
      <c r="DF17" s="272"/>
      <c r="DG17" s="272">
        <v>3</v>
      </c>
    </row>
    <row r="18" spans="1:111" s="83" customFormat="1" ht="409.6" thickTop="1" thickBot="1">
      <c r="A18" s="83" t="s">
        <v>563</v>
      </c>
      <c r="B18" s="75" t="s">
        <v>198</v>
      </c>
      <c r="C18" s="75" t="s">
        <v>902</v>
      </c>
      <c r="D18" s="75" t="s">
        <v>903</v>
      </c>
      <c r="E18" s="75" t="s">
        <v>858</v>
      </c>
      <c r="F18" s="75" t="s">
        <v>859</v>
      </c>
      <c r="G18" s="75" t="s">
        <v>215</v>
      </c>
      <c r="H18" s="75" t="s">
        <v>860</v>
      </c>
      <c r="I18" s="76" t="s">
        <v>861</v>
      </c>
      <c r="J18" s="76" t="s">
        <v>862</v>
      </c>
      <c r="K18" s="76" t="s">
        <v>947</v>
      </c>
      <c r="L18" s="77" t="s">
        <v>864</v>
      </c>
      <c r="M18" s="76" t="s">
        <v>564</v>
      </c>
      <c r="N18" s="76" t="s">
        <v>563</v>
      </c>
      <c r="O18" s="77" t="s">
        <v>565</v>
      </c>
      <c r="P18" s="77" t="s">
        <v>566</v>
      </c>
      <c r="Q18" s="77" t="s">
        <v>948</v>
      </c>
      <c r="R18" s="77" t="s">
        <v>949</v>
      </c>
      <c r="S18" s="77" t="s">
        <v>950</v>
      </c>
      <c r="T18" s="76" t="s">
        <v>892</v>
      </c>
      <c r="U18" s="76" t="s">
        <v>871</v>
      </c>
      <c r="V18" s="76" t="s">
        <v>910</v>
      </c>
      <c r="W18" s="79" t="s">
        <v>951</v>
      </c>
      <c r="X18" s="300">
        <v>1</v>
      </c>
      <c r="Y18" s="80"/>
      <c r="Z18" s="80"/>
      <c r="AA18" s="80"/>
      <c r="AB18" s="80">
        <v>1</v>
      </c>
      <c r="AC18" s="80"/>
      <c r="AD18" s="80"/>
      <c r="AE18" s="80"/>
      <c r="AF18" s="80">
        <v>1</v>
      </c>
      <c r="AG18" s="80"/>
      <c r="AH18" s="80"/>
      <c r="AI18" s="80"/>
      <c r="AJ18" s="80">
        <v>1</v>
      </c>
      <c r="AK18" s="76" t="s">
        <v>873</v>
      </c>
      <c r="AL18" s="76" t="s">
        <v>873</v>
      </c>
      <c r="AM18" s="76" t="s">
        <v>873</v>
      </c>
      <c r="AN18" s="76" t="s">
        <v>873</v>
      </c>
      <c r="AO18" s="76" t="s">
        <v>874</v>
      </c>
      <c r="AP18" s="82" t="s">
        <v>563</v>
      </c>
      <c r="AQ18" s="370">
        <f>+VLOOKUP(AP18,SharePoint!$BA$3:$BY$140,2,FALSE)</f>
        <v>0</v>
      </c>
      <c r="AR18" s="370">
        <f>+VLOOKUP(AP18,SharePoint!$BA$3:$BY$140,3,FALSE)</f>
        <v>0</v>
      </c>
      <c r="AS18" s="370">
        <f>+VLOOKUP(AP18,SharePoint!$BA$3:$BY$140,4,FALSE)</f>
        <v>0</v>
      </c>
      <c r="AT18" s="370">
        <f>+VLOOKUP(AP18,SharePoint!$BA$3:$BY$140,5,FALSE)</f>
        <v>514</v>
      </c>
      <c r="AU18" s="370">
        <f>+VLOOKUP(AP18,SharePoint!$BA$3:$BY$140,6,FALSE)</f>
        <v>0</v>
      </c>
      <c r="AV18" s="370">
        <f>+VLOOKUP(AP18,SharePoint!$BA$3:$BY$140,7,FALSE)</f>
        <v>0</v>
      </c>
      <c r="AW18" s="370">
        <f>+VLOOKUP(AP18,SharePoint!$BA$3:$BY$140,8,FALSE)</f>
        <v>0</v>
      </c>
      <c r="AX18" s="370">
        <f>+VLOOKUP(AP18,SharePoint!$BA$3:$BY$140,9,FALSE)</f>
        <v>107</v>
      </c>
      <c r="AY18" s="370">
        <f>+VLOOKUP(AP18,SharePoint!$BA$3:$BY$140,10,FALSE)</f>
        <v>0</v>
      </c>
      <c r="AZ18" s="370">
        <f>+VLOOKUP(AP18,SharePoint!$BA$3:$BY$140,11,FALSE)</f>
        <v>0</v>
      </c>
      <c r="BA18" s="370">
        <f>+VLOOKUP(AP18,SharePoint!$BA$3:$BY$140,12,FALSE)</f>
        <v>0</v>
      </c>
      <c r="BB18" s="370">
        <f>+VLOOKUP(AP18,SharePoint!$BA$3:$BY$140,13,FALSE)</f>
        <v>1</v>
      </c>
      <c r="BC18" s="226">
        <f>+VLOOKUP(AP18,SharePoint!$BA$3:$BY$140,14,FALSE)</f>
        <v>0</v>
      </c>
      <c r="BD18" s="226">
        <f>+VLOOKUP(AP18,SharePoint!$BA$3:$BY$140,15,FALSE)</f>
        <v>0</v>
      </c>
      <c r="BE18" s="226">
        <f>+VLOOKUP(AP18,SharePoint!$BA$3:$BY$140,16,FALSE)</f>
        <v>0</v>
      </c>
      <c r="BF18" s="226">
        <f>+VLOOKUP(AP18,SharePoint!$BA$3:$BY$140,17,FALSE)</f>
        <v>514</v>
      </c>
      <c r="BG18" s="226">
        <f>+VLOOKUP(AP18,SharePoint!$BA$3:$BY$140,18,FALSE)</f>
        <v>0</v>
      </c>
      <c r="BH18" s="226">
        <f>+VLOOKUP(AP18,SharePoint!$BA$3:$BY$140,19,FALSE)</f>
        <v>0</v>
      </c>
      <c r="BI18" s="226">
        <f>+VLOOKUP(AP18,SharePoint!$BA$3:$BY$140,20,FALSE)</f>
        <v>0</v>
      </c>
      <c r="BJ18" s="226">
        <f>+VLOOKUP(AP18,SharePoint!$BA$3:$BY$140,21,FALSE)</f>
        <v>107</v>
      </c>
      <c r="BK18" s="226">
        <f>+VLOOKUP(AP18,SharePoint!$BA$3:$BY$140,22,FALSE)</f>
        <v>0</v>
      </c>
      <c r="BL18" s="226">
        <f>+VLOOKUP(AP18,SharePoint!$BA$3:$BY$140,23,FALSE)</f>
        <v>0</v>
      </c>
      <c r="BM18" s="226">
        <f>+VLOOKUP(AP18,SharePoint!$BA$3:$BY$140,24,FALSE)</f>
        <v>0</v>
      </c>
      <c r="BN18" s="226">
        <f>+VLOOKUP(AP18,SharePoint!$BA$3:$BY$140,25,FALSE)</f>
        <v>1</v>
      </c>
      <c r="BO18" s="214" t="s">
        <v>873</v>
      </c>
      <c r="BP18" s="214" t="s">
        <v>873</v>
      </c>
      <c r="BQ18" s="214" t="s">
        <v>873</v>
      </c>
      <c r="BR18" s="215" t="s">
        <v>3036</v>
      </c>
      <c r="BS18" s="214" t="s">
        <v>873</v>
      </c>
      <c r="BT18" s="214" t="s">
        <v>873</v>
      </c>
      <c r="BU18" s="214" t="s">
        <v>873</v>
      </c>
      <c r="BV18" s="214" t="s">
        <v>3119</v>
      </c>
      <c r="BW18" s="214" t="s">
        <v>873</v>
      </c>
      <c r="BX18" s="214" t="s">
        <v>875</v>
      </c>
      <c r="BY18" s="214" t="s">
        <v>875</v>
      </c>
      <c r="BZ18" s="214" t="s">
        <v>3384</v>
      </c>
      <c r="CA18" s="449">
        <v>1</v>
      </c>
      <c r="CB18" s="373" t="s">
        <v>3408</v>
      </c>
      <c r="CC18" s="359">
        <f t="shared" si="0"/>
        <v>622</v>
      </c>
      <c r="CD18" s="359">
        <f t="shared" si="1"/>
        <v>622</v>
      </c>
      <c r="CE18" s="382">
        <f t="shared" si="2"/>
        <v>1</v>
      </c>
      <c r="CF18" s="382">
        <f t="shared" si="3"/>
        <v>1</v>
      </c>
      <c r="CG18" s="327" t="s">
        <v>3509</v>
      </c>
      <c r="CH18" s="327" t="str">
        <f t="shared" si="4"/>
        <v xml:space="preserve">Porcentual </v>
      </c>
      <c r="CI18" s="327"/>
      <c r="CJ18" s="381">
        <v>4</v>
      </c>
      <c r="CK18" s="378" t="str">
        <f t="shared" si="6"/>
        <v xml:space="preserve">Delegatura para Entidades Territoriales y Generadores y Recaudadores y Administradores de Recursos del SGSSS </v>
      </c>
      <c r="CL18" s="378" t="str">
        <f t="shared" si="7"/>
        <v>Porcentaje de acciones ejecutadas en el marco de los ANS con las Dependencias de la Entidad</v>
      </c>
      <c r="CM18" s="378" t="str">
        <f t="shared" si="8"/>
        <v>Número acciones ejecutadas / Número de acciones que sean requeridas</v>
      </c>
      <c r="CN18" s="390">
        <f t="shared" si="9"/>
        <v>622</v>
      </c>
      <c r="CO18" s="390">
        <f t="shared" si="10"/>
        <v>622</v>
      </c>
      <c r="CP18" s="387">
        <f t="shared" si="13"/>
        <v>1</v>
      </c>
      <c r="CQ18" s="379">
        <f t="shared" si="11"/>
        <v>1</v>
      </c>
      <c r="CR18" s="379" t="str">
        <f t="shared" si="12"/>
        <v>CUMPLIO</v>
      </c>
      <c r="DB18" s="413" t="s">
        <v>1435</v>
      </c>
      <c r="DC18" s="272">
        <v>18</v>
      </c>
      <c r="DD18" s="272">
        <v>6</v>
      </c>
      <c r="DE18" s="272">
        <v>3</v>
      </c>
      <c r="DF18" s="272"/>
      <c r="DG18" s="272">
        <v>27</v>
      </c>
    </row>
    <row r="19" spans="1:111" s="83" customFormat="1" ht="409.6" thickTop="1" thickBot="1">
      <c r="A19" s="83" t="s">
        <v>366</v>
      </c>
      <c r="B19" s="75" t="s">
        <v>198</v>
      </c>
      <c r="C19" s="75" t="s">
        <v>938</v>
      </c>
      <c r="D19" s="75" t="s">
        <v>903</v>
      </c>
      <c r="E19" s="75" t="s">
        <v>858</v>
      </c>
      <c r="F19" s="75" t="s">
        <v>859</v>
      </c>
      <c r="G19" s="75" t="s">
        <v>215</v>
      </c>
      <c r="H19" s="75" t="s">
        <v>904</v>
      </c>
      <c r="I19" s="76" t="s">
        <v>952</v>
      </c>
      <c r="J19" s="76" t="s">
        <v>953</v>
      </c>
      <c r="K19" s="76" t="s">
        <v>954</v>
      </c>
      <c r="L19" s="76" t="s">
        <v>875</v>
      </c>
      <c r="M19" s="76" t="s">
        <v>367</v>
      </c>
      <c r="N19" s="77" t="s">
        <v>366</v>
      </c>
      <c r="O19" s="76" t="s">
        <v>368</v>
      </c>
      <c r="P19" s="76" t="s">
        <v>955</v>
      </c>
      <c r="Q19" s="76" t="s">
        <v>956</v>
      </c>
      <c r="R19" s="76" t="s">
        <v>957</v>
      </c>
      <c r="S19" s="76" t="s">
        <v>958</v>
      </c>
      <c r="T19" s="76" t="s">
        <v>892</v>
      </c>
      <c r="U19" s="76" t="s">
        <v>871</v>
      </c>
      <c r="V19" s="76" t="s">
        <v>872</v>
      </c>
      <c r="W19" s="79">
        <v>0.8</v>
      </c>
      <c r="X19" s="300">
        <v>0.85</v>
      </c>
      <c r="Y19" s="76"/>
      <c r="Z19" s="76"/>
      <c r="AA19" s="80">
        <v>0.85</v>
      </c>
      <c r="AB19" s="79"/>
      <c r="AC19" s="76"/>
      <c r="AD19" s="79">
        <v>0.85</v>
      </c>
      <c r="AE19" s="76"/>
      <c r="AF19" s="79"/>
      <c r="AG19" s="79">
        <v>0.85</v>
      </c>
      <c r="AH19" s="76"/>
      <c r="AI19" s="76"/>
      <c r="AJ19" s="79">
        <v>0.85</v>
      </c>
      <c r="AK19" s="86" t="s">
        <v>899</v>
      </c>
      <c r="AL19" s="77" t="s">
        <v>900</v>
      </c>
      <c r="AM19" s="77" t="s">
        <v>959</v>
      </c>
      <c r="AN19" s="93">
        <v>619898032</v>
      </c>
      <c r="AO19" s="76" t="s">
        <v>365</v>
      </c>
      <c r="AP19" s="82" t="s">
        <v>366</v>
      </c>
      <c r="AQ19" s="370">
        <f>+VLOOKUP(AP19,SharePoint!$BA$3:$BY$140,2,FALSE)</f>
        <v>0</v>
      </c>
      <c r="AR19" s="370">
        <f>+VLOOKUP(AP19,SharePoint!$BA$3:$BY$140,3,FALSE)</f>
        <v>0</v>
      </c>
      <c r="AS19" s="370">
        <f>+VLOOKUP(AP19,SharePoint!$BA$3:$BY$140,4,FALSE)</f>
        <v>12</v>
      </c>
      <c r="AT19" s="370">
        <f>+VLOOKUP(AP19,SharePoint!$BA$3:$BY$140,5,FALSE)</f>
        <v>0</v>
      </c>
      <c r="AU19" s="370">
        <f>+VLOOKUP(AP19,SharePoint!$BA$3:$BY$140,6,FALSE)</f>
        <v>0</v>
      </c>
      <c r="AV19" s="370">
        <f>+VLOOKUP(AP19,SharePoint!$BA$3:$BY$140,7,FALSE)</f>
        <v>11</v>
      </c>
      <c r="AW19" s="370">
        <f>+VLOOKUP(AP19,SharePoint!$BA$3:$BY$140,8,FALSE)</f>
        <v>0</v>
      </c>
      <c r="AX19" s="370">
        <f>+VLOOKUP(AP19,SharePoint!$BA$3:$BY$140,9,FALSE)</f>
        <v>0</v>
      </c>
      <c r="AY19" s="370">
        <f>+VLOOKUP(AP19,SharePoint!$BA$3:$BY$140,10,FALSE)</f>
        <v>19</v>
      </c>
      <c r="AZ19" s="370">
        <f>+VLOOKUP(AP19,SharePoint!$BA$3:$BY$140,11,FALSE)</f>
        <v>0</v>
      </c>
      <c r="BA19" s="370">
        <f>+VLOOKUP(AP19,SharePoint!$BA$3:$BY$140,12,FALSE)</f>
        <v>0</v>
      </c>
      <c r="BB19" s="370">
        <f>+VLOOKUP(AP19,SharePoint!$BA$3:$BY$140,13,FALSE)</f>
        <v>5</v>
      </c>
      <c r="BC19" s="226">
        <f>+VLOOKUP(AP19,SharePoint!$BA$3:$BY$140,14,FALSE)</f>
        <v>0</v>
      </c>
      <c r="BD19" s="226">
        <f>+VLOOKUP(AP19,SharePoint!$BA$3:$BY$140,15,FALSE)</f>
        <v>0</v>
      </c>
      <c r="BE19" s="226">
        <f>+VLOOKUP(AP19,SharePoint!$BA$3:$BY$140,16,FALSE)</f>
        <v>14</v>
      </c>
      <c r="BF19" s="226">
        <f>+VLOOKUP(AP19,SharePoint!$BA$3:$BY$140,17,FALSE)</f>
        <v>0</v>
      </c>
      <c r="BG19" s="226">
        <f>+VLOOKUP(AP19,SharePoint!$BA$3:$BY$140,18,FALSE)</f>
        <v>0</v>
      </c>
      <c r="BH19" s="226">
        <f>+VLOOKUP(AP19,SharePoint!$BA$3:$BY$140,19,FALSE)</f>
        <v>14</v>
      </c>
      <c r="BI19" s="226">
        <f>+VLOOKUP(AP19,SharePoint!$BA$3:$BY$140,20,FALSE)</f>
        <v>0</v>
      </c>
      <c r="BJ19" s="226">
        <f>+VLOOKUP(AP19,SharePoint!$BA$3:$BY$140,21,FALSE)</f>
        <v>0</v>
      </c>
      <c r="BK19" s="226">
        <f>+VLOOKUP(AP19,SharePoint!$BA$3:$BY$140,22,FALSE)</f>
        <v>21</v>
      </c>
      <c r="BL19" s="226">
        <f>+VLOOKUP(AP19,SharePoint!$BA$3:$BY$140,23,FALSE)</f>
        <v>0</v>
      </c>
      <c r="BM19" s="226">
        <f>+VLOOKUP(AP19,SharePoint!$BA$3:$BY$140,24,FALSE)</f>
        <v>0</v>
      </c>
      <c r="BN19" s="226">
        <f>+VLOOKUP(AP19,SharePoint!$BA$3:$BY$140,25,FALSE)</f>
        <v>5</v>
      </c>
      <c r="BO19" s="214" t="s">
        <v>873</v>
      </c>
      <c r="BP19" s="214" t="s">
        <v>873</v>
      </c>
      <c r="BQ19" s="215" t="s">
        <v>370</v>
      </c>
      <c r="BR19" s="214" t="s">
        <v>873</v>
      </c>
      <c r="BS19" s="214" t="s">
        <v>873</v>
      </c>
      <c r="BT19" s="215" t="s">
        <v>3037</v>
      </c>
      <c r="BU19" s="214" t="s">
        <v>873</v>
      </c>
      <c r="BV19" s="214" t="s">
        <v>873</v>
      </c>
      <c r="BW19" s="214" t="s">
        <v>2834</v>
      </c>
      <c r="BX19" s="214" t="s">
        <v>875</v>
      </c>
      <c r="BY19" s="214" t="s">
        <v>875</v>
      </c>
      <c r="BZ19" s="214" t="s">
        <v>3395</v>
      </c>
      <c r="CA19" s="449">
        <v>1</v>
      </c>
      <c r="CB19" s="420" t="s">
        <v>3522</v>
      </c>
      <c r="CC19" s="359">
        <f t="shared" si="0"/>
        <v>47</v>
      </c>
      <c r="CD19" s="359">
        <f t="shared" si="1"/>
        <v>54</v>
      </c>
      <c r="CE19" s="382">
        <f t="shared" si="2"/>
        <v>0.87037037037037035</v>
      </c>
      <c r="CF19" s="382">
        <f t="shared" si="3"/>
        <v>0.85</v>
      </c>
      <c r="CG19" s="327" t="s">
        <v>3510</v>
      </c>
      <c r="CH19" s="327" t="str">
        <f t="shared" si="4"/>
        <v xml:space="preserve">Porcentual </v>
      </c>
      <c r="CI19" s="327"/>
      <c r="CJ19" s="381">
        <v>1</v>
      </c>
      <c r="CK19" s="376" t="str">
        <f t="shared" si="6"/>
        <v>Delegatura Entidades Aseguramiento en Salud</v>
      </c>
      <c r="CL19" s="376" t="str">
        <f t="shared" si="7"/>
        <v>Emitir los estudios de viabilidad o recomendación al Superintendente en 140 días o menos, a partir de la completitud de la información radicada por la entidad solicitante</v>
      </c>
      <c r="CM19" s="376" t="str">
        <f t="shared" si="8"/>
        <v>(Cantidad de trámites con estudio de viabilidad o recomendación gestionados en 140 días o menos  /  Total de trámites gestionados en el periodo)*100</v>
      </c>
      <c r="CN19" s="389">
        <f t="shared" si="9"/>
        <v>47</v>
      </c>
      <c r="CO19" s="389">
        <f t="shared" si="10"/>
        <v>54</v>
      </c>
      <c r="CP19" s="388">
        <f t="shared" si="13"/>
        <v>0.87037037037037035</v>
      </c>
      <c r="CQ19" s="377">
        <f t="shared" si="11"/>
        <v>0.85</v>
      </c>
      <c r="CR19" s="377" t="str">
        <f t="shared" si="12"/>
        <v>SOBRECUMPLIO</v>
      </c>
      <c r="DB19" s="413" t="s">
        <v>171</v>
      </c>
      <c r="DC19" s="272">
        <v>76</v>
      </c>
      <c r="DD19" s="272">
        <v>27</v>
      </c>
      <c r="DE19" s="272">
        <v>25</v>
      </c>
      <c r="DF19" s="272">
        <v>1</v>
      </c>
      <c r="DG19" s="272">
        <v>129</v>
      </c>
    </row>
    <row r="20" spans="1:111" s="227" customFormat="1" ht="127.5" customHeight="1" thickTop="1" thickBot="1">
      <c r="A20" s="227" t="s">
        <v>510</v>
      </c>
      <c r="B20" s="160" t="s">
        <v>198</v>
      </c>
      <c r="C20" s="160" t="s">
        <v>938</v>
      </c>
      <c r="D20" s="160" t="s">
        <v>903</v>
      </c>
      <c r="E20" s="160" t="s">
        <v>858</v>
      </c>
      <c r="F20" s="160" t="s">
        <v>859</v>
      </c>
      <c r="G20" s="160" t="s">
        <v>960</v>
      </c>
      <c r="H20" s="160" t="s">
        <v>860</v>
      </c>
      <c r="I20" s="159" t="s">
        <v>861</v>
      </c>
      <c r="J20" s="159" t="s">
        <v>862</v>
      </c>
      <c r="K20" s="159" t="s">
        <v>961</v>
      </c>
      <c r="L20" s="159" t="s">
        <v>875</v>
      </c>
      <c r="M20" s="159" t="s">
        <v>431</v>
      </c>
      <c r="N20" s="158" t="s">
        <v>510</v>
      </c>
      <c r="O20" s="159" t="s">
        <v>511</v>
      </c>
      <c r="P20" s="159" t="s">
        <v>512</v>
      </c>
      <c r="Q20" s="159" t="s">
        <v>962</v>
      </c>
      <c r="R20" s="159" t="s">
        <v>963</v>
      </c>
      <c r="S20" s="159" t="s">
        <v>964</v>
      </c>
      <c r="T20" s="159" t="s">
        <v>884</v>
      </c>
      <c r="U20" s="159" t="s">
        <v>178</v>
      </c>
      <c r="V20" s="159" t="s">
        <v>872</v>
      </c>
      <c r="W20" s="159">
        <v>0.7</v>
      </c>
      <c r="X20" s="300">
        <v>0.8</v>
      </c>
      <c r="Y20" s="159"/>
      <c r="Z20" s="159"/>
      <c r="AA20" s="159">
        <v>0.8</v>
      </c>
      <c r="AB20" s="159"/>
      <c r="AC20" s="159"/>
      <c r="AD20" s="159">
        <v>0.8</v>
      </c>
      <c r="AE20" s="159"/>
      <c r="AF20" s="159"/>
      <c r="AG20" s="159">
        <v>0.8</v>
      </c>
      <c r="AH20" s="159"/>
      <c r="AI20" s="159"/>
      <c r="AJ20" s="159">
        <v>0.8</v>
      </c>
      <c r="AK20" s="228" t="s">
        <v>899</v>
      </c>
      <c r="AL20" s="158" t="s">
        <v>932</v>
      </c>
      <c r="AM20" s="158" t="s">
        <v>959</v>
      </c>
      <c r="AN20" s="229">
        <v>574332219</v>
      </c>
      <c r="AO20" s="159" t="s">
        <v>365</v>
      </c>
      <c r="AP20" s="230" t="s">
        <v>510</v>
      </c>
      <c r="AQ20" s="370">
        <f>+VLOOKUP(AP20,SharePoint!$BA$3:$BY$140,2,FALSE)</f>
        <v>0</v>
      </c>
      <c r="AR20" s="370">
        <f>+VLOOKUP(AP20,SharePoint!$BA$3:$BY$140,3,FALSE)</f>
        <v>0</v>
      </c>
      <c r="AS20" s="370">
        <f>+VLOOKUP(AP20,SharePoint!$BA$3:$BY$140,4,FALSE)</f>
        <v>0.873</v>
      </c>
      <c r="AT20" s="370">
        <f>+VLOOKUP(AP20,SharePoint!$BA$3:$BY$140,5,FALSE)</f>
        <v>0</v>
      </c>
      <c r="AU20" s="370">
        <f>+VLOOKUP(AP20,SharePoint!$BA$3:$BY$140,6,FALSE)</f>
        <v>0</v>
      </c>
      <c r="AV20" s="370">
        <f>+VLOOKUP(AP20,SharePoint!$BA$3:$BY$140,7,FALSE)</f>
        <v>0.49</v>
      </c>
      <c r="AW20" s="370">
        <f>+VLOOKUP(AP20,SharePoint!$BA$3:$BY$140,8,FALSE)</f>
        <v>0</v>
      </c>
      <c r="AX20" s="370">
        <f>+VLOOKUP(AP20,SharePoint!$BA$3:$BY$140,9,FALSE)</f>
        <v>0</v>
      </c>
      <c r="AY20" s="370">
        <f>+VLOOKUP(AP20,SharePoint!$BA$3:$BY$140,10,FALSE)</f>
        <v>0.82</v>
      </c>
      <c r="AZ20" s="370">
        <f>+VLOOKUP(AP20,SharePoint!$BA$3:$BY$140,11,FALSE)</f>
        <v>0</v>
      </c>
      <c r="BA20" s="370">
        <f>+VLOOKUP(AP20,SharePoint!$BA$3:$BY$140,12,FALSE)</f>
        <v>0</v>
      </c>
      <c r="BB20" s="370">
        <v>0.76</v>
      </c>
      <c r="BC20" s="226">
        <f>+VLOOKUP(AP20,SharePoint!$BA$3:$BY$140,14,FALSE)</f>
        <v>0</v>
      </c>
      <c r="BD20" s="226">
        <f>+VLOOKUP(AP20,SharePoint!$BA$3:$BY$140,15,FALSE)</f>
        <v>0</v>
      </c>
      <c r="BE20" s="363">
        <f>+VLOOKUP(AP20,SharePoint!$BA$3:$BY$140,16,FALSE)</f>
        <v>1</v>
      </c>
      <c r="BF20" s="226">
        <f>+VLOOKUP(AP20,SharePoint!$BA$3:$BY$140,17,FALSE)</f>
        <v>0</v>
      </c>
      <c r="BG20" s="226">
        <f>+VLOOKUP(AP20,SharePoint!$BA$3:$BY$140,18,FALSE)</f>
        <v>0</v>
      </c>
      <c r="BH20" s="363">
        <f>+VLOOKUP(AP20,SharePoint!$BA$3:$BY$140,19,FALSE)</f>
        <v>1</v>
      </c>
      <c r="BI20" s="226">
        <f>+VLOOKUP(AP20,SharePoint!$BA$3:$BY$140,20,FALSE)</f>
        <v>0</v>
      </c>
      <c r="BJ20" s="226">
        <f>+VLOOKUP(AP20,SharePoint!$BA$3:$BY$140,21,FALSE)</f>
        <v>0</v>
      </c>
      <c r="BK20" s="363">
        <v>1</v>
      </c>
      <c r="BL20" s="226">
        <f>+VLOOKUP(AP20,SharePoint!$BA$3:$BY$140,23,FALSE)</f>
        <v>0</v>
      </c>
      <c r="BM20" s="226">
        <f>+VLOOKUP(AP20,SharePoint!$BA$3:$BY$140,24,FALSE)</f>
        <v>0</v>
      </c>
      <c r="BN20" s="363">
        <v>1</v>
      </c>
      <c r="BO20" s="231" t="s">
        <v>873</v>
      </c>
      <c r="BP20" s="231" t="s">
        <v>873</v>
      </c>
      <c r="BQ20" s="231" t="s">
        <v>3103</v>
      </c>
      <c r="BR20" s="231" t="s">
        <v>873</v>
      </c>
      <c r="BS20" s="231" t="s">
        <v>873</v>
      </c>
      <c r="BT20" s="248" t="s">
        <v>3038</v>
      </c>
      <c r="BU20" s="214" t="s">
        <v>873</v>
      </c>
      <c r="BV20" s="214" t="s">
        <v>873</v>
      </c>
      <c r="BW20" s="214" t="s">
        <v>2938</v>
      </c>
      <c r="BX20" s="214" t="s">
        <v>875</v>
      </c>
      <c r="BY20" s="214" t="s">
        <v>875</v>
      </c>
      <c r="BZ20" s="214" t="s">
        <v>3387</v>
      </c>
      <c r="CA20" s="449">
        <v>2</v>
      </c>
      <c r="CB20" s="346" t="s">
        <v>3480</v>
      </c>
      <c r="CC20" s="404">
        <f>+SUM(AQ20:BB20)/4</f>
        <v>0.7357499999999999</v>
      </c>
      <c r="CD20" s="417">
        <v>1</v>
      </c>
      <c r="CE20" s="382">
        <f>+CC20/CD20</f>
        <v>0.7357499999999999</v>
      </c>
      <c r="CF20" s="382">
        <f>+X20</f>
        <v>0.8</v>
      </c>
      <c r="CG20" s="327" t="s">
        <v>3511</v>
      </c>
      <c r="CH20" s="327" t="str">
        <f t="shared" si="4"/>
        <v>Porcentual</v>
      </c>
      <c r="CI20" s="327"/>
      <c r="CJ20" s="381">
        <v>2</v>
      </c>
      <c r="CK20" s="378" t="str">
        <f t="shared" si="6"/>
        <v>Delegatura Entidades Aseguramiento en Salud</v>
      </c>
      <c r="CL20" s="378" t="str">
        <f t="shared" si="7"/>
        <v>Porcentaje de EPS y otras EAS con acciones de Inspección y vigilancia por parte de la Delegada de EAS</v>
      </c>
      <c r="CM20" s="378" t="str">
        <f t="shared" si="8"/>
        <v>(mediana de los porcentajes de cobertura (# de vigilados a los que se efectúo la acción de IV / # de vigilados objeto o susceptibles de la acción))</v>
      </c>
      <c r="CN20" s="405">
        <f t="shared" si="9"/>
        <v>0.7357499999999999</v>
      </c>
      <c r="CO20" s="405">
        <v>1</v>
      </c>
      <c r="CP20" s="387">
        <f t="shared" si="13"/>
        <v>0.7357499999999999</v>
      </c>
      <c r="CQ20" s="379">
        <f t="shared" si="11"/>
        <v>0.8</v>
      </c>
      <c r="CR20" s="379" t="str">
        <f t="shared" si="12"/>
        <v>INCUMPLIO</v>
      </c>
      <c r="DB20" s="272"/>
      <c r="DC20" s="272"/>
      <c r="DD20" s="272"/>
      <c r="DE20" s="381"/>
      <c r="DF20" s="381"/>
      <c r="DG20" s="381"/>
    </row>
    <row r="21" spans="1:111" s="83" customFormat="1" ht="127.5" customHeight="1" thickTop="1" thickBot="1">
      <c r="A21" s="83" t="s">
        <v>230</v>
      </c>
      <c r="B21" s="75" t="s">
        <v>198</v>
      </c>
      <c r="C21" s="75" t="s">
        <v>938</v>
      </c>
      <c r="D21" s="75" t="s">
        <v>903</v>
      </c>
      <c r="E21" s="75" t="s">
        <v>858</v>
      </c>
      <c r="F21" s="75" t="s">
        <v>859</v>
      </c>
      <c r="G21" s="75" t="s">
        <v>960</v>
      </c>
      <c r="H21" s="75" t="s">
        <v>860</v>
      </c>
      <c r="I21" s="76" t="s">
        <v>905</v>
      </c>
      <c r="J21" s="169" t="s">
        <v>906</v>
      </c>
      <c r="K21" s="76" t="s">
        <v>961</v>
      </c>
      <c r="L21" s="76" t="s">
        <v>875</v>
      </c>
      <c r="M21" s="76" t="s">
        <v>431</v>
      </c>
      <c r="N21" s="76" t="s">
        <v>230</v>
      </c>
      <c r="O21" s="76" t="s">
        <v>432</v>
      </c>
      <c r="P21" s="76" t="s">
        <v>433</v>
      </c>
      <c r="Q21" s="76" t="s">
        <v>965</v>
      </c>
      <c r="R21" s="76" t="s">
        <v>966</v>
      </c>
      <c r="S21" s="76" t="s">
        <v>967</v>
      </c>
      <c r="T21" s="76" t="s">
        <v>892</v>
      </c>
      <c r="U21" s="76" t="s">
        <v>871</v>
      </c>
      <c r="V21" s="76" t="s">
        <v>872</v>
      </c>
      <c r="W21" s="79">
        <v>0.7</v>
      </c>
      <c r="X21" s="300">
        <v>0.85</v>
      </c>
      <c r="Y21" s="76"/>
      <c r="Z21" s="76"/>
      <c r="AA21" s="79">
        <v>0.85</v>
      </c>
      <c r="AB21" s="76"/>
      <c r="AC21" s="76"/>
      <c r="AD21" s="79">
        <v>0.85</v>
      </c>
      <c r="AE21" s="76"/>
      <c r="AF21" s="76"/>
      <c r="AG21" s="79">
        <v>0.85</v>
      </c>
      <c r="AH21" s="76"/>
      <c r="AI21" s="76"/>
      <c r="AJ21" s="79">
        <v>0.85</v>
      </c>
      <c r="AK21" s="86" t="s">
        <v>899</v>
      </c>
      <c r="AL21" s="77" t="s">
        <v>968</v>
      </c>
      <c r="AM21" s="77" t="s">
        <v>959</v>
      </c>
      <c r="AN21" s="93">
        <v>1464553147</v>
      </c>
      <c r="AO21" s="76" t="s">
        <v>365</v>
      </c>
      <c r="AP21" s="82" t="s">
        <v>230</v>
      </c>
      <c r="AQ21" s="370">
        <f>+VLOOKUP(AP21,SharePoint!$BA$3:$BY$140,2,FALSE)</f>
        <v>0</v>
      </c>
      <c r="AR21" s="370">
        <f>+VLOOKUP(AP21,SharePoint!$BA$3:$BY$140,3,FALSE)</f>
        <v>0</v>
      </c>
      <c r="AS21" s="370">
        <f>+VLOOKUP(AP21,SharePoint!$BA$3:$BY$140,4,FALSE)</f>
        <v>5</v>
      </c>
      <c r="AT21" s="370">
        <f>+VLOOKUP(AP21,SharePoint!$BA$3:$BY$140,5,FALSE)</f>
        <v>0</v>
      </c>
      <c r="AU21" s="370">
        <f>+VLOOKUP(AP21,SharePoint!$BA$3:$BY$140,6,FALSE)</f>
        <v>0</v>
      </c>
      <c r="AV21" s="370">
        <f>+VLOOKUP(AP21,SharePoint!$BA$3:$BY$140,7,FALSE)</f>
        <v>16</v>
      </c>
      <c r="AW21" s="370">
        <f>+VLOOKUP(AP21,SharePoint!$BA$3:$BY$140,8,FALSE)</f>
        <v>0</v>
      </c>
      <c r="AX21" s="370">
        <f>+VLOOKUP(AP21,SharePoint!$BA$3:$BY$140,9,FALSE)</f>
        <v>0</v>
      </c>
      <c r="AY21" s="370">
        <f>+VLOOKUP(AP21,SharePoint!$BA$3:$BY$140,10,FALSE)</f>
        <v>9</v>
      </c>
      <c r="AZ21" s="370">
        <f>+VLOOKUP(AP21,SharePoint!$BA$3:$BY$140,11,FALSE)</f>
        <v>0</v>
      </c>
      <c r="BA21" s="370">
        <f>+VLOOKUP(AP21,SharePoint!$BA$3:$BY$140,12,FALSE)</f>
        <v>0</v>
      </c>
      <c r="BB21" s="370">
        <f>+VLOOKUP(AP21,SharePoint!$BA$3:$BY$140,13,FALSE)</f>
        <v>9</v>
      </c>
      <c r="BC21" s="226">
        <f>+VLOOKUP(AP21,SharePoint!$BA$3:$BY$140,14,FALSE)</f>
        <v>0</v>
      </c>
      <c r="BD21" s="226">
        <f>+VLOOKUP(AP21,SharePoint!$BA$3:$BY$140,15,FALSE)</f>
        <v>0</v>
      </c>
      <c r="BE21" s="226">
        <f>+VLOOKUP(AP21,SharePoint!$BA$3:$BY$140,16,FALSE)</f>
        <v>10</v>
      </c>
      <c r="BF21" s="226">
        <f>+VLOOKUP(AP21,SharePoint!$BA$3:$BY$140,17,FALSE)</f>
        <v>0</v>
      </c>
      <c r="BG21" s="226">
        <f>+VLOOKUP(AP21,SharePoint!$BA$3:$BY$140,18,FALSE)</f>
        <v>0</v>
      </c>
      <c r="BH21" s="226">
        <f>+VLOOKUP(AP21,SharePoint!$BA$3:$BY$140,19,FALSE)</f>
        <v>11</v>
      </c>
      <c r="BI21" s="226">
        <f>+VLOOKUP(AP21,SharePoint!$BA$3:$BY$140,20,FALSE)</f>
        <v>0</v>
      </c>
      <c r="BJ21" s="226">
        <f>+VLOOKUP(AP21,SharePoint!$BA$3:$BY$140,21,FALSE)</f>
        <v>0</v>
      </c>
      <c r="BK21" s="226">
        <f>+VLOOKUP(AP21,SharePoint!$BA$3:$BY$140,22,FALSE)</f>
        <v>9</v>
      </c>
      <c r="BL21" s="226">
        <f>+VLOOKUP(AP21,SharePoint!$BA$3:$BY$140,23,FALSE)</f>
        <v>0</v>
      </c>
      <c r="BM21" s="226">
        <f>+VLOOKUP(AP21,SharePoint!$BA$3:$BY$140,24,FALSE)</f>
        <v>0</v>
      </c>
      <c r="BN21" s="226">
        <f>+VLOOKUP(AP21,SharePoint!$BA$3:$BY$140,25,FALSE)</f>
        <v>9</v>
      </c>
      <c r="BO21" s="214" t="s">
        <v>873</v>
      </c>
      <c r="BP21" s="214" t="s">
        <v>873</v>
      </c>
      <c r="BQ21" s="215" t="s">
        <v>434</v>
      </c>
      <c r="BR21" s="214" t="s">
        <v>873</v>
      </c>
      <c r="BS21" s="214" t="s">
        <v>873</v>
      </c>
      <c r="BT21" s="215" t="s">
        <v>3039</v>
      </c>
      <c r="BU21" s="214" t="s">
        <v>873</v>
      </c>
      <c r="BV21" s="214" t="s">
        <v>873</v>
      </c>
      <c r="BW21" s="214" t="s">
        <v>2835</v>
      </c>
      <c r="BX21" s="214" t="s">
        <v>875</v>
      </c>
      <c r="BY21" s="214" t="s">
        <v>875</v>
      </c>
      <c r="BZ21" s="214" t="s">
        <v>3342</v>
      </c>
      <c r="CA21" s="449">
        <v>1</v>
      </c>
      <c r="CB21" s="420" t="s">
        <v>3417</v>
      </c>
      <c r="CC21" s="359">
        <f t="shared" si="0"/>
        <v>39</v>
      </c>
      <c r="CD21" s="359">
        <f t="shared" si="1"/>
        <v>39</v>
      </c>
      <c r="CE21" s="382">
        <f t="shared" si="2"/>
        <v>1</v>
      </c>
      <c r="CF21" s="382">
        <f t="shared" si="3"/>
        <v>0.85</v>
      </c>
      <c r="CG21" s="327" t="s">
        <v>3510</v>
      </c>
      <c r="CH21" s="327" t="str">
        <f t="shared" si="4"/>
        <v xml:space="preserve">Porcentual </v>
      </c>
      <c r="CI21" s="327"/>
      <c r="CJ21" s="381">
        <v>3</v>
      </c>
      <c r="CK21" s="376" t="str">
        <f t="shared" si="6"/>
        <v>Delegatura Entidades Aseguramiento en Salud</v>
      </c>
      <c r="CL21" s="376" t="str">
        <f t="shared" si="7"/>
        <v>Auditorias realizadas a las entidades de aseguramiento en salud y otras entidades de aseguramiento</v>
      </c>
      <c r="CM21" s="376" t="str">
        <f t="shared" si="8"/>
        <v>Número de auditorías ejecutadas / Número total de auditorías proyectadas en el periodo de acuerdo con el Programa Anual de Auditorías de la Delegada.</v>
      </c>
      <c r="CN21" s="389">
        <f t="shared" si="9"/>
        <v>39</v>
      </c>
      <c r="CO21" s="389">
        <f t="shared" si="10"/>
        <v>39</v>
      </c>
      <c r="CP21" s="388">
        <f t="shared" si="13"/>
        <v>1</v>
      </c>
      <c r="CQ21" s="377">
        <f t="shared" si="11"/>
        <v>0.85</v>
      </c>
      <c r="CR21" s="377" t="str">
        <f t="shared" si="12"/>
        <v>SOBRECUMPLIO</v>
      </c>
      <c r="DB21" s="272"/>
      <c r="DC21" s="381"/>
      <c r="DD21" s="381"/>
      <c r="DE21" s="381"/>
      <c r="DF21" s="381"/>
      <c r="DG21" s="381"/>
    </row>
    <row r="22" spans="1:111" s="83" customFormat="1" ht="127.5" customHeight="1" thickTop="1" thickBot="1">
      <c r="A22" s="83" t="s">
        <v>258</v>
      </c>
      <c r="B22" s="75" t="s">
        <v>198</v>
      </c>
      <c r="C22" s="75" t="s">
        <v>938</v>
      </c>
      <c r="D22" s="75" t="s">
        <v>903</v>
      </c>
      <c r="E22" s="75" t="s">
        <v>858</v>
      </c>
      <c r="F22" s="75" t="s">
        <v>859</v>
      </c>
      <c r="G22" s="75" t="s">
        <v>960</v>
      </c>
      <c r="H22" s="75" t="s">
        <v>904</v>
      </c>
      <c r="I22" s="76" t="s">
        <v>894</v>
      </c>
      <c r="J22" s="76" t="s">
        <v>895</v>
      </c>
      <c r="K22" s="76" t="s">
        <v>961</v>
      </c>
      <c r="L22" s="76" t="s">
        <v>875</v>
      </c>
      <c r="M22" s="76" t="s">
        <v>969</v>
      </c>
      <c r="N22" s="77" t="s">
        <v>258</v>
      </c>
      <c r="O22" s="76" t="s">
        <v>477</v>
      </c>
      <c r="P22" s="76" t="s">
        <v>478</v>
      </c>
      <c r="Q22" s="76" t="s">
        <v>970</v>
      </c>
      <c r="R22" s="76" t="s">
        <v>971</v>
      </c>
      <c r="S22" s="76" t="s">
        <v>972</v>
      </c>
      <c r="T22" s="76" t="s">
        <v>892</v>
      </c>
      <c r="U22" s="76" t="s">
        <v>871</v>
      </c>
      <c r="V22" s="79" t="s">
        <v>872</v>
      </c>
      <c r="W22" s="79">
        <v>0.75</v>
      </c>
      <c r="X22" s="300">
        <v>0.85</v>
      </c>
      <c r="Y22" s="76"/>
      <c r="Z22" s="76"/>
      <c r="AA22" s="79">
        <v>0.85</v>
      </c>
      <c r="AB22" s="79"/>
      <c r="AC22" s="76"/>
      <c r="AD22" s="79">
        <v>0.85</v>
      </c>
      <c r="AE22" s="76"/>
      <c r="AF22" s="79"/>
      <c r="AG22" s="79">
        <v>0.85</v>
      </c>
      <c r="AH22" s="76"/>
      <c r="AI22" s="76"/>
      <c r="AJ22" s="79">
        <v>0.85</v>
      </c>
      <c r="AK22" s="76" t="s">
        <v>873</v>
      </c>
      <c r="AL22" s="76" t="s">
        <v>873</v>
      </c>
      <c r="AM22" s="76" t="s">
        <v>873</v>
      </c>
      <c r="AN22" s="76" t="s">
        <v>873</v>
      </c>
      <c r="AO22" s="76" t="s">
        <v>365</v>
      </c>
      <c r="AP22" s="82" t="s">
        <v>258</v>
      </c>
      <c r="AQ22" s="370">
        <f>+VLOOKUP(AP22,SharePoint!$BA$3:$BY$140,2,FALSE)</f>
        <v>0</v>
      </c>
      <c r="AR22" s="370">
        <f>+VLOOKUP(AP22,SharePoint!$BA$3:$BY$140,3,FALSE)</f>
        <v>0</v>
      </c>
      <c r="AS22" s="370">
        <f>+VLOOKUP(AP22,SharePoint!$BA$3:$BY$140,4,FALSE)</f>
        <v>16</v>
      </c>
      <c r="AT22" s="370">
        <f>+VLOOKUP(AP22,SharePoint!$BA$3:$BY$140,5,FALSE)</f>
        <v>0</v>
      </c>
      <c r="AU22" s="370">
        <f>+VLOOKUP(AP22,SharePoint!$BA$3:$BY$140,6,FALSE)</f>
        <v>0</v>
      </c>
      <c r="AV22" s="370">
        <f>+VLOOKUP(AP22,SharePoint!$BA$3:$BY$140,7,FALSE)</f>
        <v>8</v>
      </c>
      <c r="AW22" s="370">
        <f>+VLOOKUP(AP22,SharePoint!$BA$3:$BY$140,8,FALSE)</f>
        <v>0</v>
      </c>
      <c r="AX22" s="370">
        <f>+VLOOKUP(AP22,SharePoint!$BA$3:$BY$140,9,FALSE)</f>
        <v>0</v>
      </c>
      <c r="AY22" s="370">
        <f>+VLOOKUP(AP22,SharePoint!$BA$3:$BY$140,10,FALSE)</f>
        <v>15</v>
      </c>
      <c r="AZ22" s="370">
        <f>+VLOOKUP(AP22,SharePoint!$BA$3:$BY$140,11,FALSE)</f>
        <v>0</v>
      </c>
      <c r="BA22" s="370">
        <f>+VLOOKUP(AP22,SharePoint!$BA$3:$BY$140,12,FALSE)</f>
        <v>0</v>
      </c>
      <c r="BB22" s="370">
        <f>+VLOOKUP(AP22,SharePoint!$BA$3:$BY$140,13,FALSE)</f>
        <v>30</v>
      </c>
      <c r="BC22" s="226">
        <f>+VLOOKUP(AP22,SharePoint!$BA$3:$BY$140,14,FALSE)</f>
        <v>0</v>
      </c>
      <c r="BD22" s="226">
        <f>+VLOOKUP(AP22,SharePoint!$BA$3:$BY$140,15,FALSE)</f>
        <v>0</v>
      </c>
      <c r="BE22" s="226">
        <f>+VLOOKUP(AP22,SharePoint!$BA$3:$BY$140,16,FALSE)</f>
        <v>18</v>
      </c>
      <c r="BF22" s="226">
        <f>+VLOOKUP(AP22,SharePoint!$BA$3:$BY$140,17,FALSE)</f>
        <v>0</v>
      </c>
      <c r="BG22" s="226">
        <f>+VLOOKUP(AP22,SharePoint!$BA$3:$BY$140,18,FALSE)</f>
        <v>0</v>
      </c>
      <c r="BH22" s="226">
        <f>+VLOOKUP(AP22,SharePoint!$BA$3:$BY$140,19,FALSE)</f>
        <v>11</v>
      </c>
      <c r="BI22" s="226">
        <f>+VLOOKUP(AP22,SharePoint!$BA$3:$BY$140,20,FALSE)</f>
        <v>0</v>
      </c>
      <c r="BJ22" s="226">
        <f>+VLOOKUP(AP22,SharePoint!$BA$3:$BY$140,21,FALSE)</f>
        <v>0</v>
      </c>
      <c r="BK22" s="226">
        <f>+VLOOKUP(AP22,SharePoint!$BA$3:$BY$140,22,FALSE)</f>
        <v>22</v>
      </c>
      <c r="BL22" s="226">
        <f>+VLOOKUP(AP22,SharePoint!$BA$3:$BY$140,23,FALSE)</f>
        <v>0</v>
      </c>
      <c r="BM22" s="226">
        <f>+VLOOKUP(AP22,SharePoint!$BA$3:$BY$140,24,FALSE)</f>
        <v>0</v>
      </c>
      <c r="BN22" s="226">
        <f>+VLOOKUP(AP22,SharePoint!$BA$3:$BY$140,25,FALSE)</f>
        <v>30</v>
      </c>
      <c r="BO22" s="214" t="s">
        <v>873</v>
      </c>
      <c r="BP22" s="214" t="s">
        <v>873</v>
      </c>
      <c r="BQ22" s="215" t="s">
        <v>479</v>
      </c>
      <c r="BR22" s="214" t="s">
        <v>873</v>
      </c>
      <c r="BS22" s="214" t="s">
        <v>873</v>
      </c>
      <c r="BT22" s="215" t="s">
        <v>3040</v>
      </c>
      <c r="BU22" s="214" t="s">
        <v>873</v>
      </c>
      <c r="BV22" s="214" t="s">
        <v>873</v>
      </c>
      <c r="BW22" s="214" t="s">
        <v>2837</v>
      </c>
      <c r="BX22" s="214" t="s">
        <v>875</v>
      </c>
      <c r="BY22" s="214" t="s">
        <v>875</v>
      </c>
      <c r="BZ22" s="214" t="s">
        <v>3345</v>
      </c>
      <c r="CA22" s="449">
        <v>2</v>
      </c>
      <c r="CB22" s="420" t="s">
        <v>3534</v>
      </c>
      <c r="CC22" s="328">
        <f t="shared" si="0"/>
        <v>69</v>
      </c>
      <c r="CD22" s="328">
        <f>+SUM(BC22:BN22)</f>
        <v>81</v>
      </c>
      <c r="CE22" s="397">
        <f t="shared" si="2"/>
        <v>0.85185185185185186</v>
      </c>
      <c r="CF22" s="382">
        <f t="shared" si="3"/>
        <v>0.85</v>
      </c>
      <c r="CG22" s="327" t="s">
        <v>3510</v>
      </c>
      <c r="CH22" s="327" t="str">
        <f t="shared" si="4"/>
        <v xml:space="preserve">Porcentual </v>
      </c>
      <c r="CI22" s="421">
        <f>+CE22/CF22</f>
        <v>1.0021786492374729</v>
      </c>
      <c r="CJ22" s="381">
        <v>4</v>
      </c>
      <c r="CK22" s="378" t="str">
        <f t="shared" si="6"/>
        <v>Delegatura Entidades Aseguramiento en Salud</v>
      </c>
      <c r="CL22" s="378" t="str">
        <f t="shared" si="7"/>
        <v>Porcentaje de avance en la actualización de la información de las fichas productos de los seguimientos</v>
      </c>
      <c r="CM22" s="378" t="str">
        <f t="shared" si="8"/>
        <v>Fichas técnicas con información actualizadas / Número de entidades en medida*100</v>
      </c>
      <c r="CN22" s="390">
        <f t="shared" si="9"/>
        <v>69</v>
      </c>
      <c r="CO22" s="390">
        <f t="shared" si="10"/>
        <v>81</v>
      </c>
      <c r="CP22" s="387">
        <f t="shared" si="13"/>
        <v>0.85185185185185186</v>
      </c>
      <c r="CQ22" s="379">
        <f t="shared" si="11"/>
        <v>0.85</v>
      </c>
      <c r="CR22" s="379" t="str">
        <f t="shared" si="12"/>
        <v>SOBRECUMPLIO</v>
      </c>
      <c r="DB22" s="272"/>
      <c r="DC22" s="381"/>
      <c r="DD22" s="381"/>
      <c r="DE22" s="381"/>
      <c r="DF22" s="381"/>
      <c r="DG22" s="381"/>
    </row>
    <row r="23" spans="1:111" s="83" customFormat="1" ht="127.5" customHeight="1" thickTop="1" thickBot="1">
      <c r="A23" s="83" t="s">
        <v>311</v>
      </c>
      <c r="B23" s="75" t="s">
        <v>198</v>
      </c>
      <c r="C23" s="75" t="s">
        <v>938</v>
      </c>
      <c r="D23" s="75" t="s">
        <v>903</v>
      </c>
      <c r="E23" s="75" t="s">
        <v>858</v>
      </c>
      <c r="F23" s="75" t="s">
        <v>859</v>
      </c>
      <c r="G23" s="75" t="s">
        <v>960</v>
      </c>
      <c r="H23" s="75" t="s">
        <v>904</v>
      </c>
      <c r="I23" s="76" t="s">
        <v>894</v>
      </c>
      <c r="J23" s="76" t="s">
        <v>895</v>
      </c>
      <c r="K23" s="76" t="s">
        <v>961</v>
      </c>
      <c r="L23" s="76" t="s">
        <v>875</v>
      </c>
      <c r="M23" s="76" t="s">
        <v>387</v>
      </c>
      <c r="N23" s="77" t="s">
        <v>311</v>
      </c>
      <c r="O23" s="76" t="s">
        <v>388</v>
      </c>
      <c r="P23" s="76" t="s">
        <v>973</v>
      </c>
      <c r="Q23" s="76" t="s">
        <v>973</v>
      </c>
      <c r="R23" s="77" t="s">
        <v>876</v>
      </c>
      <c r="S23" s="76" t="s">
        <v>974</v>
      </c>
      <c r="T23" s="76" t="s">
        <v>892</v>
      </c>
      <c r="U23" s="76" t="s">
        <v>157</v>
      </c>
      <c r="V23" s="79" t="s">
        <v>872</v>
      </c>
      <c r="W23" s="79">
        <v>0.85</v>
      </c>
      <c r="X23" s="299">
        <v>17</v>
      </c>
      <c r="Y23" s="76"/>
      <c r="Z23" s="76"/>
      <c r="AA23" s="76">
        <v>6</v>
      </c>
      <c r="AB23" s="76"/>
      <c r="AC23" s="76"/>
      <c r="AD23" s="76">
        <v>2</v>
      </c>
      <c r="AE23" s="76"/>
      <c r="AF23" s="76"/>
      <c r="AG23" s="76">
        <v>4</v>
      </c>
      <c r="AH23" s="76"/>
      <c r="AI23" s="76"/>
      <c r="AJ23" s="76">
        <v>5</v>
      </c>
      <c r="AK23" s="76" t="s">
        <v>873</v>
      </c>
      <c r="AL23" s="76" t="s">
        <v>873</v>
      </c>
      <c r="AM23" s="76" t="s">
        <v>873</v>
      </c>
      <c r="AN23" s="76" t="s">
        <v>873</v>
      </c>
      <c r="AO23" s="76" t="s">
        <v>365</v>
      </c>
      <c r="AP23" s="82" t="s">
        <v>311</v>
      </c>
      <c r="AQ23" s="370">
        <f>+VLOOKUP(AP23,SharePoint!$BA$3:$BY$140,2,FALSE)</f>
        <v>0</v>
      </c>
      <c r="AR23" s="370">
        <f>+VLOOKUP(AP23,SharePoint!$BA$3:$BY$140,3,FALSE)</f>
        <v>0</v>
      </c>
      <c r="AS23" s="370">
        <f>+VLOOKUP(AP23,SharePoint!$BA$3:$BY$140,4,FALSE)</f>
        <v>6</v>
      </c>
      <c r="AT23" s="370">
        <f>+VLOOKUP(AP23,SharePoint!$BA$3:$BY$140,5,FALSE)</f>
        <v>0</v>
      </c>
      <c r="AU23" s="370">
        <f>+VLOOKUP(AP23,SharePoint!$BA$3:$BY$140,6,FALSE)</f>
        <v>0</v>
      </c>
      <c r="AV23" s="370">
        <f>+VLOOKUP(AP23,SharePoint!$BA$3:$BY$140,7,FALSE)</f>
        <v>2</v>
      </c>
      <c r="AW23" s="370">
        <f>+VLOOKUP(AP23,SharePoint!$BA$3:$BY$140,8,FALSE)</f>
        <v>0</v>
      </c>
      <c r="AX23" s="370">
        <f>+VLOOKUP(AP23,SharePoint!$BA$3:$BY$140,9,FALSE)</f>
        <v>0</v>
      </c>
      <c r="AY23" s="370">
        <f>+VLOOKUP(AP23,SharePoint!$BA$3:$BY$140,10,FALSE)</f>
        <v>3</v>
      </c>
      <c r="AZ23" s="370">
        <f>+VLOOKUP(AP23,SharePoint!$BA$3:$BY$140,11,FALSE)</f>
        <v>0</v>
      </c>
      <c r="BA23" s="370">
        <f>+VLOOKUP(AP23,SharePoint!$BA$3:$BY$140,12,FALSE)</f>
        <v>0</v>
      </c>
      <c r="BB23" s="370">
        <f>+VLOOKUP(AP23,SharePoint!$BA$3:$BY$140,13,FALSE)</f>
        <v>5</v>
      </c>
      <c r="BC23" s="226">
        <f>+VLOOKUP(AP23,SharePoint!$BA$3:$BY$140,14,FALSE)</f>
        <v>0</v>
      </c>
      <c r="BD23" s="226">
        <f>+VLOOKUP(AP23,SharePoint!$BA$3:$BY$140,15,FALSE)</f>
        <v>0</v>
      </c>
      <c r="BE23" s="226">
        <f>+VLOOKUP(AP23,SharePoint!$BA$3:$BY$140,16,FALSE)</f>
        <v>6</v>
      </c>
      <c r="BF23" s="226">
        <f>+VLOOKUP(AP23,SharePoint!$BA$3:$BY$140,17,FALSE)</f>
        <v>0</v>
      </c>
      <c r="BG23" s="226">
        <f>+VLOOKUP(AP23,SharePoint!$BA$3:$BY$140,18,FALSE)</f>
        <v>0</v>
      </c>
      <c r="BH23" s="226">
        <f>+VLOOKUP(AP23,SharePoint!$BA$3:$BY$140,19,FALSE)</f>
        <v>2</v>
      </c>
      <c r="BI23" s="226">
        <f>+VLOOKUP(AP23,SharePoint!$BA$3:$BY$140,20,FALSE)</f>
        <v>0</v>
      </c>
      <c r="BJ23" s="226">
        <f>+VLOOKUP(AP23,SharePoint!$BA$3:$BY$140,21,FALSE)</f>
        <v>0</v>
      </c>
      <c r="BK23" s="226">
        <f>+VLOOKUP(AP23,SharePoint!$BA$3:$BY$140,22,FALSE)</f>
        <v>4</v>
      </c>
      <c r="BL23" s="226">
        <f>+VLOOKUP(AP23,SharePoint!$BA$3:$BY$140,23,FALSE)</f>
        <v>0</v>
      </c>
      <c r="BM23" s="226">
        <f>+VLOOKUP(AP23,SharePoint!$BA$3:$BY$140,24,FALSE)</f>
        <v>0</v>
      </c>
      <c r="BN23" s="226">
        <f>+VLOOKUP(AP23,SharePoint!$BA$3:$BY$140,25,FALSE)</f>
        <v>5</v>
      </c>
      <c r="BO23" s="214" t="s">
        <v>873</v>
      </c>
      <c r="BP23" s="214" t="s">
        <v>873</v>
      </c>
      <c r="BQ23" s="215" t="s">
        <v>390</v>
      </c>
      <c r="BR23" s="214" t="s">
        <v>873</v>
      </c>
      <c r="BS23" s="214" t="s">
        <v>873</v>
      </c>
      <c r="BT23" s="215" t="s">
        <v>3041</v>
      </c>
      <c r="BU23" s="214" t="s">
        <v>873</v>
      </c>
      <c r="BV23" s="214" t="s">
        <v>873</v>
      </c>
      <c r="BW23" s="214" t="s">
        <v>2836</v>
      </c>
      <c r="BX23" s="214" t="s">
        <v>875</v>
      </c>
      <c r="BY23" s="214" t="s">
        <v>875</v>
      </c>
      <c r="BZ23" s="214" t="s">
        <v>3353</v>
      </c>
      <c r="CA23" s="449">
        <v>2</v>
      </c>
      <c r="CB23" s="339" t="s">
        <v>3418</v>
      </c>
      <c r="CC23" s="359">
        <f t="shared" si="0"/>
        <v>16</v>
      </c>
      <c r="CD23" s="359">
        <f t="shared" si="1"/>
        <v>17</v>
      </c>
      <c r="CE23" s="343">
        <f t="shared" si="2"/>
        <v>0.94117647058823528</v>
      </c>
      <c r="CF23" s="381">
        <f t="shared" si="3"/>
        <v>17</v>
      </c>
      <c r="CG23" s="327" t="s">
        <v>3511</v>
      </c>
      <c r="CH23" s="327" t="str">
        <f t="shared" si="4"/>
        <v>Numérica</v>
      </c>
      <c r="CI23" s="327"/>
      <c r="CJ23" s="381">
        <v>5</v>
      </c>
      <c r="CK23" s="376" t="str">
        <f t="shared" si="6"/>
        <v>Delegatura Entidades Aseguramiento en Salud</v>
      </c>
      <c r="CL23" s="376" t="str">
        <f t="shared" si="7"/>
        <v>Seguimiento y monitoreo a entidades en medida de vigilancia.</v>
      </c>
      <c r="CM23" s="376" t="str">
        <f t="shared" si="8"/>
        <v xml:space="preserve">Numero de seguimientos en campo a las entidades en medida especial </v>
      </c>
      <c r="CN23" s="389">
        <f t="shared" si="9"/>
        <v>16</v>
      </c>
      <c r="CO23" s="389">
        <f t="shared" si="10"/>
        <v>17</v>
      </c>
      <c r="CP23" s="388">
        <f t="shared" si="13"/>
        <v>0.94117647058823528</v>
      </c>
      <c r="CQ23" s="376">
        <f t="shared" si="11"/>
        <v>17</v>
      </c>
      <c r="CR23" s="377" t="str">
        <f t="shared" si="12"/>
        <v>INCUMPLIO</v>
      </c>
      <c r="DB23" s="272"/>
      <c r="DC23" s="381"/>
      <c r="DD23" s="381"/>
      <c r="DE23" s="381"/>
      <c r="DF23" s="381"/>
      <c r="DG23" s="381"/>
    </row>
    <row r="24" spans="1:111" s="83" customFormat="1" ht="127.5" customHeight="1" thickTop="1" thickBot="1">
      <c r="A24" s="83" t="s">
        <v>200</v>
      </c>
      <c r="B24" s="75" t="s">
        <v>198</v>
      </c>
      <c r="C24" s="75" t="s">
        <v>856</v>
      </c>
      <c r="D24" s="75" t="s">
        <v>903</v>
      </c>
      <c r="E24" s="76" t="s">
        <v>858</v>
      </c>
      <c r="F24" s="76" t="s">
        <v>859</v>
      </c>
      <c r="G24" s="76" t="s">
        <v>197</v>
      </c>
      <c r="H24" s="76" t="s">
        <v>904</v>
      </c>
      <c r="I24" s="76" t="s">
        <v>905</v>
      </c>
      <c r="J24" s="169" t="s">
        <v>906</v>
      </c>
      <c r="K24" s="76" t="s">
        <v>975</v>
      </c>
      <c r="L24" s="76" t="s">
        <v>875</v>
      </c>
      <c r="M24" s="76" t="s">
        <v>201</v>
      </c>
      <c r="N24" s="76" t="s">
        <v>200</v>
      </c>
      <c r="O24" s="76" t="s">
        <v>202</v>
      </c>
      <c r="P24" s="76" t="s">
        <v>976</v>
      </c>
      <c r="Q24" s="76" t="s">
        <v>977</v>
      </c>
      <c r="R24" s="77" t="s">
        <v>876</v>
      </c>
      <c r="S24" s="76" t="s">
        <v>978</v>
      </c>
      <c r="T24" s="76" t="s">
        <v>870</v>
      </c>
      <c r="U24" s="76" t="s">
        <v>157</v>
      </c>
      <c r="V24" s="76" t="s">
        <v>872</v>
      </c>
      <c r="W24" s="81">
        <v>0</v>
      </c>
      <c r="X24" s="301">
        <v>64</v>
      </c>
      <c r="Y24" s="76"/>
      <c r="Z24" s="76"/>
      <c r="AA24" s="76">
        <v>19</v>
      </c>
      <c r="AB24" s="79"/>
      <c r="AC24" s="76"/>
      <c r="AD24" s="76">
        <v>17</v>
      </c>
      <c r="AE24" s="76"/>
      <c r="AF24" s="79"/>
      <c r="AG24" s="76">
        <v>12</v>
      </c>
      <c r="AH24" s="76"/>
      <c r="AI24" s="76"/>
      <c r="AJ24" s="92">
        <v>16</v>
      </c>
      <c r="AK24" s="86" t="s">
        <v>899</v>
      </c>
      <c r="AL24" s="76" t="s">
        <v>911</v>
      </c>
      <c r="AM24" s="76" t="s">
        <v>979</v>
      </c>
      <c r="AN24" s="94" t="s">
        <v>980</v>
      </c>
      <c r="AO24" s="76" t="s">
        <v>199</v>
      </c>
      <c r="AP24" s="82" t="s">
        <v>200</v>
      </c>
      <c r="AQ24" s="370">
        <f>+VLOOKUP(AP24,SharePoint!$BA$3:$BY$140,2,FALSE)</f>
        <v>0</v>
      </c>
      <c r="AR24" s="370">
        <f>+VLOOKUP(AP24,SharePoint!$BA$3:$BY$140,3,FALSE)</f>
        <v>0</v>
      </c>
      <c r="AS24" s="370">
        <f>+VLOOKUP(AP24,SharePoint!$BA$3:$BY$140,4,FALSE)</f>
        <v>19</v>
      </c>
      <c r="AT24" s="370">
        <f>+VLOOKUP(AP24,SharePoint!$BA$3:$BY$140,5,FALSE)</f>
        <v>0</v>
      </c>
      <c r="AU24" s="370">
        <f>+VLOOKUP(AP24,SharePoint!$BA$3:$BY$140,6,FALSE)</f>
        <v>0</v>
      </c>
      <c r="AV24" s="363">
        <v>17</v>
      </c>
      <c r="AW24" s="370">
        <f>+VLOOKUP(AP24,SharePoint!$BA$3:$BY$140,8,FALSE)</f>
        <v>0</v>
      </c>
      <c r="AX24" s="370">
        <f>+VLOOKUP(AP24,SharePoint!$BA$3:$BY$140,9,FALSE)</f>
        <v>0</v>
      </c>
      <c r="AY24" s="370">
        <f>+VLOOKUP(AP24,SharePoint!$BA$3:$BY$140,10,FALSE)</f>
        <v>12</v>
      </c>
      <c r="AZ24" s="370">
        <f>+VLOOKUP(AP24,SharePoint!$BA$3:$BY$140,11,FALSE)</f>
        <v>0</v>
      </c>
      <c r="BA24" s="370">
        <f>+VLOOKUP(AP24,SharePoint!$BA$3:$BY$140,12,FALSE)</f>
        <v>0</v>
      </c>
      <c r="BB24" s="363">
        <v>16</v>
      </c>
      <c r="BC24" s="226">
        <f>+VLOOKUP(AP24,SharePoint!$BA$3:$BY$140,14,FALSE)</f>
        <v>0</v>
      </c>
      <c r="BD24" s="226">
        <f>+VLOOKUP(AP24,SharePoint!$BA$3:$BY$140,15,FALSE)</f>
        <v>0</v>
      </c>
      <c r="BE24" s="226">
        <f>+VLOOKUP(AP24,SharePoint!$BA$3:$BY$140,16,FALSE)</f>
        <v>19</v>
      </c>
      <c r="BF24" s="226">
        <f>+VLOOKUP(AP24,SharePoint!$BA$3:$BY$140,17,FALSE)</f>
        <v>0</v>
      </c>
      <c r="BG24" s="226">
        <f>+VLOOKUP(AP24,SharePoint!$BA$3:$BY$140,18,FALSE)</f>
        <v>0</v>
      </c>
      <c r="BH24" s="226">
        <f>+VLOOKUP(AP24,SharePoint!$BA$3:$BY$140,19,FALSE)</f>
        <v>17</v>
      </c>
      <c r="BI24" s="226">
        <f>+VLOOKUP(AP24,SharePoint!$BA$3:$BY$140,20,FALSE)</f>
        <v>0</v>
      </c>
      <c r="BJ24" s="226">
        <f>+VLOOKUP(AP24,SharePoint!$BA$3:$BY$140,21,FALSE)</f>
        <v>0</v>
      </c>
      <c r="BK24" s="226">
        <f>+VLOOKUP(AP24,SharePoint!$BA$3:$BY$140,22,FALSE)</f>
        <v>12</v>
      </c>
      <c r="BL24" s="226">
        <f>+VLOOKUP(AP24,SharePoint!$BA$3:$BY$140,23,FALSE)</f>
        <v>0</v>
      </c>
      <c r="BM24" s="226">
        <f>+VLOOKUP(AP24,SharePoint!$BA$3:$BY$140,24,FALSE)</f>
        <v>0</v>
      </c>
      <c r="BN24" s="226">
        <f>+VLOOKUP(AP24,SharePoint!$BA$3:$BY$140,25,FALSE)</f>
        <v>16</v>
      </c>
      <c r="BO24" s="214" t="s">
        <v>873</v>
      </c>
      <c r="BP24" s="214" t="s">
        <v>873</v>
      </c>
      <c r="BQ24" s="215" t="s">
        <v>2799</v>
      </c>
      <c r="BR24" s="214" t="s">
        <v>873</v>
      </c>
      <c r="BS24" s="214" t="s">
        <v>873</v>
      </c>
      <c r="BT24" s="215" t="s">
        <v>2798</v>
      </c>
      <c r="BU24" s="214" t="s">
        <v>873</v>
      </c>
      <c r="BV24" s="214" t="s">
        <v>873</v>
      </c>
      <c r="BW24" s="214" t="s">
        <v>3129</v>
      </c>
      <c r="BX24" s="214" t="s">
        <v>875</v>
      </c>
      <c r="BY24" s="214" t="s">
        <v>875</v>
      </c>
      <c r="BZ24" s="214" t="s">
        <v>3337</v>
      </c>
      <c r="CA24" s="449">
        <v>2</v>
      </c>
      <c r="CB24" s="374" t="s">
        <v>3544</v>
      </c>
      <c r="CC24" s="359">
        <f t="shared" si="0"/>
        <v>64</v>
      </c>
      <c r="CD24" s="359">
        <f t="shared" si="1"/>
        <v>64</v>
      </c>
      <c r="CE24" s="343">
        <f>+CD24/CF24</f>
        <v>1</v>
      </c>
      <c r="CF24" s="381">
        <f t="shared" si="3"/>
        <v>64</v>
      </c>
      <c r="CG24" s="327" t="s">
        <v>3509</v>
      </c>
      <c r="CH24" s="327" t="str">
        <f t="shared" si="4"/>
        <v>Numérica</v>
      </c>
      <c r="CI24" s="327"/>
      <c r="CJ24" s="381">
        <v>1</v>
      </c>
      <c r="CK24" s="378" t="str">
        <f t="shared" si="6"/>
        <v>Delegatura Prestadores de Servicios en Salud</v>
      </c>
      <c r="CL24" s="378" t="str">
        <f t="shared" si="7"/>
        <v>Auditorías realizadas a los Prestadores de Servicios en Salud (PSS) en cumplimiento del Programa Anual de Auditoría de la Delegada</v>
      </c>
      <c r="CM24" s="378" t="str">
        <f t="shared" si="8"/>
        <v xml:space="preserve">Número de auditorías realizadas a los Prestadores de Servicios en Salud (PSS) </v>
      </c>
      <c r="CN24" s="390">
        <f t="shared" si="9"/>
        <v>64</v>
      </c>
      <c r="CO24" s="390">
        <f t="shared" si="10"/>
        <v>64</v>
      </c>
      <c r="CP24" s="387">
        <f t="shared" si="13"/>
        <v>1</v>
      </c>
      <c r="CQ24" s="378">
        <f t="shared" si="11"/>
        <v>64</v>
      </c>
      <c r="CR24" s="379" t="str">
        <f t="shared" si="12"/>
        <v>CUMPLIO</v>
      </c>
      <c r="DB24" s="272"/>
      <c r="DC24" s="381"/>
      <c r="DD24" s="381"/>
      <c r="DE24" s="381"/>
      <c r="DF24" s="381"/>
      <c r="DG24" s="381"/>
    </row>
    <row r="25" spans="1:111" s="83" customFormat="1" ht="127.5" customHeight="1" thickTop="1" thickBot="1">
      <c r="A25" s="83" t="s">
        <v>204</v>
      </c>
      <c r="B25" s="75" t="s">
        <v>198</v>
      </c>
      <c r="C25" s="75" t="s">
        <v>856</v>
      </c>
      <c r="D25" s="75" t="s">
        <v>903</v>
      </c>
      <c r="E25" s="76" t="s">
        <v>858</v>
      </c>
      <c r="F25" s="76" t="s">
        <v>859</v>
      </c>
      <c r="G25" s="76" t="s">
        <v>197</v>
      </c>
      <c r="H25" s="76" t="s">
        <v>904</v>
      </c>
      <c r="I25" s="76" t="s">
        <v>905</v>
      </c>
      <c r="J25" s="169" t="s">
        <v>906</v>
      </c>
      <c r="K25" s="76" t="s">
        <v>975</v>
      </c>
      <c r="L25" s="76" t="s">
        <v>875</v>
      </c>
      <c r="M25" s="76" t="s">
        <v>205</v>
      </c>
      <c r="N25" s="76" t="s">
        <v>204</v>
      </c>
      <c r="O25" s="76" t="s">
        <v>206</v>
      </c>
      <c r="P25" s="76" t="s">
        <v>207</v>
      </c>
      <c r="Q25" s="76" t="s">
        <v>981</v>
      </c>
      <c r="R25" s="76" t="s">
        <v>982</v>
      </c>
      <c r="S25" s="76" t="s">
        <v>983</v>
      </c>
      <c r="T25" s="76" t="s">
        <v>892</v>
      </c>
      <c r="U25" s="76" t="s">
        <v>871</v>
      </c>
      <c r="V25" s="76" t="s">
        <v>872</v>
      </c>
      <c r="W25" s="81">
        <v>0</v>
      </c>
      <c r="X25" s="302">
        <v>1</v>
      </c>
      <c r="Y25" s="76"/>
      <c r="Z25" s="76"/>
      <c r="AA25" s="79">
        <v>1</v>
      </c>
      <c r="AB25" s="76"/>
      <c r="AC25" s="76"/>
      <c r="AD25" s="79">
        <v>1</v>
      </c>
      <c r="AE25" s="92"/>
      <c r="AF25" s="76"/>
      <c r="AG25" s="79">
        <v>1</v>
      </c>
      <c r="AH25" s="76"/>
      <c r="AI25" s="76"/>
      <c r="AJ25" s="79">
        <v>1</v>
      </c>
      <c r="AK25" s="76" t="s">
        <v>873</v>
      </c>
      <c r="AL25" s="76" t="s">
        <v>873</v>
      </c>
      <c r="AM25" s="76" t="s">
        <v>873</v>
      </c>
      <c r="AN25" s="76" t="s">
        <v>873</v>
      </c>
      <c r="AO25" s="76" t="s">
        <v>199</v>
      </c>
      <c r="AP25" s="82" t="s">
        <v>204</v>
      </c>
      <c r="AQ25" s="370">
        <f>+VLOOKUP(AP25,SharePoint!$BA$3:$BY$140,2,FALSE)</f>
        <v>0</v>
      </c>
      <c r="AR25" s="370">
        <f>+VLOOKUP(AP25,SharePoint!$BA$3:$BY$140,3,FALSE)</f>
        <v>0</v>
      </c>
      <c r="AS25" s="370">
        <f>+VLOOKUP(AP25,SharePoint!$BA$3:$BY$140,4,FALSE)</f>
        <v>88</v>
      </c>
      <c r="AT25" s="370">
        <f>+VLOOKUP(AP25,SharePoint!$BA$3:$BY$140,5,FALSE)</f>
        <v>0</v>
      </c>
      <c r="AU25" s="370">
        <f>+VLOOKUP(AP25,SharePoint!$BA$3:$BY$140,6,FALSE)</f>
        <v>0</v>
      </c>
      <c r="AV25" s="370">
        <f>+VLOOKUP(AP25,SharePoint!$BA$3:$BY$140,7,FALSE)</f>
        <v>75</v>
      </c>
      <c r="AW25" s="370">
        <f>+VLOOKUP(AP25,SharePoint!$BA$3:$BY$140,8,FALSE)</f>
        <v>0</v>
      </c>
      <c r="AX25" s="370">
        <f>+VLOOKUP(AP25,SharePoint!$BA$3:$BY$140,9,FALSE)</f>
        <v>0</v>
      </c>
      <c r="AY25" s="370">
        <f>+VLOOKUP(AP25,SharePoint!$BA$3:$BY$140,10,FALSE)</f>
        <v>73</v>
      </c>
      <c r="AZ25" s="370">
        <f>+VLOOKUP(AP25,SharePoint!$BA$3:$BY$140,11,FALSE)</f>
        <v>0</v>
      </c>
      <c r="BA25" s="370">
        <f>+VLOOKUP(AP25,SharePoint!$BA$3:$BY$140,12,FALSE)</f>
        <v>0</v>
      </c>
      <c r="BB25" s="370">
        <f>+VLOOKUP(AP25,SharePoint!$BA$3:$BY$140,13,FALSE)</f>
        <v>50</v>
      </c>
      <c r="BC25" s="226">
        <f>+VLOOKUP(AP25,SharePoint!$BA$3:$BY$140,14,FALSE)</f>
        <v>0</v>
      </c>
      <c r="BD25" s="226">
        <f>+VLOOKUP(AP25,SharePoint!$BA$3:$BY$140,15,FALSE)</f>
        <v>0</v>
      </c>
      <c r="BE25" s="226">
        <f>+VLOOKUP(AP25,SharePoint!$BA$3:$BY$140,16,FALSE)</f>
        <v>88</v>
      </c>
      <c r="BF25" s="226">
        <f>+VLOOKUP(AP25,SharePoint!$BA$3:$BY$140,17,FALSE)</f>
        <v>0</v>
      </c>
      <c r="BG25" s="226">
        <f>+VLOOKUP(AP25,SharePoint!$BA$3:$BY$140,18,FALSE)</f>
        <v>0</v>
      </c>
      <c r="BH25" s="226">
        <f>+VLOOKUP(AP25,SharePoint!$BA$3:$BY$140,19,FALSE)</f>
        <v>77</v>
      </c>
      <c r="BI25" s="226">
        <f>+VLOOKUP(AP25,SharePoint!$BA$3:$BY$140,20,FALSE)</f>
        <v>0</v>
      </c>
      <c r="BJ25" s="226">
        <f>+VLOOKUP(AP25,SharePoint!$BA$3:$BY$140,21,FALSE)</f>
        <v>0</v>
      </c>
      <c r="BK25" s="226">
        <f>+VLOOKUP(AP25,SharePoint!$BA$3:$BY$140,22,FALSE)</f>
        <v>73</v>
      </c>
      <c r="BL25" s="226">
        <f>+VLOOKUP(AP25,SharePoint!$BA$3:$BY$140,23,FALSE)</f>
        <v>0</v>
      </c>
      <c r="BM25" s="226">
        <f>+VLOOKUP(AP25,SharePoint!$BA$3:$BY$140,24,FALSE)</f>
        <v>0</v>
      </c>
      <c r="BN25" s="226">
        <f>+VLOOKUP(AP25,SharePoint!$BA$3:$BY$140,25,FALSE)</f>
        <v>50</v>
      </c>
      <c r="BO25" s="214" t="s">
        <v>873</v>
      </c>
      <c r="BP25" s="214" t="s">
        <v>873</v>
      </c>
      <c r="BQ25" s="215" t="s">
        <v>208</v>
      </c>
      <c r="BR25" s="214" t="s">
        <v>873</v>
      </c>
      <c r="BS25" s="214" t="s">
        <v>873</v>
      </c>
      <c r="BT25" s="215" t="s">
        <v>3042</v>
      </c>
      <c r="BU25" s="214" t="s">
        <v>873</v>
      </c>
      <c r="BV25" s="214" t="s">
        <v>873</v>
      </c>
      <c r="BW25" s="214" t="s">
        <v>3130</v>
      </c>
      <c r="BX25" s="214" t="s">
        <v>875</v>
      </c>
      <c r="BY25" s="214" t="s">
        <v>875</v>
      </c>
      <c r="BZ25" s="214" t="s">
        <v>3338</v>
      </c>
      <c r="CA25" s="449">
        <v>1</v>
      </c>
      <c r="CB25" s="339" t="s">
        <v>3419</v>
      </c>
      <c r="CC25" s="359">
        <f t="shared" si="0"/>
        <v>286</v>
      </c>
      <c r="CD25" s="359">
        <f t="shared" si="1"/>
        <v>288</v>
      </c>
      <c r="CE25" s="382">
        <f t="shared" si="2"/>
        <v>0.99305555555555558</v>
      </c>
      <c r="CF25" s="397">
        <f t="shared" si="3"/>
        <v>1</v>
      </c>
      <c r="CG25" s="327" t="s">
        <v>3511</v>
      </c>
      <c r="CH25" s="327" t="str">
        <f t="shared" si="4"/>
        <v xml:space="preserve">Porcentual </v>
      </c>
      <c r="CI25" s="327"/>
      <c r="CJ25" s="381">
        <v>2</v>
      </c>
      <c r="CK25" s="376" t="str">
        <f t="shared" si="6"/>
        <v>Delegatura Prestadores de Servicios en Salud</v>
      </c>
      <c r="CL25" s="376" t="str">
        <f t="shared" si="7"/>
        <v>Porcentaje de Planes de Mejoramiento evaluados</v>
      </c>
      <c r="CM25" s="376" t="str">
        <f t="shared" si="8"/>
        <v>Número de Planes de Mejoramiento evaluados al corte / Número de Planes de Mejoramiento gestionados en el periodo</v>
      </c>
      <c r="CN25" s="389">
        <f t="shared" si="9"/>
        <v>286</v>
      </c>
      <c r="CO25" s="389">
        <f t="shared" si="10"/>
        <v>288</v>
      </c>
      <c r="CP25" s="388">
        <f t="shared" si="13"/>
        <v>0.99305555555555558</v>
      </c>
      <c r="CQ25" s="377">
        <f t="shared" si="11"/>
        <v>1</v>
      </c>
      <c r="CR25" s="377" t="str">
        <f t="shared" si="12"/>
        <v>INCUMPLIO</v>
      </c>
      <c r="DB25" s="272"/>
      <c r="DC25" s="381"/>
      <c r="DD25" s="381"/>
      <c r="DE25" s="381"/>
      <c r="DF25" s="381"/>
      <c r="DG25" s="381"/>
    </row>
    <row r="26" spans="1:111" s="83" customFormat="1" ht="127.5" customHeight="1" thickTop="1" thickBot="1">
      <c r="A26" s="83" t="s">
        <v>599</v>
      </c>
      <c r="B26" s="75" t="s">
        <v>198</v>
      </c>
      <c r="C26" s="75" t="s">
        <v>856</v>
      </c>
      <c r="D26" s="75" t="s">
        <v>903</v>
      </c>
      <c r="E26" s="76" t="s">
        <v>858</v>
      </c>
      <c r="F26" s="76" t="s">
        <v>859</v>
      </c>
      <c r="G26" s="76" t="s">
        <v>197</v>
      </c>
      <c r="H26" s="76" t="s">
        <v>904</v>
      </c>
      <c r="I26" s="76" t="s">
        <v>861</v>
      </c>
      <c r="J26" s="76" t="s">
        <v>862</v>
      </c>
      <c r="K26" s="76" t="s">
        <v>984</v>
      </c>
      <c r="L26" s="76" t="s">
        <v>875</v>
      </c>
      <c r="M26" s="76" t="s">
        <v>779</v>
      </c>
      <c r="N26" s="76" t="s">
        <v>599</v>
      </c>
      <c r="O26" s="76" t="s">
        <v>780</v>
      </c>
      <c r="P26" s="76" t="s">
        <v>781</v>
      </c>
      <c r="Q26" s="76" t="s">
        <v>985</v>
      </c>
      <c r="R26" s="76" t="s">
        <v>986</v>
      </c>
      <c r="S26" s="76" t="s">
        <v>987</v>
      </c>
      <c r="T26" s="76" t="s">
        <v>892</v>
      </c>
      <c r="U26" s="76" t="s">
        <v>871</v>
      </c>
      <c r="V26" s="76" t="s">
        <v>988</v>
      </c>
      <c r="W26" s="81">
        <v>0</v>
      </c>
      <c r="X26" s="302">
        <v>1</v>
      </c>
      <c r="Y26" s="76"/>
      <c r="Z26" s="76"/>
      <c r="AA26" s="76"/>
      <c r="AB26" s="76"/>
      <c r="AC26" s="76"/>
      <c r="AD26" s="76"/>
      <c r="AE26" s="95">
        <v>1</v>
      </c>
      <c r="AF26" s="76"/>
      <c r="AG26" s="76"/>
      <c r="AH26" s="76"/>
      <c r="AI26" s="76"/>
      <c r="AJ26" s="80">
        <v>1</v>
      </c>
      <c r="AK26" s="76" t="s">
        <v>873</v>
      </c>
      <c r="AL26" s="76" t="s">
        <v>873</v>
      </c>
      <c r="AM26" s="76" t="s">
        <v>873</v>
      </c>
      <c r="AN26" s="76" t="s">
        <v>873</v>
      </c>
      <c r="AO26" s="76" t="s">
        <v>199</v>
      </c>
      <c r="AP26" s="82" t="s">
        <v>599</v>
      </c>
      <c r="AQ26" s="370">
        <f>+VLOOKUP(AP26,SharePoint!$BA$3:$BY$140,2,FALSE)</f>
        <v>0</v>
      </c>
      <c r="AR26" s="370">
        <f>+VLOOKUP(AP26,SharePoint!$BA$3:$BY$140,3,FALSE)</f>
        <v>0</v>
      </c>
      <c r="AS26" s="370">
        <f>+VLOOKUP(AP26,SharePoint!$BA$3:$BY$140,4,FALSE)</f>
        <v>0</v>
      </c>
      <c r="AT26" s="370">
        <f>+VLOOKUP(AP26,SharePoint!$BA$3:$BY$140,5,FALSE)</f>
        <v>0</v>
      </c>
      <c r="AU26" s="370">
        <f>+VLOOKUP(AP26,SharePoint!$BA$3:$BY$140,6,FALSE)</f>
        <v>0</v>
      </c>
      <c r="AV26" s="370">
        <f>+VLOOKUP(AP26,SharePoint!$BA$3:$BY$140,7,FALSE)</f>
        <v>935</v>
      </c>
      <c r="AW26" s="370">
        <f>+VLOOKUP(AP26,SharePoint!$BA$3:$BY$140,8,FALSE)</f>
        <v>0</v>
      </c>
      <c r="AX26" s="370">
        <f>+VLOOKUP(AP26,SharePoint!$BA$3:$BY$140,9,FALSE)</f>
        <v>0</v>
      </c>
      <c r="AY26" s="370">
        <f>+VLOOKUP(AP26,SharePoint!$BA$3:$BY$140,10,FALSE)</f>
        <v>0</v>
      </c>
      <c r="AZ26" s="370">
        <f>+VLOOKUP(AP26,SharePoint!$BA$3:$BY$140,11,FALSE)</f>
        <v>0</v>
      </c>
      <c r="BA26" s="370">
        <f>+VLOOKUP(AP26,SharePoint!$BA$3:$BY$140,12,FALSE)</f>
        <v>0</v>
      </c>
      <c r="BB26" s="370">
        <f>+VLOOKUP(AP26,SharePoint!$BA$3:$BY$140,13,FALSE)</f>
        <v>102</v>
      </c>
      <c r="BC26" s="226">
        <f>+VLOOKUP(AP26,SharePoint!$BA$3:$BY$140,14,FALSE)</f>
        <v>0</v>
      </c>
      <c r="BD26" s="226">
        <f>+VLOOKUP(AP26,SharePoint!$BA$3:$BY$140,15,FALSE)</f>
        <v>0</v>
      </c>
      <c r="BE26" s="226">
        <f>+VLOOKUP(AP26,SharePoint!$BA$3:$BY$140,16,FALSE)</f>
        <v>0</v>
      </c>
      <c r="BF26" s="226">
        <f>+VLOOKUP(AP26,SharePoint!$BA$3:$BY$140,17,FALSE)</f>
        <v>0</v>
      </c>
      <c r="BG26" s="226">
        <f>+VLOOKUP(AP26,SharePoint!$BA$3:$BY$140,18,FALSE)</f>
        <v>0</v>
      </c>
      <c r="BH26" s="226">
        <f>+VLOOKUP(AP26,SharePoint!$BA$3:$BY$140,19,FALSE)</f>
        <v>935</v>
      </c>
      <c r="BI26" s="226">
        <f>+VLOOKUP(AP26,SharePoint!$BA$3:$BY$140,20,FALSE)</f>
        <v>0</v>
      </c>
      <c r="BJ26" s="226">
        <f>+VLOOKUP(AP26,SharePoint!$BA$3:$BY$140,21,FALSE)</f>
        <v>0</v>
      </c>
      <c r="BK26" s="226">
        <f>+VLOOKUP(AP26,SharePoint!$BA$3:$BY$140,22,FALSE)</f>
        <v>0</v>
      </c>
      <c r="BL26" s="226">
        <f>+VLOOKUP(AP26,SharePoint!$BA$3:$BY$140,23,FALSE)</f>
        <v>0</v>
      </c>
      <c r="BM26" s="226">
        <f>+VLOOKUP(AP26,SharePoint!$BA$3:$BY$140,24,FALSE)</f>
        <v>0</v>
      </c>
      <c r="BN26" s="226">
        <f>+VLOOKUP(AP26,SharePoint!$BA$3:$BY$140,25,FALSE)</f>
        <v>102</v>
      </c>
      <c r="BO26" s="214" t="s">
        <v>873</v>
      </c>
      <c r="BP26" s="214" t="s">
        <v>873</v>
      </c>
      <c r="BQ26" s="214" t="s">
        <v>873</v>
      </c>
      <c r="BR26" s="214" t="s">
        <v>873</v>
      </c>
      <c r="BS26" s="214" t="s">
        <v>873</v>
      </c>
      <c r="BT26" s="215" t="s">
        <v>3043</v>
      </c>
      <c r="BU26" s="214" t="s">
        <v>873</v>
      </c>
      <c r="BV26" s="214" t="s">
        <v>873</v>
      </c>
      <c r="BW26" s="214" t="s">
        <v>873</v>
      </c>
      <c r="BX26" s="214" t="s">
        <v>875</v>
      </c>
      <c r="BY26" s="214" t="s">
        <v>875</v>
      </c>
      <c r="BZ26" s="214" t="s">
        <v>3380</v>
      </c>
      <c r="CA26" s="449">
        <v>2</v>
      </c>
      <c r="CB26" s="373" t="s">
        <v>3420</v>
      </c>
      <c r="CC26" s="359">
        <f t="shared" si="0"/>
        <v>1037</v>
      </c>
      <c r="CD26" s="359">
        <f t="shared" si="1"/>
        <v>1037</v>
      </c>
      <c r="CE26" s="382">
        <f t="shared" si="2"/>
        <v>1</v>
      </c>
      <c r="CF26" s="382">
        <f t="shared" si="3"/>
        <v>1</v>
      </c>
      <c r="CG26" s="327" t="s">
        <v>3509</v>
      </c>
      <c r="CH26" s="327" t="str">
        <f t="shared" si="4"/>
        <v xml:space="preserve">Porcentual </v>
      </c>
      <c r="CI26" s="327"/>
      <c r="CJ26" s="381">
        <v>3</v>
      </c>
      <c r="CK26" s="378" t="str">
        <f t="shared" si="6"/>
        <v>Delegatura Prestadores de Servicios en Salud</v>
      </c>
      <c r="CL26" s="378" t="str">
        <f t="shared" si="7"/>
        <v>Porcentaje de seguimiento a los recursos asignados para la implementación de los equipos basicos en Salud en las ESE</v>
      </c>
      <c r="CM26" s="378" t="str">
        <f t="shared" si="8"/>
        <v>Número de seguimientos efectuados / Total de ESE con asignación de recursos para el Programa de Equipos Básicos en Salud, conocidas por la Supersalud.</v>
      </c>
      <c r="CN26" s="390">
        <f t="shared" si="9"/>
        <v>1037</v>
      </c>
      <c r="CO26" s="390">
        <f t="shared" si="10"/>
        <v>1037</v>
      </c>
      <c r="CP26" s="387">
        <f t="shared" si="13"/>
        <v>1</v>
      </c>
      <c r="CQ26" s="379">
        <f t="shared" si="11"/>
        <v>1</v>
      </c>
      <c r="CR26" s="379" t="str">
        <f t="shared" si="12"/>
        <v>CUMPLIO</v>
      </c>
      <c r="DB26" s="272"/>
      <c r="DC26" s="381"/>
      <c r="DD26" s="381"/>
      <c r="DE26" s="381"/>
      <c r="DF26" s="381"/>
      <c r="DG26" s="381"/>
    </row>
    <row r="27" spans="1:111" s="83" customFormat="1" ht="127.5" customHeight="1" thickTop="1" thickBot="1">
      <c r="A27" s="83" t="s">
        <v>598</v>
      </c>
      <c r="B27" s="75" t="s">
        <v>198</v>
      </c>
      <c r="C27" s="75" t="s">
        <v>856</v>
      </c>
      <c r="D27" s="75" t="s">
        <v>903</v>
      </c>
      <c r="E27" s="76" t="s">
        <v>858</v>
      </c>
      <c r="F27" s="76" t="s">
        <v>859</v>
      </c>
      <c r="G27" s="76" t="s">
        <v>197</v>
      </c>
      <c r="H27" s="76" t="s">
        <v>904</v>
      </c>
      <c r="I27" s="76" t="s">
        <v>861</v>
      </c>
      <c r="J27" s="76" t="s">
        <v>862</v>
      </c>
      <c r="K27" s="76" t="s">
        <v>984</v>
      </c>
      <c r="L27" s="76" t="s">
        <v>875</v>
      </c>
      <c r="M27" s="76" t="s">
        <v>989</v>
      </c>
      <c r="N27" s="76" t="s">
        <v>598</v>
      </c>
      <c r="O27" s="76" t="s">
        <v>744</v>
      </c>
      <c r="P27" s="76" t="s">
        <v>990</v>
      </c>
      <c r="Q27" s="76" t="s">
        <v>991</v>
      </c>
      <c r="R27" s="76" t="s">
        <v>992</v>
      </c>
      <c r="S27" s="76" t="s">
        <v>993</v>
      </c>
      <c r="T27" s="76" t="s">
        <v>892</v>
      </c>
      <c r="U27" s="76" t="s">
        <v>178</v>
      </c>
      <c r="V27" s="76" t="s">
        <v>988</v>
      </c>
      <c r="W27" s="81">
        <v>0</v>
      </c>
      <c r="X27" s="302">
        <v>1</v>
      </c>
      <c r="Y27" s="76"/>
      <c r="Z27" s="76"/>
      <c r="AA27" s="76"/>
      <c r="AB27" s="76"/>
      <c r="AC27" s="76"/>
      <c r="AD27" s="79">
        <v>1</v>
      </c>
      <c r="AE27" s="76"/>
      <c r="AF27" s="76"/>
      <c r="AG27" s="76"/>
      <c r="AH27" s="76"/>
      <c r="AI27" s="76"/>
      <c r="AJ27" s="79">
        <v>1</v>
      </c>
      <c r="AK27" s="86" t="s">
        <v>899</v>
      </c>
      <c r="AL27" s="76" t="s">
        <v>994</v>
      </c>
      <c r="AM27" s="76" t="s">
        <v>979</v>
      </c>
      <c r="AN27" s="96">
        <v>177168426</v>
      </c>
      <c r="AO27" s="76" t="s">
        <v>199</v>
      </c>
      <c r="AP27" s="82" t="s">
        <v>598</v>
      </c>
      <c r="AQ27" s="370">
        <f>+VLOOKUP(AP27,SharePoint!$BA$3:$BY$140,2,FALSE)</f>
        <v>0</v>
      </c>
      <c r="AR27" s="370">
        <f>+VLOOKUP(AP27,SharePoint!$BA$3:$BY$140,3,FALSE)</f>
        <v>0</v>
      </c>
      <c r="AS27" s="370">
        <f>+VLOOKUP(AP27,SharePoint!$BA$3:$BY$140,4,FALSE)</f>
        <v>0</v>
      </c>
      <c r="AT27" s="370">
        <f>+VLOOKUP(AP27,SharePoint!$BA$3:$BY$140,5,FALSE)</f>
        <v>0</v>
      </c>
      <c r="AU27" s="370">
        <f>+VLOOKUP(AP27,SharePoint!$BA$3:$BY$140,6,FALSE)</f>
        <v>0</v>
      </c>
      <c r="AV27" s="370">
        <f>+VLOOKUP(AP27,SharePoint!$BA$3:$BY$140,7,FALSE)</f>
        <v>30</v>
      </c>
      <c r="AW27" s="370">
        <f>+VLOOKUP(AP27,SharePoint!$BA$3:$BY$140,8,FALSE)</f>
        <v>0</v>
      </c>
      <c r="AX27" s="370">
        <f>+VLOOKUP(AP27,SharePoint!$BA$3:$BY$140,9,FALSE)</f>
        <v>0</v>
      </c>
      <c r="AY27" s="370">
        <f>+VLOOKUP(AP27,SharePoint!$BA$3:$BY$140,10,FALSE)</f>
        <v>0</v>
      </c>
      <c r="AZ27" s="370">
        <f>+VLOOKUP(AP27,SharePoint!$BA$3:$BY$140,11,FALSE)</f>
        <v>0</v>
      </c>
      <c r="BA27" s="370">
        <f>+VLOOKUP(AP27,SharePoint!$BA$3:$BY$140,12,FALSE)</f>
        <v>0</v>
      </c>
      <c r="BB27" s="370">
        <f>+VLOOKUP(AP27,SharePoint!$BA$3:$BY$140,13,FALSE)</f>
        <v>1</v>
      </c>
      <c r="BC27" s="226">
        <f>+VLOOKUP(AP27,SharePoint!$BA$3:$BY$140,14,FALSE)</f>
        <v>0</v>
      </c>
      <c r="BD27" s="226">
        <f>+VLOOKUP(AP27,SharePoint!$BA$3:$BY$140,15,FALSE)</f>
        <v>0</v>
      </c>
      <c r="BE27" s="226">
        <f>+VLOOKUP(AP27,SharePoint!$BA$3:$BY$140,16,FALSE)</f>
        <v>0</v>
      </c>
      <c r="BF27" s="226">
        <f>+VLOOKUP(AP27,SharePoint!$BA$3:$BY$140,17,FALSE)</f>
        <v>0</v>
      </c>
      <c r="BG27" s="226">
        <f>+VLOOKUP(AP27,SharePoint!$BA$3:$BY$140,18,FALSE)</f>
        <v>0</v>
      </c>
      <c r="BH27" s="226">
        <f>+VLOOKUP(AP27,SharePoint!$BA$3:$BY$140,19,FALSE)</f>
        <v>30</v>
      </c>
      <c r="BI27" s="226">
        <f>+VLOOKUP(AP27,SharePoint!$BA$3:$BY$140,20,FALSE)</f>
        <v>0</v>
      </c>
      <c r="BJ27" s="226">
        <f>+VLOOKUP(AP27,SharePoint!$BA$3:$BY$140,21,FALSE)</f>
        <v>0</v>
      </c>
      <c r="BK27" s="226">
        <f>+VLOOKUP(AP27,SharePoint!$BA$3:$BY$140,22,FALSE)</f>
        <v>0</v>
      </c>
      <c r="BL27" s="226">
        <f>+VLOOKUP(AP27,SharePoint!$BA$3:$BY$140,23,FALSE)</f>
        <v>0</v>
      </c>
      <c r="BM27" s="226">
        <f>+VLOOKUP(AP27,SharePoint!$BA$3:$BY$140,24,FALSE)</f>
        <v>0</v>
      </c>
      <c r="BN27" s="226">
        <f>+VLOOKUP(AP27,SharePoint!$BA$3:$BY$140,25,FALSE)</f>
        <v>1</v>
      </c>
      <c r="BO27" s="214" t="s">
        <v>873</v>
      </c>
      <c r="BP27" s="214" t="s">
        <v>873</v>
      </c>
      <c r="BQ27" s="214" t="s">
        <v>873</v>
      </c>
      <c r="BR27" s="214" t="s">
        <v>873</v>
      </c>
      <c r="BS27" s="214" t="s">
        <v>873</v>
      </c>
      <c r="BT27" s="215" t="s">
        <v>3044</v>
      </c>
      <c r="BU27" s="214" t="s">
        <v>873</v>
      </c>
      <c r="BV27" s="214" t="s">
        <v>873</v>
      </c>
      <c r="BW27" s="214" t="s">
        <v>873</v>
      </c>
      <c r="BX27" s="214" t="s">
        <v>875</v>
      </c>
      <c r="BY27" s="214" t="s">
        <v>875</v>
      </c>
      <c r="BZ27" s="214" t="s">
        <v>3379</v>
      </c>
      <c r="CA27" s="449">
        <v>3</v>
      </c>
      <c r="CB27" s="373" t="s">
        <v>3450</v>
      </c>
      <c r="CC27" s="359">
        <f t="shared" si="0"/>
        <v>31</v>
      </c>
      <c r="CD27" s="359">
        <f t="shared" si="1"/>
        <v>31</v>
      </c>
      <c r="CE27" s="382">
        <f t="shared" si="2"/>
        <v>1</v>
      </c>
      <c r="CF27" s="382">
        <f t="shared" si="3"/>
        <v>1</v>
      </c>
      <c r="CG27" s="327" t="s">
        <v>3509</v>
      </c>
      <c r="CH27" s="327" t="str">
        <f t="shared" si="4"/>
        <v>Porcentual</v>
      </c>
      <c r="CI27" s="327"/>
      <c r="CJ27" s="381">
        <v>4</v>
      </c>
      <c r="CK27" s="376" t="str">
        <f t="shared" si="6"/>
        <v>Delegatura Prestadores de Servicios en Salud</v>
      </c>
      <c r="CL27" s="376" t="str">
        <f t="shared" si="7"/>
        <v>Porcentaje de seguimiento a la ejecución del Programa de Mejoramiento Institucional</v>
      </c>
      <c r="CM27" s="376" t="str">
        <f t="shared" si="8"/>
        <v>(La formula del indicador quedaría de la siguiente manera: Número de seguimientos adelantados a los PMI / Numero de PMI reportados a la Dirección IV para PSS)*100</v>
      </c>
      <c r="CN27" s="389">
        <f t="shared" si="9"/>
        <v>31</v>
      </c>
      <c r="CO27" s="389">
        <f t="shared" si="10"/>
        <v>31</v>
      </c>
      <c r="CP27" s="388">
        <f t="shared" si="13"/>
        <v>1</v>
      </c>
      <c r="CQ27" s="377">
        <f t="shared" si="11"/>
        <v>1</v>
      </c>
      <c r="CR27" s="377" t="str">
        <f t="shared" si="12"/>
        <v>CUMPLIO</v>
      </c>
      <c r="DB27" s="272"/>
      <c r="DC27" s="381"/>
      <c r="DD27" s="381"/>
      <c r="DE27" s="381"/>
      <c r="DF27" s="381"/>
      <c r="DG27" s="381"/>
    </row>
    <row r="28" spans="1:111" s="83" customFormat="1" ht="127.5" customHeight="1" thickTop="1" thickBot="1">
      <c r="A28" s="83" t="s">
        <v>651</v>
      </c>
      <c r="B28" s="75" t="s">
        <v>198</v>
      </c>
      <c r="C28" s="75" t="s">
        <v>856</v>
      </c>
      <c r="D28" s="75" t="s">
        <v>903</v>
      </c>
      <c r="E28" s="76" t="s">
        <v>858</v>
      </c>
      <c r="F28" s="76" t="s">
        <v>859</v>
      </c>
      <c r="G28" s="76" t="s">
        <v>189</v>
      </c>
      <c r="H28" s="76" t="s">
        <v>886</v>
      </c>
      <c r="I28" s="76" t="s">
        <v>952</v>
      </c>
      <c r="J28" s="76" t="s">
        <v>953</v>
      </c>
      <c r="K28" s="76" t="s">
        <v>995</v>
      </c>
      <c r="L28" s="76" t="s">
        <v>875</v>
      </c>
      <c r="M28" s="76" t="s">
        <v>755</v>
      </c>
      <c r="N28" s="76" t="s">
        <v>651</v>
      </c>
      <c r="O28" s="76" t="s">
        <v>756</v>
      </c>
      <c r="P28" s="76" t="s">
        <v>757</v>
      </c>
      <c r="Q28" s="76" t="s">
        <v>996</v>
      </c>
      <c r="R28" s="76" t="s">
        <v>997</v>
      </c>
      <c r="S28" s="76" t="s">
        <v>998</v>
      </c>
      <c r="T28" s="76" t="s">
        <v>892</v>
      </c>
      <c r="U28" s="76" t="s">
        <v>871</v>
      </c>
      <c r="V28" s="76" t="s">
        <v>988</v>
      </c>
      <c r="W28" s="81">
        <v>0</v>
      </c>
      <c r="X28" s="302">
        <v>1</v>
      </c>
      <c r="Y28" s="76"/>
      <c r="Z28" s="76"/>
      <c r="AA28" s="79"/>
      <c r="AB28" s="76"/>
      <c r="AC28" s="76"/>
      <c r="AD28" s="79">
        <v>1</v>
      </c>
      <c r="AE28" s="76"/>
      <c r="AF28" s="76"/>
      <c r="AG28" s="79"/>
      <c r="AH28" s="76"/>
      <c r="AI28" s="76"/>
      <c r="AJ28" s="79">
        <v>1</v>
      </c>
      <c r="AK28" s="76" t="s">
        <v>873</v>
      </c>
      <c r="AL28" s="76" t="s">
        <v>873</v>
      </c>
      <c r="AM28" s="76" t="s">
        <v>873</v>
      </c>
      <c r="AN28" s="76" t="s">
        <v>873</v>
      </c>
      <c r="AO28" s="76" t="s">
        <v>199</v>
      </c>
      <c r="AP28" s="82" t="s">
        <v>651</v>
      </c>
      <c r="AQ28" s="370">
        <f>+VLOOKUP(AP28,SharePoint!$BA$3:$BY$140,2,FALSE)</f>
        <v>0</v>
      </c>
      <c r="AR28" s="370">
        <f>+VLOOKUP(AP28,SharePoint!$BA$3:$BY$140,3,FALSE)</f>
        <v>0</v>
      </c>
      <c r="AS28" s="370">
        <f>+VLOOKUP(AP28,SharePoint!$BA$3:$BY$140,4,FALSE)</f>
        <v>0</v>
      </c>
      <c r="AT28" s="370">
        <f>+VLOOKUP(AP28,SharePoint!$BA$3:$BY$140,5,FALSE)</f>
        <v>0</v>
      </c>
      <c r="AU28" s="370">
        <f>+VLOOKUP(AP28,SharePoint!$BA$3:$BY$140,6,FALSE)</f>
        <v>0</v>
      </c>
      <c r="AV28" s="370">
        <f>+VLOOKUP(AP28,SharePoint!$BA$3:$BY$140,7,FALSE)</f>
        <v>10</v>
      </c>
      <c r="AW28" s="370">
        <f>+VLOOKUP(AP28,SharePoint!$BA$3:$BY$140,8,FALSE)</f>
        <v>0</v>
      </c>
      <c r="AX28" s="370">
        <f>+VLOOKUP(AP28,SharePoint!$BA$3:$BY$140,9,FALSE)</f>
        <v>0</v>
      </c>
      <c r="AY28" s="370">
        <f>+VLOOKUP(AP28,SharePoint!$BA$3:$BY$140,10,FALSE)</f>
        <v>0</v>
      </c>
      <c r="AZ28" s="370">
        <f>+VLOOKUP(AP28,SharePoint!$BA$3:$BY$140,11,FALSE)</f>
        <v>0</v>
      </c>
      <c r="BA28" s="370">
        <f>+VLOOKUP(AP28,SharePoint!$BA$3:$BY$140,12,FALSE)</f>
        <v>0</v>
      </c>
      <c r="BB28" s="370">
        <f>+VLOOKUP(AP28,SharePoint!$BA$3:$BY$140,13,FALSE)</f>
        <v>7</v>
      </c>
      <c r="BC28" s="226">
        <f>+VLOOKUP(AP28,SharePoint!$BA$3:$BY$140,14,FALSE)</f>
        <v>0</v>
      </c>
      <c r="BD28" s="226">
        <f>+VLOOKUP(AP28,SharePoint!$BA$3:$BY$140,15,FALSE)</f>
        <v>0</v>
      </c>
      <c r="BE28" s="226">
        <f>+VLOOKUP(AP28,SharePoint!$BA$3:$BY$140,16,FALSE)</f>
        <v>0</v>
      </c>
      <c r="BF28" s="226">
        <f>+VLOOKUP(AP28,SharePoint!$BA$3:$BY$140,17,FALSE)</f>
        <v>0</v>
      </c>
      <c r="BG28" s="226">
        <f>+VLOOKUP(AP28,SharePoint!$BA$3:$BY$140,18,FALSE)</f>
        <v>0</v>
      </c>
      <c r="BH28" s="226">
        <f>+VLOOKUP(AP28,SharePoint!$BA$3:$BY$140,19,FALSE)</f>
        <v>10</v>
      </c>
      <c r="BI28" s="226">
        <f>+VLOOKUP(AP28,SharePoint!$BA$3:$BY$140,20,FALSE)</f>
        <v>0</v>
      </c>
      <c r="BJ28" s="226">
        <f>+VLOOKUP(AP28,SharePoint!$BA$3:$BY$140,21,FALSE)</f>
        <v>0</v>
      </c>
      <c r="BK28" s="226">
        <f>+VLOOKUP(AP28,SharePoint!$BA$3:$BY$140,22,FALSE)</f>
        <v>0</v>
      </c>
      <c r="BL28" s="226">
        <f>+VLOOKUP(AP28,SharePoint!$BA$3:$BY$140,23,FALSE)</f>
        <v>0</v>
      </c>
      <c r="BM28" s="226">
        <f>+VLOOKUP(AP28,SharePoint!$BA$3:$BY$140,24,FALSE)</f>
        <v>0</v>
      </c>
      <c r="BN28" s="226">
        <f>+VLOOKUP(AP28,SharePoint!$BA$3:$BY$140,25,FALSE)</f>
        <v>7</v>
      </c>
      <c r="BO28" s="214" t="s">
        <v>873</v>
      </c>
      <c r="BP28" s="214" t="s">
        <v>873</v>
      </c>
      <c r="BQ28" s="214" t="s">
        <v>873</v>
      </c>
      <c r="BR28" s="214" t="s">
        <v>873</v>
      </c>
      <c r="BS28" s="214" t="s">
        <v>873</v>
      </c>
      <c r="BT28" s="215" t="s">
        <v>3045</v>
      </c>
      <c r="BU28" s="214" t="s">
        <v>873</v>
      </c>
      <c r="BV28" s="214" t="s">
        <v>873</v>
      </c>
      <c r="BW28" s="214" t="s">
        <v>873</v>
      </c>
      <c r="BX28" s="214" t="s">
        <v>875</v>
      </c>
      <c r="BY28" s="214" t="s">
        <v>875</v>
      </c>
      <c r="BZ28" s="214" t="s">
        <v>3394</v>
      </c>
      <c r="CA28" s="449">
        <v>2</v>
      </c>
      <c r="CB28" s="373" t="s">
        <v>3421</v>
      </c>
      <c r="CC28" s="359">
        <f t="shared" si="0"/>
        <v>17</v>
      </c>
      <c r="CD28" s="359">
        <f t="shared" si="1"/>
        <v>17</v>
      </c>
      <c r="CE28" s="382">
        <f t="shared" si="2"/>
        <v>1</v>
      </c>
      <c r="CF28" s="382">
        <f t="shared" si="3"/>
        <v>1</v>
      </c>
      <c r="CG28" s="327" t="s">
        <v>3509</v>
      </c>
      <c r="CH28" s="327" t="str">
        <f t="shared" si="4"/>
        <v xml:space="preserve">Porcentual </v>
      </c>
      <c r="CI28" s="327"/>
      <c r="CJ28" s="381">
        <v>5</v>
      </c>
      <c r="CK28" s="378" t="str">
        <f t="shared" si="6"/>
        <v>Delegatura Prestadores de Servicios en Salud</v>
      </c>
      <c r="CL28" s="378" t="str">
        <f t="shared" si="7"/>
        <v>Porcentaje de solicitudes gestionadas de los vigilados relacionados con reformas estatutarias</v>
      </c>
      <c r="CM28" s="378" t="str">
        <f t="shared" si="8"/>
        <v>Número de solicitudes de reformas estatutarias gestionadas/Número de solicitudes de reformas estatutarias recibidas para trámite en la vigencia.</v>
      </c>
      <c r="CN28" s="390">
        <f t="shared" si="9"/>
        <v>17</v>
      </c>
      <c r="CO28" s="390">
        <f t="shared" si="10"/>
        <v>17</v>
      </c>
      <c r="CP28" s="387">
        <f t="shared" si="13"/>
        <v>1</v>
      </c>
      <c r="CQ28" s="379">
        <f t="shared" si="11"/>
        <v>1</v>
      </c>
      <c r="CR28" s="379" t="str">
        <f t="shared" si="12"/>
        <v>CUMPLIO</v>
      </c>
      <c r="DB28" s="272"/>
      <c r="DC28" s="381"/>
      <c r="DD28" s="381"/>
      <c r="DE28" s="381"/>
      <c r="DF28" s="381"/>
      <c r="DG28" s="381"/>
    </row>
    <row r="29" spans="1:111" s="83" customFormat="1" ht="127.5" customHeight="1" thickTop="1" thickBot="1">
      <c r="A29" s="83" t="s">
        <v>658</v>
      </c>
      <c r="B29" s="75" t="s">
        <v>198</v>
      </c>
      <c r="C29" s="75" t="s">
        <v>856</v>
      </c>
      <c r="D29" s="75" t="s">
        <v>903</v>
      </c>
      <c r="E29" s="76" t="s">
        <v>858</v>
      </c>
      <c r="F29" s="76" t="s">
        <v>859</v>
      </c>
      <c r="G29" s="76" t="s">
        <v>189</v>
      </c>
      <c r="H29" s="76" t="s">
        <v>904</v>
      </c>
      <c r="I29" s="76" t="s">
        <v>952</v>
      </c>
      <c r="J29" s="76" t="s">
        <v>953</v>
      </c>
      <c r="K29" s="76" t="s">
        <v>984</v>
      </c>
      <c r="L29" s="76" t="s">
        <v>875</v>
      </c>
      <c r="M29" s="76" t="s">
        <v>761</v>
      </c>
      <c r="N29" s="88" t="s">
        <v>658</v>
      </c>
      <c r="O29" s="76" t="s">
        <v>762</v>
      </c>
      <c r="P29" s="76" t="s">
        <v>763</v>
      </c>
      <c r="Q29" s="76" t="s">
        <v>999</v>
      </c>
      <c r="R29" s="76" t="s">
        <v>1000</v>
      </c>
      <c r="S29" s="76" t="s">
        <v>1001</v>
      </c>
      <c r="T29" s="76" t="s">
        <v>892</v>
      </c>
      <c r="U29" s="76" t="s">
        <v>871</v>
      </c>
      <c r="V29" s="76" t="s">
        <v>988</v>
      </c>
      <c r="W29" s="81">
        <v>0</v>
      </c>
      <c r="X29" s="302">
        <v>1</v>
      </c>
      <c r="Y29" s="76"/>
      <c r="Z29" s="76"/>
      <c r="AA29" s="76"/>
      <c r="AB29" s="76"/>
      <c r="AC29" s="76"/>
      <c r="AD29" s="79">
        <v>1</v>
      </c>
      <c r="AE29" s="76"/>
      <c r="AF29" s="76"/>
      <c r="AG29" s="76"/>
      <c r="AH29" s="76"/>
      <c r="AI29" s="76"/>
      <c r="AJ29" s="80">
        <v>1</v>
      </c>
      <c r="AK29" s="76" t="s">
        <v>873</v>
      </c>
      <c r="AL29" s="76" t="s">
        <v>873</v>
      </c>
      <c r="AM29" s="76" t="s">
        <v>873</v>
      </c>
      <c r="AN29" s="76" t="s">
        <v>873</v>
      </c>
      <c r="AO29" s="76" t="s">
        <v>199</v>
      </c>
      <c r="AP29" s="82" t="s">
        <v>658</v>
      </c>
      <c r="AQ29" s="370">
        <f>+VLOOKUP(AP29,SharePoint!$BA$3:$BY$140,2,FALSE)</f>
        <v>0</v>
      </c>
      <c r="AR29" s="370">
        <f>+VLOOKUP(AP29,SharePoint!$BA$3:$BY$140,3,FALSE)</f>
        <v>0</v>
      </c>
      <c r="AS29" s="370">
        <f>+VLOOKUP(AP29,SharePoint!$BA$3:$BY$140,4,FALSE)</f>
        <v>0</v>
      </c>
      <c r="AT29" s="370">
        <f>+VLOOKUP(AP29,SharePoint!$BA$3:$BY$140,5,FALSE)</f>
        <v>0</v>
      </c>
      <c r="AU29" s="370">
        <f>+VLOOKUP(AP29,SharePoint!$BA$3:$BY$140,6,FALSE)</f>
        <v>0</v>
      </c>
      <c r="AV29" s="370">
        <f>+VLOOKUP(AP29,SharePoint!$BA$3:$BY$140,7,FALSE)</f>
        <v>1</v>
      </c>
      <c r="AW29" s="370">
        <f>+VLOOKUP(AP29,SharePoint!$BA$3:$BY$140,8,FALSE)</f>
        <v>0</v>
      </c>
      <c r="AX29" s="370">
        <f>+VLOOKUP(AP29,SharePoint!$BA$3:$BY$140,9,FALSE)</f>
        <v>0</v>
      </c>
      <c r="AY29" s="370">
        <f>+VLOOKUP(AP29,SharePoint!$BA$3:$BY$140,10,FALSE)</f>
        <v>0</v>
      </c>
      <c r="AZ29" s="370">
        <f>+VLOOKUP(AP29,SharePoint!$BA$3:$BY$140,11,FALSE)</f>
        <v>0</v>
      </c>
      <c r="BA29" s="370">
        <f>+VLOOKUP(AP29,SharePoint!$BA$3:$BY$140,12,FALSE)</f>
        <v>0</v>
      </c>
      <c r="BB29" s="370">
        <f>+VLOOKUP(AP29,SharePoint!$BA$3:$BY$140,13,FALSE)</f>
        <v>1</v>
      </c>
      <c r="BC29" s="226">
        <f>+VLOOKUP(AP29,SharePoint!$BA$3:$BY$140,14,FALSE)</f>
        <v>0</v>
      </c>
      <c r="BD29" s="226">
        <f>+VLOOKUP(AP29,SharePoint!$BA$3:$BY$140,15,FALSE)</f>
        <v>0</v>
      </c>
      <c r="BE29" s="226">
        <f>+VLOOKUP(AP29,SharePoint!$BA$3:$BY$140,16,FALSE)</f>
        <v>0</v>
      </c>
      <c r="BF29" s="226">
        <f>+VLOOKUP(AP29,SharePoint!$BA$3:$BY$140,17,FALSE)</f>
        <v>0</v>
      </c>
      <c r="BG29" s="226">
        <f>+VLOOKUP(AP29,SharePoint!$BA$3:$BY$140,18,FALSE)</f>
        <v>0</v>
      </c>
      <c r="BH29" s="226">
        <f>+VLOOKUP(AP29,SharePoint!$BA$3:$BY$140,19,FALSE)</f>
        <v>1</v>
      </c>
      <c r="BI29" s="226">
        <f>+VLOOKUP(AP29,SharePoint!$BA$3:$BY$140,20,FALSE)</f>
        <v>0</v>
      </c>
      <c r="BJ29" s="226">
        <f>+VLOOKUP(AP29,SharePoint!$BA$3:$BY$140,21,FALSE)</f>
        <v>0</v>
      </c>
      <c r="BK29" s="226">
        <f>+VLOOKUP(AP29,SharePoint!$BA$3:$BY$140,22,FALSE)</f>
        <v>0</v>
      </c>
      <c r="BL29" s="226">
        <f>+VLOOKUP(AP29,SharePoint!$BA$3:$BY$140,23,FALSE)</f>
        <v>0</v>
      </c>
      <c r="BM29" s="226">
        <f>+VLOOKUP(AP29,SharePoint!$BA$3:$BY$140,24,FALSE)</f>
        <v>0</v>
      </c>
      <c r="BN29" s="226">
        <f>+VLOOKUP(AP29,SharePoint!$BA$3:$BY$140,25,FALSE)</f>
        <v>1</v>
      </c>
      <c r="BO29" s="214" t="s">
        <v>873</v>
      </c>
      <c r="BP29" s="214" t="s">
        <v>873</v>
      </c>
      <c r="BQ29" s="214" t="s">
        <v>873</v>
      </c>
      <c r="BR29" s="214" t="s">
        <v>873</v>
      </c>
      <c r="BS29" s="214" t="s">
        <v>873</v>
      </c>
      <c r="BT29" s="215" t="s">
        <v>764</v>
      </c>
      <c r="BU29" s="214" t="s">
        <v>873</v>
      </c>
      <c r="BV29" s="214" t="s">
        <v>873</v>
      </c>
      <c r="BW29" s="214" t="s">
        <v>873</v>
      </c>
      <c r="BX29" s="214" t="s">
        <v>875</v>
      </c>
      <c r="BY29" s="214" t="s">
        <v>875</v>
      </c>
      <c r="BZ29" s="214" t="s">
        <v>3396</v>
      </c>
      <c r="CA29" s="449">
        <v>2</v>
      </c>
      <c r="CB29" s="374" t="s">
        <v>3481</v>
      </c>
      <c r="CC29" s="359">
        <v>1</v>
      </c>
      <c r="CD29" s="359">
        <v>1</v>
      </c>
      <c r="CE29" s="382">
        <f t="shared" si="2"/>
        <v>1</v>
      </c>
      <c r="CF29" s="382">
        <f t="shared" si="3"/>
        <v>1</v>
      </c>
      <c r="CG29" s="327" t="s">
        <v>3509</v>
      </c>
      <c r="CH29" s="327" t="str">
        <f t="shared" si="4"/>
        <v xml:space="preserve">Porcentual </v>
      </c>
      <c r="CI29" s="327"/>
      <c r="CJ29" s="381">
        <v>1</v>
      </c>
      <c r="CK29" s="376" t="str">
        <f t="shared" si="6"/>
        <v>Delegatura Prestadores de Servicios en Salud</v>
      </c>
      <c r="CL29" s="376" t="str">
        <f t="shared" si="7"/>
        <v>Porcentaje de recursos de apelación por evaluación de gerentes y evaluación no satisfactoria por no presentación del plan de gestión.</v>
      </c>
      <c r="CM29" s="376" t="str">
        <f t="shared" si="8"/>
        <v>Número de recursos de apelación por evaluación de gerentes y evaluación no satisfactoria por no presentación del plan de gestión, gestionadas en los tiempos establecidos/ Número de recursos de apelación por evaluación de gerentes y evaluación no satisfactoria por no presentación del plan de gestión recibidas.</v>
      </c>
      <c r="CN29" s="389">
        <f t="shared" si="9"/>
        <v>1</v>
      </c>
      <c r="CO29" s="389">
        <f t="shared" si="10"/>
        <v>1</v>
      </c>
      <c r="CP29" s="388">
        <f t="shared" si="13"/>
        <v>1</v>
      </c>
      <c r="CQ29" s="377">
        <f t="shared" si="11"/>
        <v>1</v>
      </c>
      <c r="CR29" s="377" t="str">
        <f t="shared" si="12"/>
        <v>CUMPLIO</v>
      </c>
      <c r="DB29" s="272"/>
      <c r="DC29" s="381"/>
      <c r="DD29" s="381"/>
      <c r="DE29" s="381"/>
      <c r="DF29" s="381"/>
      <c r="DG29" s="381"/>
    </row>
    <row r="30" spans="1:111" s="83" customFormat="1" ht="127.5" customHeight="1" thickTop="1" thickBot="1">
      <c r="A30" s="83" t="s">
        <v>630</v>
      </c>
      <c r="B30" s="75" t="s">
        <v>198</v>
      </c>
      <c r="C30" s="75" t="s">
        <v>856</v>
      </c>
      <c r="D30" s="75" t="s">
        <v>903</v>
      </c>
      <c r="E30" s="76" t="s">
        <v>858</v>
      </c>
      <c r="F30" s="76" t="s">
        <v>859</v>
      </c>
      <c r="G30" s="76" t="s">
        <v>197</v>
      </c>
      <c r="H30" s="76" t="s">
        <v>904</v>
      </c>
      <c r="I30" s="76" t="s">
        <v>861</v>
      </c>
      <c r="J30" s="76" t="s">
        <v>862</v>
      </c>
      <c r="K30" s="76" t="s">
        <v>984</v>
      </c>
      <c r="L30" s="76" t="s">
        <v>875</v>
      </c>
      <c r="M30" s="76" t="s">
        <v>1002</v>
      </c>
      <c r="N30" s="76" t="s">
        <v>630</v>
      </c>
      <c r="O30" s="76" t="s">
        <v>706</v>
      </c>
      <c r="P30" s="76" t="s">
        <v>1003</v>
      </c>
      <c r="Q30" s="76" t="s">
        <v>1003</v>
      </c>
      <c r="R30" s="77" t="s">
        <v>876</v>
      </c>
      <c r="S30" s="76" t="s">
        <v>1004</v>
      </c>
      <c r="T30" s="76" t="s">
        <v>870</v>
      </c>
      <c r="U30" s="76" t="s">
        <v>157</v>
      </c>
      <c r="V30" s="76" t="s">
        <v>988</v>
      </c>
      <c r="W30" s="81">
        <v>0</v>
      </c>
      <c r="X30" s="299">
        <v>100</v>
      </c>
      <c r="Y30" s="76"/>
      <c r="Z30" s="76"/>
      <c r="AA30" s="76"/>
      <c r="AB30" s="76"/>
      <c r="AC30" s="76"/>
      <c r="AD30" s="76">
        <v>40</v>
      </c>
      <c r="AE30" s="76"/>
      <c r="AF30" s="76"/>
      <c r="AG30" s="79"/>
      <c r="AH30" s="76"/>
      <c r="AI30" s="76"/>
      <c r="AJ30" s="76">
        <v>60</v>
      </c>
      <c r="AK30" s="76" t="s">
        <v>873</v>
      </c>
      <c r="AL30" s="76" t="s">
        <v>873</v>
      </c>
      <c r="AM30" s="76" t="s">
        <v>873</v>
      </c>
      <c r="AN30" s="76" t="s">
        <v>873</v>
      </c>
      <c r="AO30" s="76" t="s">
        <v>199</v>
      </c>
      <c r="AP30" s="82" t="s">
        <v>630</v>
      </c>
      <c r="AQ30" s="370">
        <f>+VLOOKUP(AP30,SharePoint!$BA$3:$BY$140,2,FALSE)</f>
        <v>0</v>
      </c>
      <c r="AR30" s="370">
        <f>+VLOOKUP(AP30,SharePoint!$BA$3:$BY$140,3,FALSE)</f>
        <v>0</v>
      </c>
      <c r="AS30" s="370">
        <f>+VLOOKUP(AP30,SharePoint!$BA$3:$BY$140,4,FALSE)</f>
        <v>0</v>
      </c>
      <c r="AT30" s="370">
        <f>+VLOOKUP(AP30,SharePoint!$BA$3:$BY$140,5,FALSE)</f>
        <v>0</v>
      </c>
      <c r="AU30" s="370">
        <f>+VLOOKUP(AP30,SharePoint!$BA$3:$BY$140,6,FALSE)</f>
        <v>0</v>
      </c>
      <c r="AV30" s="370">
        <f>+VLOOKUP(AP30,SharePoint!$BA$3:$BY$140,7,FALSE)</f>
        <v>40</v>
      </c>
      <c r="AW30" s="370">
        <f>+VLOOKUP(AP30,SharePoint!$BA$3:$BY$140,8,FALSE)</f>
        <v>0</v>
      </c>
      <c r="AX30" s="370">
        <f>+VLOOKUP(AP30,SharePoint!$BA$3:$BY$140,9,FALSE)</f>
        <v>0</v>
      </c>
      <c r="AY30" s="370">
        <f>+VLOOKUP(AP30,SharePoint!$BA$3:$BY$140,10,FALSE)</f>
        <v>0</v>
      </c>
      <c r="AZ30" s="370">
        <f>+VLOOKUP(AP30,SharePoint!$BA$3:$BY$140,11,FALSE)</f>
        <v>0</v>
      </c>
      <c r="BA30" s="370">
        <f>+VLOOKUP(AP30,SharePoint!$BA$3:$BY$140,12,FALSE)</f>
        <v>0</v>
      </c>
      <c r="BB30" s="370">
        <f>+VLOOKUP(AP30,SharePoint!$BA$3:$BY$140,13,FALSE)</f>
        <v>72</v>
      </c>
      <c r="BC30" s="226">
        <f>+VLOOKUP(AP30,SharePoint!$BA$3:$BY$140,14,FALSE)</f>
        <v>0</v>
      </c>
      <c r="BD30" s="226">
        <f>+VLOOKUP(AP30,SharePoint!$BA$3:$BY$140,15,FALSE)</f>
        <v>0</v>
      </c>
      <c r="BE30" s="226">
        <f>+VLOOKUP(AP30,SharePoint!$BA$3:$BY$140,16,FALSE)</f>
        <v>0</v>
      </c>
      <c r="BF30" s="226">
        <f>+VLOOKUP(AP30,SharePoint!$BA$3:$BY$140,17,FALSE)</f>
        <v>0</v>
      </c>
      <c r="BG30" s="226">
        <f>+VLOOKUP(AP30,SharePoint!$BA$3:$BY$140,18,FALSE)</f>
        <v>0</v>
      </c>
      <c r="BH30" s="226">
        <f>+VLOOKUP(AP30,SharePoint!$BA$3:$BY$140,19,FALSE)</f>
        <v>40</v>
      </c>
      <c r="BI30" s="226">
        <f>+VLOOKUP(AP30,SharePoint!$BA$3:$BY$140,20,FALSE)</f>
        <v>0</v>
      </c>
      <c r="BJ30" s="226">
        <f>+VLOOKUP(AP30,SharePoint!$BA$3:$BY$140,21,FALSE)</f>
        <v>0</v>
      </c>
      <c r="BK30" s="226">
        <f>+VLOOKUP(AP30,SharePoint!$BA$3:$BY$140,22,FALSE)</f>
        <v>0</v>
      </c>
      <c r="BL30" s="226">
        <f>+VLOOKUP(AP30,SharePoint!$BA$3:$BY$140,23,FALSE)</f>
        <v>0</v>
      </c>
      <c r="BM30" s="226">
        <f>+VLOOKUP(AP30,SharePoint!$BA$3:$BY$140,24,FALSE)</f>
        <v>0</v>
      </c>
      <c r="BN30" s="226">
        <f>+VLOOKUP(AP30,SharePoint!$BA$3:$BY$140,25,FALSE)</f>
        <v>60</v>
      </c>
      <c r="BO30" s="214" t="s">
        <v>873</v>
      </c>
      <c r="BP30" s="214" t="s">
        <v>873</v>
      </c>
      <c r="BQ30" s="214" t="s">
        <v>873</v>
      </c>
      <c r="BR30" s="214" t="s">
        <v>873</v>
      </c>
      <c r="BS30" s="214" t="s">
        <v>873</v>
      </c>
      <c r="BT30" s="215" t="s">
        <v>3046</v>
      </c>
      <c r="BU30" s="214" t="s">
        <v>873</v>
      </c>
      <c r="BV30" s="214" t="s">
        <v>873</v>
      </c>
      <c r="BW30" s="214" t="s">
        <v>873</v>
      </c>
      <c r="BX30" s="214" t="s">
        <v>875</v>
      </c>
      <c r="BY30" s="214" t="s">
        <v>875</v>
      </c>
      <c r="BZ30" s="214" t="s">
        <v>3388</v>
      </c>
      <c r="CA30" s="449">
        <v>1</v>
      </c>
      <c r="CB30" s="420" t="s">
        <v>3422</v>
      </c>
      <c r="CC30" s="359">
        <f t="shared" si="0"/>
        <v>112</v>
      </c>
      <c r="CD30" s="359">
        <f t="shared" si="1"/>
        <v>100</v>
      </c>
      <c r="CE30" s="343">
        <f t="shared" si="2"/>
        <v>1.1200000000000001</v>
      </c>
      <c r="CF30" s="381">
        <f t="shared" si="3"/>
        <v>100</v>
      </c>
      <c r="CG30" s="327" t="s">
        <v>3510</v>
      </c>
      <c r="CH30" s="327" t="str">
        <f t="shared" si="4"/>
        <v>Numérica</v>
      </c>
      <c r="CI30" s="327"/>
      <c r="CJ30" s="381">
        <v>2</v>
      </c>
      <c r="CK30" s="378" t="str">
        <f t="shared" si="6"/>
        <v>Delegatura Prestadores de Servicios en Salud</v>
      </c>
      <c r="CL30" s="378" t="str">
        <f t="shared" si="7"/>
        <v>Alertas identificadas y gestionadas en el monitoreo y vigilancia de los recursos financieros a 25 ESE durante la vigencia 2025, respecto de 4 indicadores financieros.</v>
      </c>
      <c r="CM30" s="378" t="str">
        <f t="shared" si="8"/>
        <v xml:space="preserve">Número alertas gestionadas en las ESE </v>
      </c>
      <c r="CN30" s="390">
        <f t="shared" si="9"/>
        <v>112</v>
      </c>
      <c r="CO30" s="390">
        <f t="shared" si="10"/>
        <v>100</v>
      </c>
      <c r="CP30" s="387">
        <f t="shared" si="13"/>
        <v>1.1200000000000001</v>
      </c>
      <c r="CQ30" s="378">
        <f t="shared" si="11"/>
        <v>100</v>
      </c>
      <c r="CR30" s="379" t="str">
        <f t="shared" si="12"/>
        <v>SOBRECUMPLIO</v>
      </c>
      <c r="DB30" s="272"/>
      <c r="DC30" s="381"/>
      <c r="DD30" s="381"/>
      <c r="DE30" s="381"/>
      <c r="DF30" s="381"/>
      <c r="DG30" s="381"/>
    </row>
    <row r="31" spans="1:111" s="83" customFormat="1" ht="127.5" customHeight="1" thickTop="1" thickBot="1">
      <c r="A31" s="83" t="s">
        <v>635</v>
      </c>
      <c r="B31" s="75" t="s">
        <v>198</v>
      </c>
      <c r="C31" s="75" t="s">
        <v>856</v>
      </c>
      <c r="D31" s="75" t="s">
        <v>903</v>
      </c>
      <c r="E31" s="76" t="s">
        <v>858</v>
      </c>
      <c r="F31" s="76" t="s">
        <v>859</v>
      </c>
      <c r="G31" s="76" t="s">
        <v>197</v>
      </c>
      <c r="H31" s="76" t="s">
        <v>886</v>
      </c>
      <c r="I31" s="76" t="s">
        <v>861</v>
      </c>
      <c r="J31" s="76" t="s">
        <v>862</v>
      </c>
      <c r="K31" s="76" t="s">
        <v>1005</v>
      </c>
      <c r="L31" s="76" t="s">
        <v>875</v>
      </c>
      <c r="M31" s="76" t="s">
        <v>1006</v>
      </c>
      <c r="N31" s="88" t="s">
        <v>635</v>
      </c>
      <c r="O31" s="76" t="s">
        <v>1007</v>
      </c>
      <c r="P31" s="76" t="s">
        <v>739</v>
      </c>
      <c r="Q31" s="76" t="s">
        <v>739</v>
      </c>
      <c r="R31" s="77" t="s">
        <v>876</v>
      </c>
      <c r="S31" s="76" t="s">
        <v>1008</v>
      </c>
      <c r="T31" s="76" t="s">
        <v>870</v>
      </c>
      <c r="U31" s="76" t="s">
        <v>157</v>
      </c>
      <c r="V31" s="76" t="s">
        <v>988</v>
      </c>
      <c r="W31" s="81">
        <v>0</v>
      </c>
      <c r="X31" s="299">
        <v>13</v>
      </c>
      <c r="Y31" s="77"/>
      <c r="Z31" s="77"/>
      <c r="AA31" s="79"/>
      <c r="AB31" s="77"/>
      <c r="AC31" s="77"/>
      <c r="AD31" s="76">
        <v>5</v>
      </c>
      <c r="AE31" s="77"/>
      <c r="AF31" s="77"/>
      <c r="AG31" s="79"/>
      <c r="AH31" s="77"/>
      <c r="AI31" s="77"/>
      <c r="AJ31" s="76">
        <v>8</v>
      </c>
      <c r="AK31" s="86" t="s">
        <v>899</v>
      </c>
      <c r="AL31" s="76" t="s">
        <v>900</v>
      </c>
      <c r="AM31" s="76" t="s">
        <v>1009</v>
      </c>
      <c r="AN31" s="96">
        <v>185500000</v>
      </c>
      <c r="AO31" s="76" t="s">
        <v>199</v>
      </c>
      <c r="AP31" s="82" t="s">
        <v>635</v>
      </c>
      <c r="AQ31" s="370">
        <f>+VLOOKUP(AP31,SharePoint!$BA$3:$BY$140,2,FALSE)</f>
        <v>0</v>
      </c>
      <c r="AR31" s="370">
        <f>+VLOOKUP(AP31,SharePoint!$BA$3:$BY$140,3,FALSE)</f>
        <v>0</v>
      </c>
      <c r="AS31" s="370">
        <f>+VLOOKUP(AP31,SharePoint!$BA$3:$BY$140,4,FALSE)</f>
        <v>0</v>
      </c>
      <c r="AT31" s="370">
        <f>+VLOOKUP(AP31,SharePoint!$BA$3:$BY$140,5,FALSE)</f>
        <v>0</v>
      </c>
      <c r="AU31" s="370">
        <f>+VLOOKUP(AP31,SharePoint!$BA$3:$BY$140,6,FALSE)</f>
        <v>0</v>
      </c>
      <c r="AV31" s="370">
        <f>+VLOOKUP(AP31,SharePoint!$BA$3:$BY$140,7,FALSE)</f>
        <v>7</v>
      </c>
      <c r="AW31" s="370">
        <f>+VLOOKUP(AP31,SharePoint!$BA$3:$BY$140,8,FALSE)</f>
        <v>0</v>
      </c>
      <c r="AX31" s="370">
        <f>+VLOOKUP(AP31,SharePoint!$BA$3:$BY$140,9,FALSE)</f>
        <v>0</v>
      </c>
      <c r="AY31" s="370">
        <f>+VLOOKUP(AP31,SharePoint!$BA$3:$BY$140,10,FALSE)</f>
        <v>0</v>
      </c>
      <c r="AZ31" s="370">
        <f>+VLOOKUP(AP31,SharePoint!$BA$3:$BY$140,11,FALSE)</f>
        <v>0</v>
      </c>
      <c r="BA31" s="370">
        <f>+VLOOKUP(AP31,SharePoint!$BA$3:$BY$140,12,FALSE)</f>
        <v>0</v>
      </c>
      <c r="BB31" s="370">
        <f>+VLOOKUP(AP31,SharePoint!$BA$3:$BY$140,13,FALSE)</f>
        <v>17</v>
      </c>
      <c r="BC31" s="226">
        <f>+VLOOKUP(AP31,SharePoint!$BA$3:$BY$140,14,FALSE)</f>
        <v>0</v>
      </c>
      <c r="BD31" s="226">
        <f>+VLOOKUP(AP31,SharePoint!$BA$3:$BY$140,15,FALSE)</f>
        <v>0</v>
      </c>
      <c r="BE31" s="226">
        <f>+VLOOKUP(AP31,SharePoint!$BA$3:$BY$140,16,FALSE)</f>
        <v>0</v>
      </c>
      <c r="BF31" s="226">
        <f>+VLOOKUP(AP31,SharePoint!$BA$3:$BY$140,17,FALSE)</f>
        <v>0</v>
      </c>
      <c r="BG31" s="226">
        <f>+VLOOKUP(AP31,SharePoint!$BA$3:$BY$140,18,FALSE)</f>
        <v>0</v>
      </c>
      <c r="BH31" s="226">
        <f>+VLOOKUP(AP31,SharePoint!$BA$3:$BY$140,19,FALSE)</f>
        <v>5</v>
      </c>
      <c r="BI31" s="226">
        <f>+VLOOKUP(AP31,SharePoint!$BA$3:$BY$140,20,FALSE)</f>
        <v>0</v>
      </c>
      <c r="BJ31" s="226">
        <f>+VLOOKUP(AP31,SharePoint!$BA$3:$BY$140,21,FALSE)</f>
        <v>0</v>
      </c>
      <c r="BK31" s="226">
        <f>+VLOOKUP(AP31,SharePoint!$BA$3:$BY$140,22,FALSE)</f>
        <v>0</v>
      </c>
      <c r="BL31" s="226">
        <f>+VLOOKUP(AP31,SharePoint!$BA$3:$BY$140,23,FALSE)</f>
        <v>0</v>
      </c>
      <c r="BM31" s="226">
        <f>+VLOOKUP(AP31,SharePoint!$BA$3:$BY$140,24,FALSE)</f>
        <v>0</v>
      </c>
      <c r="BN31" s="226">
        <f>+VLOOKUP(AP31,SharePoint!$BA$3:$BY$140,25,FALSE)</f>
        <v>8</v>
      </c>
      <c r="BO31" s="214" t="s">
        <v>873</v>
      </c>
      <c r="BP31" s="214" t="s">
        <v>873</v>
      </c>
      <c r="BQ31" s="214" t="s">
        <v>873</v>
      </c>
      <c r="BR31" s="214" t="s">
        <v>873</v>
      </c>
      <c r="BS31" s="214" t="s">
        <v>873</v>
      </c>
      <c r="BT31" s="215" t="s">
        <v>3047</v>
      </c>
      <c r="BU31" s="214" t="s">
        <v>873</v>
      </c>
      <c r="BV31" s="214" t="s">
        <v>873</v>
      </c>
      <c r="BW31" s="214" t="s">
        <v>873</v>
      </c>
      <c r="BX31" s="214" t="s">
        <v>875</v>
      </c>
      <c r="BY31" s="214" t="s">
        <v>875</v>
      </c>
      <c r="BZ31" s="214" t="s">
        <v>3389</v>
      </c>
      <c r="CA31" s="449">
        <v>1</v>
      </c>
      <c r="CB31" s="420" t="s">
        <v>3423</v>
      </c>
      <c r="CC31" s="359">
        <f t="shared" si="0"/>
        <v>24</v>
      </c>
      <c r="CD31" s="359">
        <f t="shared" si="1"/>
        <v>13</v>
      </c>
      <c r="CE31" s="343">
        <f t="shared" si="2"/>
        <v>1.8461538461538463</v>
      </c>
      <c r="CF31" s="381">
        <f t="shared" si="3"/>
        <v>13</v>
      </c>
      <c r="CG31" s="327" t="s">
        <v>3510</v>
      </c>
      <c r="CH31" s="327" t="str">
        <f t="shared" si="4"/>
        <v>Numérica</v>
      </c>
      <c r="CI31" s="327"/>
      <c r="CJ31" s="381">
        <v>3</v>
      </c>
      <c r="CK31" s="376" t="str">
        <f t="shared" si="6"/>
        <v>Delegatura Prestadores de Servicios en Salud</v>
      </c>
      <c r="CL31" s="376" t="str">
        <f t="shared" si="7"/>
        <v xml:space="preserve">Orientaciones técnicas a los Prestadores de Servicios en Salud ejecutadas </v>
      </c>
      <c r="CM31" s="376" t="str">
        <f t="shared" si="8"/>
        <v>Número de orientaciones técnicas realizadas a los prestadores de servicios de salud</v>
      </c>
      <c r="CN31" s="389">
        <f t="shared" si="9"/>
        <v>24</v>
      </c>
      <c r="CO31" s="389">
        <f t="shared" si="10"/>
        <v>13</v>
      </c>
      <c r="CP31" s="388">
        <f t="shared" si="13"/>
        <v>1.8461538461538463</v>
      </c>
      <c r="CQ31" s="376">
        <f t="shared" si="11"/>
        <v>13</v>
      </c>
      <c r="CR31" s="377" t="str">
        <f t="shared" si="12"/>
        <v>SOBRECUMPLIO</v>
      </c>
      <c r="DB31" s="272"/>
      <c r="DC31" s="381"/>
      <c r="DD31" s="381"/>
      <c r="DE31" s="381"/>
      <c r="DF31" s="381"/>
      <c r="DG31" s="381"/>
    </row>
    <row r="32" spans="1:111" s="83" customFormat="1" ht="127.5" customHeight="1" thickTop="1" thickBot="1">
      <c r="A32" s="83" t="s">
        <v>612</v>
      </c>
      <c r="B32" s="75" t="s">
        <v>198</v>
      </c>
      <c r="C32" s="75" t="s">
        <v>856</v>
      </c>
      <c r="D32" s="75" t="s">
        <v>903</v>
      </c>
      <c r="E32" s="76" t="s">
        <v>858</v>
      </c>
      <c r="F32" s="76" t="s">
        <v>859</v>
      </c>
      <c r="G32" s="76" t="s">
        <v>1010</v>
      </c>
      <c r="H32" s="76" t="s">
        <v>886</v>
      </c>
      <c r="I32" s="76" t="s">
        <v>861</v>
      </c>
      <c r="J32" s="76" t="s">
        <v>862</v>
      </c>
      <c r="K32" s="76" t="s">
        <v>1005</v>
      </c>
      <c r="L32" s="76" t="s">
        <v>875</v>
      </c>
      <c r="M32" s="76" t="s">
        <v>1011</v>
      </c>
      <c r="N32" s="88" t="s">
        <v>612</v>
      </c>
      <c r="O32" s="76" t="s">
        <v>716</v>
      </c>
      <c r="P32" s="76" t="s">
        <v>717</v>
      </c>
      <c r="Q32" s="76" t="s">
        <v>717</v>
      </c>
      <c r="R32" s="77" t="s">
        <v>876</v>
      </c>
      <c r="S32" s="76" t="s">
        <v>1012</v>
      </c>
      <c r="T32" s="76" t="s">
        <v>870</v>
      </c>
      <c r="U32" s="76" t="s">
        <v>157</v>
      </c>
      <c r="V32" s="76" t="s">
        <v>988</v>
      </c>
      <c r="W32" s="81">
        <v>0</v>
      </c>
      <c r="X32" s="299">
        <v>4</v>
      </c>
      <c r="Y32" s="77"/>
      <c r="Z32" s="77"/>
      <c r="AA32" s="79"/>
      <c r="AB32" s="77"/>
      <c r="AC32" s="77"/>
      <c r="AD32" s="76">
        <v>1</v>
      </c>
      <c r="AE32" s="77"/>
      <c r="AF32" s="77"/>
      <c r="AG32" s="79"/>
      <c r="AH32" s="77"/>
      <c r="AI32" s="77"/>
      <c r="AJ32" s="76">
        <v>3</v>
      </c>
      <c r="AK32" s="86" t="s">
        <v>899</v>
      </c>
      <c r="AL32" s="75" t="s">
        <v>900</v>
      </c>
      <c r="AM32" s="75" t="s">
        <v>1009</v>
      </c>
      <c r="AN32" s="89">
        <v>210708977</v>
      </c>
      <c r="AO32" s="76" t="s">
        <v>199</v>
      </c>
      <c r="AP32" s="82" t="s">
        <v>612</v>
      </c>
      <c r="AQ32" s="370">
        <f>+VLOOKUP(AP32,SharePoint!$BA$3:$BY$140,2,FALSE)</f>
        <v>0</v>
      </c>
      <c r="AR32" s="370">
        <f>+VLOOKUP(AP32,SharePoint!$BA$3:$BY$140,3,FALSE)</f>
        <v>0</v>
      </c>
      <c r="AS32" s="370">
        <f>+VLOOKUP(AP32,SharePoint!$BA$3:$BY$140,4,FALSE)</f>
        <v>0</v>
      </c>
      <c r="AT32" s="370">
        <f>+VLOOKUP(AP32,SharePoint!$BA$3:$BY$140,5,FALSE)</f>
        <v>0</v>
      </c>
      <c r="AU32" s="370">
        <f>+VLOOKUP(AP32,SharePoint!$BA$3:$BY$140,6,FALSE)</f>
        <v>0</v>
      </c>
      <c r="AV32" s="370">
        <f>+VLOOKUP(AP32,SharePoint!$BA$3:$BY$140,7,FALSE)</f>
        <v>1</v>
      </c>
      <c r="AW32" s="370">
        <f>+VLOOKUP(AP32,SharePoint!$BA$3:$BY$140,8,FALSE)</f>
        <v>0</v>
      </c>
      <c r="AX32" s="370">
        <f>+VLOOKUP(AP32,SharePoint!$BA$3:$BY$140,9,FALSE)</f>
        <v>0</v>
      </c>
      <c r="AY32" s="370">
        <f>+VLOOKUP(AP32,SharePoint!$BA$3:$BY$140,10,FALSE)</f>
        <v>0</v>
      </c>
      <c r="AZ32" s="370">
        <f>+VLOOKUP(AP32,SharePoint!$BA$3:$BY$140,11,FALSE)</f>
        <v>0</v>
      </c>
      <c r="BA32" s="370">
        <f>+VLOOKUP(AP32,SharePoint!$BA$3:$BY$140,12,FALSE)</f>
        <v>0</v>
      </c>
      <c r="BB32" s="370">
        <f>+VLOOKUP(AP32,SharePoint!$BA$3:$BY$140,13,FALSE)</f>
        <v>3</v>
      </c>
      <c r="BC32" s="226">
        <f>+VLOOKUP(AP32,SharePoint!$BA$3:$BY$140,14,FALSE)</f>
        <v>0</v>
      </c>
      <c r="BD32" s="226">
        <f>+VLOOKUP(AP32,SharePoint!$BA$3:$BY$140,15,FALSE)</f>
        <v>0</v>
      </c>
      <c r="BE32" s="226">
        <f>+VLOOKUP(AP32,SharePoint!$BA$3:$BY$140,16,FALSE)</f>
        <v>0</v>
      </c>
      <c r="BF32" s="226">
        <f>+VLOOKUP(AP32,SharePoint!$BA$3:$BY$140,17,FALSE)</f>
        <v>0</v>
      </c>
      <c r="BG32" s="226">
        <f>+VLOOKUP(AP32,SharePoint!$BA$3:$BY$140,18,FALSE)</f>
        <v>0</v>
      </c>
      <c r="BH32" s="226">
        <f>+VLOOKUP(AP32,SharePoint!$BA$3:$BY$140,19,FALSE)</f>
        <v>1</v>
      </c>
      <c r="BI32" s="226">
        <f>+VLOOKUP(AP32,SharePoint!$BA$3:$BY$140,20,FALSE)</f>
        <v>0</v>
      </c>
      <c r="BJ32" s="226">
        <f>+VLOOKUP(AP32,SharePoint!$BA$3:$BY$140,21,FALSE)</f>
        <v>0</v>
      </c>
      <c r="BK32" s="226">
        <f>+VLOOKUP(AP32,SharePoint!$BA$3:$BY$140,22,FALSE)</f>
        <v>0</v>
      </c>
      <c r="BL32" s="226">
        <f>+VLOOKUP(AP32,SharePoint!$BA$3:$BY$140,23,FALSE)</f>
        <v>0</v>
      </c>
      <c r="BM32" s="226">
        <f>+VLOOKUP(AP32,SharePoint!$BA$3:$BY$140,24,FALSE)</f>
        <v>0</v>
      </c>
      <c r="BN32" s="226">
        <f>+VLOOKUP(AP32,SharePoint!$BA$3:$BY$140,25,FALSE)</f>
        <v>3</v>
      </c>
      <c r="BO32" s="214" t="s">
        <v>873</v>
      </c>
      <c r="BP32" s="214" t="s">
        <v>873</v>
      </c>
      <c r="BQ32" s="214" t="s">
        <v>873</v>
      </c>
      <c r="BR32" s="214" t="s">
        <v>873</v>
      </c>
      <c r="BS32" s="214" t="s">
        <v>873</v>
      </c>
      <c r="BT32" s="215" t="s">
        <v>3048</v>
      </c>
      <c r="BU32" s="214" t="s">
        <v>873</v>
      </c>
      <c r="BV32" s="214" t="s">
        <v>873</v>
      </c>
      <c r="BW32" s="214" t="s">
        <v>873</v>
      </c>
      <c r="BX32" s="214" t="s">
        <v>875</v>
      </c>
      <c r="BY32" s="214" t="s">
        <v>875</v>
      </c>
      <c r="BZ32" s="214" t="s">
        <v>3382</v>
      </c>
      <c r="CA32" s="449">
        <v>2</v>
      </c>
      <c r="CB32" s="373" t="s">
        <v>3424</v>
      </c>
      <c r="CC32" s="359">
        <f t="shared" si="0"/>
        <v>4</v>
      </c>
      <c r="CD32" s="359">
        <f t="shared" si="1"/>
        <v>4</v>
      </c>
      <c r="CE32" s="343">
        <f t="shared" si="2"/>
        <v>1</v>
      </c>
      <c r="CF32" s="381">
        <f t="shared" si="3"/>
        <v>4</v>
      </c>
      <c r="CG32" s="327" t="s">
        <v>3509</v>
      </c>
      <c r="CH32" s="327" t="str">
        <f t="shared" si="4"/>
        <v>Numérica</v>
      </c>
      <c r="CI32" s="327"/>
      <c r="CJ32" s="381">
        <v>4</v>
      </c>
      <c r="CK32" s="378" t="str">
        <f t="shared" si="6"/>
        <v>Delegatura Prestadores de Servicios en Salud</v>
      </c>
      <c r="CL32" s="378" t="str">
        <f t="shared" si="7"/>
        <v>Total de acciones de Inspección y Vigilancia para el monitoreo de los riesgos</v>
      </c>
      <c r="CM32" s="378" t="str">
        <f t="shared" si="8"/>
        <v>Numero total de acciones de Inspección y Vigilancia para el monitoreo de los riesgos</v>
      </c>
      <c r="CN32" s="390">
        <f t="shared" si="9"/>
        <v>4</v>
      </c>
      <c r="CO32" s="390">
        <f t="shared" si="10"/>
        <v>4</v>
      </c>
      <c r="CP32" s="387">
        <f t="shared" si="13"/>
        <v>1</v>
      </c>
      <c r="CQ32" s="378">
        <f t="shared" si="11"/>
        <v>4</v>
      </c>
      <c r="CR32" s="379" t="str">
        <f t="shared" si="12"/>
        <v>CUMPLIO</v>
      </c>
      <c r="DB32" s="272"/>
      <c r="DC32" s="381"/>
      <c r="DD32" s="381"/>
      <c r="DE32" s="381"/>
      <c r="DF32" s="381"/>
      <c r="DG32" s="381"/>
    </row>
    <row r="33" spans="1:111" s="83" customFormat="1" ht="127.5" customHeight="1" thickTop="1" thickBot="1">
      <c r="A33" s="83" t="s">
        <v>209</v>
      </c>
      <c r="B33" s="75" t="s">
        <v>198</v>
      </c>
      <c r="C33" s="75" t="s">
        <v>856</v>
      </c>
      <c r="D33" s="75" t="s">
        <v>903</v>
      </c>
      <c r="E33" s="76" t="s">
        <v>858</v>
      </c>
      <c r="F33" s="76" t="s">
        <v>859</v>
      </c>
      <c r="G33" s="76" t="s">
        <v>197</v>
      </c>
      <c r="H33" s="76" t="s">
        <v>904</v>
      </c>
      <c r="I33" s="76" t="s">
        <v>894</v>
      </c>
      <c r="J33" s="76" t="s">
        <v>895</v>
      </c>
      <c r="K33" s="76" t="s">
        <v>1013</v>
      </c>
      <c r="L33" s="76" t="s">
        <v>875</v>
      </c>
      <c r="M33" s="76" t="s">
        <v>1014</v>
      </c>
      <c r="N33" s="76" t="s">
        <v>209</v>
      </c>
      <c r="O33" s="76" t="s">
        <v>211</v>
      </c>
      <c r="P33" s="76" t="s">
        <v>1015</v>
      </c>
      <c r="Q33" s="76" t="s">
        <v>1016</v>
      </c>
      <c r="R33" s="76" t="s">
        <v>1017</v>
      </c>
      <c r="S33" s="76" t="s">
        <v>1018</v>
      </c>
      <c r="T33" s="76" t="s">
        <v>892</v>
      </c>
      <c r="U33" s="76" t="s">
        <v>871</v>
      </c>
      <c r="V33" s="76" t="s">
        <v>872</v>
      </c>
      <c r="W33" s="81">
        <v>0</v>
      </c>
      <c r="X33" s="303">
        <v>0.9</v>
      </c>
      <c r="Y33" s="76"/>
      <c r="Z33" s="76"/>
      <c r="AA33" s="79">
        <v>0.2</v>
      </c>
      <c r="AB33" s="76"/>
      <c r="AC33" s="76"/>
      <c r="AD33" s="79">
        <v>0.3</v>
      </c>
      <c r="AE33" s="76"/>
      <c r="AF33" s="76"/>
      <c r="AG33" s="79">
        <v>0.25</v>
      </c>
      <c r="AH33" s="76"/>
      <c r="AI33" s="76"/>
      <c r="AJ33" s="79">
        <v>0.25</v>
      </c>
      <c r="AK33" s="86" t="s">
        <v>899</v>
      </c>
      <c r="AL33" s="75" t="s">
        <v>911</v>
      </c>
      <c r="AM33" s="75" t="s">
        <v>979</v>
      </c>
      <c r="AN33" s="89">
        <v>270000000</v>
      </c>
      <c r="AO33" s="76" t="s">
        <v>199</v>
      </c>
      <c r="AP33" s="82" t="s">
        <v>209</v>
      </c>
      <c r="AQ33" s="370">
        <f>+VLOOKUP(AP33,SharePoint!$BA$3:$BY$140,2,FALSE)</f>
        <v>0</v>
      </c>
      <c r="AR33" s="370">
        <f>+VLOOKUP(AP33,SharePoint!$BA$3:$BY$140,3,FALSE)</f>
        <v>0</v>
      </c>
      <c r="AS33" s="370">
        <f>+VLOOKUP(AP33,SharePoint!$BA$3:$BY$140,4,FALSE)</f>
        <v>2</v>
      </c>
      <c r="AT33" s="370">
        <f>+VLOOKUP(AP33,SharePoint!$BA$3:$BY$140,5,FALSE)</f>
        <v>0</v>
      </c>
      <c r="AU33" s="370">
        <f>+VLOOKUP(AP33,SharePoint!$BA$3:$BY$140,6,FALSE)</f>
        <v>0</v>
      </c>
      <c r="AV33" s="370">
        <f>+VLOOKUP(AP33,SharePoint!$BA$3:$BY$140,7,FALSE)</f>
        <v>11</v>
      </c>
      <c r="AW33" s="370">
        <f>+VLOOKUP(AP33,SharePoint!$BA$3:$BY$140,8,FALSE)</f>
        <v>0</v>
      </c>
      <c r="AX33" s="370">
        <f>+VLOOKUP(AP33,SharePoint!$BA$3:$BY$140,9,FALSE)</f>
        <v>0</v>
      </c>
      <c r="AY33" s="370">
        <f>+VLOOKUP(AP33,SharePoint!$BA$3:$BY$140,10,FALSE)</f>
        <v>7</v>
      </c>
      <c r="AZ33" s="370">
        <f>+VLOOKUP(AP33,SharePoint!$BA$3:$BY$140,11,FALSE)</f>
        <v>0</v>
      </c>
      <c r="BA33" s="370">
        <f>+VLOOKUP(AP33,SharePoint!$BA$3:$BY$140,12,FALSE)</f>
        <v>0</v>
      </c>
      <c r="BB33" s="370">
        <f>+VLOOKUP(AP33,SharePoint!$BA$3:$BY$140,13,FALSE)</f>
        <v>7</v>
      </c>
      <c r="BC33" s="226">
        <f>+VLOOKUP(AP33,SharePoint!$BA$3:$BY$140,14,FALSE)</f>
        <v>0</v>
      </c>
      <c r="BD33" s="226">
        <f>+VLOOKUP(AP33,SharePoint!$BA$3:$BY$140,15,FALSE)</f>
        <v>0</v>
      </c>
      <c r="BE33" s="226">
        <f>+VLOOKUP(AP33,SharePoint!$BA$3:$BY$140,16,FALSE)</f>
        <v>2</v>
      </c>
      <c r="BF33" s="226">
        <f>+VLOOKUP(AP33,SharePoint!$BA$3:$BY$140,17,FALSE)</f>
        <v>0</v>
      </c>
      <c r="BG33" s="226">
        <f>+VLOOKUP(AP33,SharePoint!$BA$3:$BY$140,18,FALSE)</f>
        <v>0</v>
      </c>
      <c r="BH33" s="226">
        <f>+VLOOKUP(AP33,SharePoint!$BA$3:$BY$140,19,FALSE)</f>
        <v>11</v>
      </c>
      <c r="BI33" s="226">
        <f>+VLOOKUP(AP33,SharePoint!$BA$3:$BY$140,20,FALSE)</f>
        <v>0</v>
      </c>
      <c r="BJ33" s="226">
        <f>+VLOOKUP(AP33,SharePoint!$BA$3:$BY$140,21,FALSE)</f>
        <v>0</v>
      </c>
      <c r="BK33" s="226">
        <f>+VLOOKUP(AP33,SharePoint!$BA$3:$BY$140,22,FALSE)</f>
        <v>7</v>
      </c>
      <c r="BL33" s="226">
        <f>+VLOOKUP(AP33,SharePoint!$BA$3:$BY$140,23,FALSE)</f>
        <v>0</v>
      </c>
      <c r="BM33" s="226">
        <f>+VLOOKUP(AP33,SharePoint!$BA$3:$BY$140,24,FALSE)</f>
        <v>0</v>
      </c>
      <c r="BN33" s="226">
        <f>+VLOOKUP(AP33,SharePoint!$BA$3:$BY$140,25,FALSE)</f>
        <v>7</v>
      </c>
      <c r="BO33" s="214" t="s">
        <v>873</v>
      </c>
      <c r="BP33" s="214" t="s">
        <v>873</v>
      </c>
      <c r="BQ33" s="215" t="s">
        <v>213</v>
      </c>
      <c r="BR33" s="214" t="s">
        <v>873</v>
      </c>
      <c r="BS33" s="214" t="s">
        <v>873</v>
      </c>
      <c r="BT33" s="215" t="s">
        <v>795</v>
      </c>
      <c r="BU33" s="214" t="s">
        <v>873</v>
      </c>
      <c r="BV33" s="214" t="s">
        <v>873</v>
      </c>
      <c r="BW33" s="214" t="s">
        <v>3131</v>
      </c>
      <c r="BX33" s="214" t="s">
        <v>875</v>
      </c>
      <c r="BY33" s="214" t="s">
        <v>875</v>
      </c>
      <c r="BZ33" s="214" t="s">
        <v>3350</v>
      </c>
      <c r="CA33" s="449">
        <v>1</v>
      </c>
      <c r="CB33" s="420" t="s">
        <v>3425</v>
      </c>
      <c r="CC33" s="359">
        <f t="shared" si="0"/>
        <v>27</v>
      </c>
      <c r="CD33" s="359">
        <f t="shared" si="1"/>
        <v>27</v>
      </c>
      <c r="CE33" s="382">
        <f t="shared" si="2"/>
        <v>1</v>
      </c>
      <c r="CF33" s="382">
        <f t="shared" si="3"/>
        <v>0.9</v>
      </c>
      <c r="CG33" s="327" t="s">
        <v>3510</v>
      </c>
      <c r="CH33" s="327" t="str">
        <f t="shared" si="4"/>
        <v xml:space="preserve">Porcentual </v>
      </c>
      <c r="CI33" s="327"/>
      <c r="CJ33" s="381">
        <v>5</v>
      </c>
      <c r="CK33" s="376" t="str">
        <f t="shared" si="6"/>
        <v>Delegatura Prestadores de Servicios en Salud</v>
      </c>
      <c r="CL33" s="376" t="str">
        <f t="shared" si="7"/>
        <v>Porcentaje de cumplimiento de seguimientos en campo a ESE bajo medida</v>
      </c>
      <c r="CM33" s="376" t="str">
        <f t="shared" si="8"/>
        <v>Numero de seguimientos en campo realizados  a los Prestadores de Servicios de  Salud (PSS) bajo acción o medida especial / Total de seguimientos programados a ESE bajo medida</v>
      </c>
      <c r="CN33" s="389">
        <f t="shared" si="9"/>
        <v>27</v>
      </c>
      <c r="CO33" s="389">
        <f t="shared" si="10"/>
        <v>27</v>
      </c>
      <c r="CP33" s="388">
        <f t="shared" si="13"/>
        <v>1</v>
      </c>
      <c r="CQ33" s="377">
        <f t="shared" si="11"/>
        <v>0.9</v>
      </c>
      <c r="CR33" s="377" t="str">
        <f t="shared" si="12"/>
        <v>SOBRECUMPLIO</v>
      </c>
      <c r="DB33" s="272"/>
      <c r="DC33" s="381"/>
      <c r="DD33" s="381"/>
      <c r="DE33" s="381"/>
      <c r="DF33" s="381"/>
      <c r="DG33" s="381"/>
    </row>
    <row r="34" spans="1:111" s="83" customFormat="1" ht="127.5" customHeight="1" thickTop="1" thickBot="1">
      <c r="A34" s="83" t="s">
        <v>300</v>
      </c>
      <c r="B34" s="75" t="s">
        <v>198</v>
      </c>
      <c r="C34" s="75" t="s">
        <v>856</v>
      </c>
      <c r="D34" s="75" t="s">
        <v>903</v>
      </c>
      <c r="E34" s="76" t="s">
        <v>858</v>
      </c>
      <c r="F34" s="76" t="s">
        <v>859</v>
      </c>
      <c r="G34" s="76" t="s">
        <v>197</v>
      </c>
      <c r="H34" s="76" t="s">
        <v>904</v>
      </c>
      <c r="I34" s="76" t="s">
        <v>894</v>
      </c>
      <c r="J34" s="76" t="s">
        <v>895</v>
      </c>
      <c r="K34" s="76" t="s">
        <v>1013</v>
      </c>
      <c r="L34" s="76" t="s">
        <v>875</v>
      </c>
      <c r="M34" s="76" t="s">
        <v>796</v>
      </c>
      <c r="N34" s="76" t="s">
        <v>300</v>
      </c>
      <c r="O34" s="76" t="s">
        <v>1019</v>
      </c>
      <c r="P34" s="76" t="s">
        <v>1020</v>
      </c>
      <c r="Q34" s="76" t="s">
        <v>1021</v>
      </c>
      <c r="R34" s="76" t="s">
        <v>1022</v>
      </c>
      <c r="S34" s="76" t="s">
        <v>1023</v>
      </c>
      <c r="T34" s="76" t="s">
        <v>892</v>
      </c>
      <c r="U34" s="76" t="s">
        <v>871</v>
      </c>
      <c r="V34" s="76" t="s">
        <v>988</v>
      </c>
      <c r="W34" s="81">
        <v>0</v>
      </c>
      <c r="X34" s="303">
        <v>1</v>
      </c>
      <c r="Y34" s="76"/>
      <c r="Z34" s="76"/>
      <c r="AA34" s="79"/>
      <c r="AB34" s="76"/>
      <c r="AC34" s="76"/>
      <c r="AD34" s="79">
        <v>1</v>
      </c>
      <c r="AE34" s="76"/>
      <c r="AF34" s="76"/>
      <c r="AG34" s="79"/>
      <c r="AH34" s="76"/>
      <c r="AI34" s="76"/>
      <c r="AJ34" s="79">
        <v>1</v>
      </c>
      <c r="AK34" s="76" t="s">
        <v>873</v>
      </c>
      <c r="AL34" s="76" t="s">
        <v>873</v>
      </c>
      <c r="AM34" s="76" t="s">
        <v>873</v>
      </c>
      <c r="AN34" s="76" t="s">
        <v>873</v>
      </c>
      <c r="AO34" s="76" t="s">
        <v>199</v>
      </c>
      <c r="AP34" s="82" t="s">
        <v>300</v>
      </c>
      <c r="AQ34" s="370">
        <f>+VLOOKUP(AP34,SharePoint!$BA$3:$BY$140,2,FALSE)</f>
        <v>0</v>
      </c>
      <c r="AR34" s="370">
        <f>+VLOOKUP(AP34,SharePoint!$BA$3:$BY$140,3,FALSE)</f>
        <v>0</v>
      </c>
      <c r="AS34" s="370">
        <f>+VLOOKUP(AP34,SharePoint!$BA$3:$BY$140,4,FALSE)</f>
        <v>0</v>
      </c>
      <c r="AT34" s="370">
        <f>+VLOOKUP(AP34,SharePoint!$BA$3:$BY$140,5,FALSE)</f>
        <v>0</v>
      </c>
      <c r="AU34" s="370">
        <f>+VLOOKUP(AP34,SharePoint!$BA$3:$BY$140,6,FALSE)</f>
        <v>0</v>
      </c>
      <c r="AV34" s="370">
        <f>+VLOOKUP(AP34,SharePoint!$BA$3:$BY$140,7,FALSE)</f>
        <v>148</v>
      </c>
      <c r="AW34" s="370">
        <f>+VLOOKUP(AP34,SharePoint!$BA$3:$BY$140,8,FALSE)</f>
        <v>0</v>
      </c>
      <c r="AX34" s="370">
        <f>+VLOOKUP(AP34,SharePoint!$BA$3:$BY$140,9,FALSE)</f>
        <v>0</v>
      </c>
      <c r="AY34" s="370">
        <f>+VLOOKUP(AP34,SharePoint!$BA$3:$BY$140,10,FALSE)</f>
        <v>0</v>
      </c>
      <c r="AZ34" s="370">
        <f>+VLOOKUP(AP34,SharePoint!$BA$3:$BY$140,11,FALSE)</f>
        <v>0</v>
      </c>
      <c r="BA34" s="370">
        <f>+VLOOKUP(AP34,SharePoint!$BA$3:$BY$140,12,FALSE)</f>
        <v>0</v>
      </c>
      <c r="BB34" s="370">
        <f>+VLOOKUP(AP34,SharePoint!$BA$3:$BY$140,13,FALSE)</f>
        <v>204</v>
      </c>
      <c r="BC34" s="226">
        <f>+VLOOKUP(AP34,SharePoint!$BA$3:$BY$140,14,FALSE)</f>
        <v>0</v>
      </c>
      <c r="BD34" s="226">
        <f>+VLOOKUP(AP34,SharePoint!$BA$3:$BY$140,15,FALSE)</f>
        <v>0</v>
      </c>
      <c r="BE34" s="226">
        <f>+VLOOKUP(AP34,SharePoint!$BA$3:$BY$140,16,FALSE)</f>
        <v>0</v>
      </c>
      <c r="BF34" s="226">
        <f>+VLOOKUP(AP34,SharePoint!$BA$3:$BY$140,17,FALSE)</f>
        <v>0</v>
      </c>
      <c r="BG34" s="226">
        <f>+VLOOKUP(AP34,SharePoint!$BA$3:$BY$140,18,FALSE)</f>
        <v>0</v>
      </c>
      <c r="BH34" s="226">
        <f>+VLOOKUP(AP34,SharePoint!$BA$3:$BY$140,19,FALSE)</f>
        <v>148</v>
      </c>
      <c r="BI34" s="226">
        <f>+VLOOKUP(AP34,SharePoint!$BA$3:$BY$140,20,FALSE)</f>
        <v>0</v>
      </c>
      <c r="BJ34" s="226">
        <f>+VLOOKUP(AP34,SharePoint!$BA$3:$BY$140,21,FALSE)</f>
        <v>0</v>
      </c>
      <c r="BK34" s="226">
        <f>+VLOOKUP(AP34,SharePoint!$BA$3:$BY$140,22,FALSE)</f>
        <v>0</v>
      </c>
      <c r="BL34" s="226">
        <f>+VLOOKUP(AP34,SharePoint!$BA$3:$BY$140,23,FALSE)</f>
        <v>0</v>
      </c>
      <c r="BM34" s="226">
        <f>+VLOOKUP(AP34,SharePoint!$BA$3:$BY$140,24,FALSE)</f>
        <v>0</v>
      </c>
      <c r="BN34" s="226">
        <f>+VLOOKUP(AP34,SharePoint!$BA$3:$BY$140,25,FALSE)</f>
        <v>204</v>
      </c>
      <c r="BO34" s="214" t="s">
        <v>873</v>
      </c>
      <c r="BP34" s="214" t="s">
        <v>873</v>
      </c>
      <c r="BQ34" s="214" t="s">
        <v>873</v>
      </c>
      <c r="BR34" s="214" t="s">
        <v>873</v>
      </c>
      <c r="BS34" s="214" t="s">
        <v>873</v>
      </c>
      <c r="BT34" s="214" t="s">
        <v>799</v>
      </c>
      <c r="BU34" s="214" t="s">
        <v>873</v>
      </c>
      <c r="BV34" s="214" t="s">
        <v>873</v>
      </c>
      <c r="BW34" s="214" t="s">
        <v>873</v>
      </c>
      <c r="BX34" s="214" t="s">
        <v>875</v>
      </c>
      <c r="BY34" s="214" t="s">
        <v>875</v>
      </c>
      <c r="BZ34" s="214" t="s">
        <v>3351</v>
      </c>
      <c r="CA34" s="449">
        <v>1</v>
      </c>
      <c r="CB34" s="373" t="s">
        <v>3426</v>
      </c>
      <c r="CC34" s="359">
        <f t="shared" si="0"/>
        <v>352</v>
      </c>
      <c r="CD34" s="359">
        <f t="shared" si="1"/>
        <v>352</v>
      </c>
      <c r="CE34" s="382">
        <f t="shared" si="2"/>
        <v>1</v>
      </c>
      <c r="CF34" s="382">
        <f t="shared" si="3"/>
        <v>1</v>
      </c>
      <c r="CG34" s="327" t="s">
        <v>3509</v>
      </c>
      <c r="CH34" s="327" t="str">
        <f t="shared" si="4"/>
        <v xml:space="preserve">Porcentual </v>
      </c>
      <c r="CI34" s="327"/>
      <c r="CJ34" s="381">
        <v>1</v>
      </c>
      <c r="CK34" s="378" t="str">
        <f t="shared" si="6"/>
        <v>Delegatura Prestadores de Servicios en Salud</v>
      </c>
      <c r="CL34" s="378" t="str">
        <f t="shared" si="7"/>
        <v xml:space="preserve">Porcentaje de acciones de monitoreo y verificación adelantadas  a agentes interventores, contralores, gerentes y revisores fiscales de los Prestadores de Servicios en Salud - PSS con medida adoptada </v>
      </c>
      <c r="CM34" s="378" t="str">
        <f t="shared" si="8"/>
        <v>Número de acciones de monitoreo y verificación realizadas a los Prestadores de Servicios de  Salud- PSS con medida adoptada  / Número de acciones de monitoreo y verificación a los prestadores de servicios de salud PSS bajo medida programadas.</v>
      </c>
      <c r="CN34" s="390">
        <f t="shared" si="9"/>
        <v>352</v>
      </c>
      <c r="CO34" s="390">
        <f t="shared" si="10"/>
        <v>352</v>
      </c>
      <c r="CP34" s="387">
        <f t="shared" si="13"/>
        <v>1</v>
      </c>
      <c r="CQ34" s="379">
        <f t="shared" si="11"/>
        <v>1</v>
      </c>
      <c r="CR34" s="379" t="str">
        <f t="shared" si="12"/>
        <v>CUMPLIO</v>
      </c>
      <c r="DB34" s="272"/>
      <c r="DC34" s="381"/>
      <c r="DD34" s="381"/>
      <c r="DE34" s="381"/>
      <c r="DF34" s="381"/>
      <c r="DG34" s="381"/>
    </row>
    <row r="35" spans="1:111" s="83" customFormat="1" ht="127.5" customHeight="1" thickTop="1" thickBot="1">
      <c r="A35" s="83" t="s">
        <v>649</v>
      </c>
      <c r="B35" s="75" t="s">
        <v>198</v>
      </c>
      <c r="C35" s="75" t="s">
        <v>856</v>
      </c>
      <c r="D35" s="75" t="s">
        <v>903</v>
      </c>
      <c r="E35" s="76" t="s">
        <v>858</v>
      </c>
      <c r="F35" s="76" t="s">
        <v>859</v>
      </c>
      <c r="G35" s="76" t="s">
        <v>283</v>
      </c>
      <c r="H35" s="76" t="s">
        <v>886</v>
      </c>
      <c r="I35" s="76" t="s">
        <v>952</v>
      </c>
      <c r="J35" s="76" t="s">
        <v>953</v>
      </c>
      <c r="K35" s="76" t="s">
        <v>1013</v>
      </c>
      <c r="L35" s="76" t="s">
        <v>875</v>
      </c>
      <c r="M35" s="76" t="s">
        <v>800</v>
      </c>
      <c r="N35" s="76" t="s">
        <v>649</v>
      </c>
      <c r="O35" s="76" t="s">
        <v>1024</v>
      </c>
      <c r="P35" s="76" t="s">
        <v>802</v>
      </c>
      <c r="Q35" s="76" t="s">
        <v>1025</v>
      </c>
      <c r="R35" s="76" t="s">
        <v>1026</v>
      </c>
      <c r="S35" s="76" t="s">
        <v>1027</v>
      </c>
      <c r="T35" s="76" t="s">
        <v>892</v>
      </c>
      <c r="U35" s="76" t="s">
        <v>871</v>
      </c>
      <c r="V35" s="76" t="s">
        <v>988</v>
      </c>
      <c r="W35" s="81">
        <v>0</v>
      </c>
      <c r="X35" s="302">
        <v>1</v>
      </c>
      <c r="Y35" s="76"/>
      <c r="Z35" s="76"/>
      <c r="AA35" s="79"/>
      <c r="AB35" s="76"/>
      <c r="AC35" s="76"/>
      <c r="AD35" s="79">
        <v>1</v>
      </c>
      <c r="AE35" s="76"/>
      <c r="AF35" s="76"/>
      <c r="AG35" s="79"/>
      <c r="AH35" s="76"/>
      <c r="AI35" s="76"/>
      <c r="AJ35" s="79">
        <v>1</v>
      </c>
      <c r="AK35" s="76" t="s">
        <v>873</v>
      </c>
      <c r="AL35" s="76" t="s">
        <v>873</v>
      </c>
      <c r="AM35" s="76" t="s">
        <v>873</v>
      </c>
      <c r="AN35" s="76" t="s">
        <v>873</v>
      </c>
      <c r="AO35" s="76" t="s">
        <v>199</v>
      </c>
      <c r="AP35" s="82" t="s">
        <v>649</v>
      </c>
      <c r="AQ35" s="370">
        <f>+VLOOKUP(AP35,SharePoint!$BA$3:$BY$140,2,FALSE)</f>
        <v>0</v>
      </c>
      <c r="AR35" s="370">
        <f>+VLOOKUP(AP35,SharePoint!$BA$3:$BY$140,3,FALSE)</f>
        <v>0</v>
      </c>
      <c r="AS35" s="370">
        <f>+VLOOKUP(AP35,SharePoint!$BA$3:$BY$140,4,FALSE)</f>
        <v>0</v>
      </c>
      <c r="AT35" s="370">
        <f>+VLOOKUP(AP35,SharePoint!$BA$3:$BY$140,5,FALSE)</f>
        <v>0</v>
      </c>
      <c r="AU35" s="370">
        <f>+VLOOKUP(AP35,SharePoint!$BA$3:$BY$140,6,FALSE)</f>
        <v>0</v>
      </c>
      <c r="AV35" s="370">
        <f>+VLOOKUP(AP35,SharePoint!$BA$3:$BY$140,7,FALSE)</f>
        <v>1</v>
      </c>
      <c r="AW35" s="370">
        <f>+VLOOKUP(AP35,SharePoint!$BA$3:$BY$140,8,FALSE)</f>
        <v>0</v>
      </c>
      <c r="AX35" s="370">
        <f>+VLOOKUP(AP35,SharePoint!$BA$3:$BY$140,9,FALSE)</f>
        <v>0</v>
      </c>
      <c r="AY35" s="370">
        <f>+VLOOKUP(AP35,SharePoint!$BA$3:$BY$140,10,FALSE)</f>
        <v>0</v>
      </c>
      <c r="AZ35" s="370">
        <f>+VLOOKUP(AP35,SharePoint!$BA$3:$BY$140,11,FALSE)</f>
        <v>0</v>
      </c>
      <c r="BA35" s="370">
        <f>+VLOOKUP(AP35,SharePoint!$BA$3:$BY$140,12,FALSE)</f>
        <v>0</v>
      </c>
      <c r="BB35" s="370">
        <f>+VLOOKUP(AP35,SharePoint!$BA$3:$BY$140,13,FALSE)</f>
        <v>1</v>
      </c>
      <c r="BC35" s="226">
        <f>+VLOOKUP(AP35,SharePoint!$BA$3:$BY$140,14,FALSE)</f>
        <v>0</v>
      </c>
      <c r="BD35" s="226">
        <f>+VLOOKUP(AP35,SharePoint!$BA$3:$BY$140,15,FALSE)</f>
        <v>0</v>
      </c>
      <c r="BE35" s="226">
        <f>+VLOOKUP(AP35,SharePoint!$BA$3:$BY$140,16,FALSE)</f>
        <v>0</v>
      </c>
      <c r="BF35" s="226">
        <f>+VLOOKUP(AP35,SharePoint!$BA$3:$BY$140,17,FALSE)</f>
        <v>0</v>
      </c>
      <c r="BG35" s="226">
        <f>+VLOOKUP(AP35,SharePoint!$BA$3:$BY$140,18,FALSE)</f>
        <v>0</v>
      </c>
      <c r="BH35" s="226">
        <f>+VLOOKUP(AP35,SharePoint!$BA$3:$BY$140,19,FALSE)</f>
        <v>1</v>
      </c>
      <c r="BI35" s="226">
        <f>+VLOOKUP(AP35,SharePoint!$BA$3:$BY$140,20,FALSE)</f>
        <v>0</v>
      </c>
      <c r="BJ35" s="226">
        <f>+VLOOKUP(AP35,SharePoint!$BA$3:$BY$140,21,FALSE)</f>
        <v>0</v>
      </c>
      <c r="BK35" s="226">
        <f>+VLOOKUP(AP35,SharePoint!$BA$3:$BY$140,22,FALSE)</f>
        <v>0</v>
      </c>
      <c r="BL35" s="226">
        <f>+VLOOKUP(AP35,SharePoint!$BA$3:$BY$140,23,FALSE)</f>
        <v>0</v>
      </c>
      <c r="BM35" s="226">
        <f>+VLOOKUP(AP35,SharePoint!$BA$3:$BY$140,24,FALSE)</f>
        <v>0</v>
      </c>
      <c r="BN35" s="226">
        <f>+VLOOKUP(AP35,SharePoint!$BA$3:$BY$140,25,FALSE)</f>
        <v>1</v>
      </c>
      <c r="BO35" s="214" t="s">
        <v>873</v>
      </c>
      <c r="BP35" s="214" t="s">
        <v>873</v>
      </c>
      <c r="BQ35" s="214" t="s">
        <v>873</v>
      </c>
      <c r="BR35" s="214" t="s">
        <v>873</v>
      </c>
      <c r="BS35" s="214" t="s">
        <v>873</v>
      </c>
      <c r="BT35" s="215" t="s">
        <v>803</v>
      </c>
      <c r="BU35" s="214" t="s">
        <v>873</v>
      </c>
      <c r="BV35" s="214" t="s">
        <v>873</v>
      </c>
      <c r="BW35" s="214" t="s">
        <v>873</v>
      </c>
      <c r="BX35" s="214" t="s">
        <v>875</v>
      </c>
      <c r="BY35" s="214" t="s">
        <v>875</v>
      </c>
      <c r="BZ35" s="214" t="s">
        <v>3250</v>
      </c>
      <c r="CA35" s="449">
        <v>2</v>
      </c>
      <c r="CB35" s="373" t="s">
        <v>3427</v>
      </c>
      <c r="CC35" s="359">
        <v>0</v>
      </c>
      <c r="CD35" s="359">
        <v>0</v>
      </c>
      <c r="CE35" s="382" t="e">
        <f t="shared" si="2"/>
        <v>#DIV/0!</v>
      </c>
      <c r="CF35" s="382">
        <f t="shared" si="3"/>
        <v>1</v>
      </c>
      <c r="CG35" s="327" t="s">
        <v>3509</v>
      </c>
      <c r="CH35" s="327" t="str">
        <f t="shared" si="4"/>
        <v xml:space="preserve">Porcentual </v>
      </c>
      <c r="CI35" s="327"/>
      <c r="CJ35" s="381">
        <v>2</v>
      </c>
      <c r="CK35" s="376" t="str">
        <f t="shared" si="6"/>
        <v>Delegatura Prestadores de Servicios en Salud</v>
      </c>
      <c r="CL35" s="376" t="str">
        <f t="shared" si="7"/>
        <v>Porcentaje  de solicitudes de promoción de acuerdos de restructuración de pasivos tramitadas</v>
      </c>
      <c r="CM35" s="376" t="str">
        <f t="shared" si="8"/>
        <v>Número de solicitudes de acuerdos de restructuración de pasivos evaluados en el periodo/ Número de acuerdos de restructuración de pasivos solicitados con vencimiento del término.</v>
      </c>
      <c r="CN35" s="389">
        <f t="shared" si="9"/>
        <v>0</v>
      </c>
      <c r="CO35" s="389">
        <f t="shared" si="10"/>
        <v>0</v>
      </c>
      <c r="CP35" s="388" t="e">
        <f t="shared" si="13"/>
        <v>#DIV/0!</v>
      </c>
      <c r="CQ35" s="377">
        <f t="shared" si="11"/>
        <v>1</v>
      </c>
      <c r="CR35" s="377" t="str">
        <f t="shared" si="12"/>
        <v>CUMPLIO</v>
      </c>
      <c r="DB35" s="272"/>
      <c r="DC35" s="381"/>
      <c r="DD35" s="381"/>
      <c r="DE35" s="381"/>
      <c r="DF35" s="381"/>
      <c r="DG35" s="381"/>
    </row>
    <row r="36" spans="1:111" s="83" customFormat="1" ht="127.5" customHeight="1" thickTop="1" thickBot="1">
      <c r="A36" s="83" t="s">
        <v>264</v>
      </c>
      <c r="B36" s="75" t="s">
        <v>198</v>
      </c>
      <c r="C36" s="75" t="s">
        <v>856</v>
      </c>
      <c r="D36" s="75" t="s">
        <v>903</v>
      </c>
      <c r="E36" s="76" t="s">
        <v>858</v>
      </c>
      <c r="F36" s="76" t="s">
        <v>859</v>
      </c>
      <c r="G36" s="76" t="s">
        <v>197</v>
      </c>
      <c r="H36" s="76" t="s">
        <v>886</v>
      </c>
      <c r="I36" s="76" t="s">
        <v>894</v>
      </c>
      <c r="J36" s="76" t="s">
        <v>895</v>
      </c>
      <c r="K36" s="76" t="s">
        <v>1013</v>
      </c>
      <c r="L36" s="76" t="s">
        <v>875</v>
      </c>
      <c r="M36" s="76" t="s">
        <v>804</v>
      </c>
      <c r="N36" s="76" t="s">
        <v>264</v>
      </c>
      <c r="O36" s="76" t="s">
        <v>805</v>
      </c>
      <c r="P36" s="76" t="s">
        <v>1028</v>
      </c>
      <c r="Q36" s="76" t="s">
        <v>1029</v>
      </c>
      <c r="R36" s="76" t="s">
        <v>1030</v>
      </c>
      <c r="S36" s="76" t="s">
        <v>1031</v>
      </c>
      <c r="T36" s="76" t="s">
        <v>892</v>
      </c>
      <c r="U36" s="76" t="s">
        <v>871</v>
      </c>
      <c r="V36" s="76" t="s">
        <v>988</v>
      </c>
      <c r="W36" s="81">
        <v>0</v>
      </c>
      <c r="X36" s="302">
        <v>1</v>
      </c>
      <c r="Y36" s="76"/>
      <c r="Z36" s="76"/>
      <c r="AA36" s="76"/>
      <c r="AB36" s="76"/>
      <c r="AC36" s="76"/>
      <c r="AD36" s="79">
        <v>1</v>
      </c>
      <c r="AE36" s="76"/>
      <c r="AF36" s="76"/>
      <c r="AG36" s="76"/>
      <c r="AH36" s="76"/>
      <c r="AI36" s="76"/>
      <c r="AJ36" s="79">
        <v>1</v>
      </c>
      <c r="AK36" s="76" t="s">
        <v>873</v>
      </c>
      <c r="AL36" s="76" t="s">
        <v>873</v>
      </c>
      <c r="AM36" s="76" t="s">
        <v>873</v>
      </c>
      <c r="AN36" s="76" t="s">
        <v>873</v>
      </c>
      <c r="AO36" s="76" t="s">
        <v>199</v>
      </c>
      <c r="AP36" s="82" t="s">
        <v>264</v>
      </c>
      <c r="AQ36" s="370">
        <f>+VLOOKUP(AP36,SharePoint!$BA$3:$BY$140,2,FALSE)</f>
        <v>0</v>
      </c>
      <c r="AR36" s="370">
        <f>+VLOOKUP(AP36,SharePoint!$BA$3:$BY$140,3,FALSE)</f>
        <v>0</v>
      </c>
      <c r="AS36" s="370">
        <f>+VLOOKUP(AP36,SharePoint!$BA$3:$BY$140,4,FALSE)</f>
        <v>0</v>
      </c>
      <c r="AT36" s="370">
        <f>+VLOOKUP(AP36,SharePoint!$BA$3:$BY$140,5,FALSE)</f>
        <v>0</v>
      </c>
      <c r="AU36" s="370">
        <f>+VLOOKUP(AP36,SharePoint!$BA$3:$BY$140,6,FALSE)</f>
        <v>0</v>
      </c>
      <c r="AV36" s="370">
        <f>+VLOOKUP(AP36,SharePoint!$BA$3:$BY$140,7,FALSE)</f>
        <v>1</v>
      </c>
      <c r="AW36" s="370">
        <f>+VLOOKUP(AP36,SharePoint!$BA$3:$BY$140,8,FALSE)</f>
        <v>0</v>
      </c>
      <c r="AX36" s="370">
        <f>+VLOOKUP(AP36,SharePoint!$BA$3:$BY$140,9,FALSE)</f>
        <v>0</v>
      </c>
      <c r="AY36" s="370">
        <f>+VLOOKUP(AP36,SharePoint!$BA$3:$BY$140,10,FALSE)</f>
        <v>0</v>
      </c>
      <c r="AZ36" s="370">
        <f>+VLOOKUP(AP36,SharePoint!$BA$3:$BY$140,11,FALSE)</f>
        <v>0</v>
      </c>
      <c r="BA36" s="370">
        <f>+VLOOKUP(AP36,SharePoint!$BA$3:$BY$140,12,FALSE)</f>
        <v>0</v>
      </c>
      <c r="BB36" s="370">
        <f>+VLOOKUP(AP36,SharePoint!$BA$3:$BY$140,13,FALSE)</f>
        <v>1</v>
      </c>
      <c r="BC36" s="226">
        <f>+VLOOKUP(AP36,SharePoint!$BA$3:$BY$140,14,FALSE)</f>
        <v>0</v>
      </c>
      <c r="BD36" s="226">
        <f>+VLOOKUP(AP36,SharePoint!$BA$3:$BY$140,15,FALSE)</f>
        <v>0</v>
      </c>
      <c r="BE36" s="226">
        <f>+VLOOKUP(AP36,SharePoint!$BA$3:$BY$140,16,FALSE)</f>
        <v>0</v>
      </c>
      <c r="BF36" s="226">
        <f>+VLOOKUP(AP36,SharePoint!$BA$3:$BY$140,17,FALSE)</f>
        <v>0</v>
      </c>
      <c r="BG36" s="226">
        <f>+VLOOKUP(AP36,SharePoint!$BA$3:$BY$140,18,FALSE)</f>
        <v>0</v>
      </c>
      <c r="BH36" s="226">
        <f>+VLOOKUP(AP36,SharePoint!$BA$3:$BY$140,19,FALSE)</f>
        <v>1</v>
      </c>
      <c r="BI36" s="226">
        <f>+VLOOKUP(AP36,SharePoint!$BA$3:$BY$140,20,FALSE)</f>
        <v>0</v>
      </c>
      <c r="BJ36" s="226">
        <f>+VLOOKUP(AP36,SharePoint!$BA$3:$BY$140,21,FALSE)</f>
        <v>0</v>
      </c>
      <c r="BK36" s="226">
        <f>+VLOOKUP(AP36,SharePoint!$BA$3:$BY$140,22,FALSE)</f>
        <v>0</v>
      </c>
      <c r="BL36" s="226">
        <f>+VLOOKUP(AP36,SharePoint!$BA$3:$BY$140,23,FALSE)</f>
        <v>0</v>
      </c>
      <c r="BM36" s="226">
        <f>+VLOOKUP(AP36,SharePoint!$BA$3:$BY$140,24,FALSE)</f>
        <v>0</v>
      </c>
      <c r="BN36" s="226">
        <f>+VLOOKUP(AP36,SharePoint!$BA$3:$BY$140,25,FALSE)</f>
        <v>1</v>
      </c>
      <c r="BO36" s="214" t="s">
        <v>873</v>
      </c>
      <c r="BP36" s="214" t="s">
        <v>873</v>
      </c>
      <c r="BQ36" s="214" t="s">
        <v>873</v>
      </c>
      <c r="BR36" s="214" t="s">
        <v>873</v>
      </c>
      <c r="BS36" s="214" t="s">
        <v>873</v>
      </c>
      <c r="BT36" s="215" t="s">
        <v>807</v>
      </c>
      <c r="BU36" s="214" t="s">
        <v>873</v>
      </c>
      <c r="BV36" s="214" t="s">
        <v>873</v>
      </c>
      <c r="BW36" s="214" t="s">
        <v>873</v>
      </c>
      <c r="BX36" s="214" t="s">
        <v>875</v>
      </c>
      <c r="BY36" s="214" t="s">
        <v>875</v>
      </c>
      <c r="BZ36" s="214" t="s">
        <v>3346</v>
      </c>
      <c r="CA36" s="449">
        <v>2</v>
      </c>
      <c r="CB36" s="373" t="s">
        <v>3428</v>
      </c>
      <c r="CC36" s="359">
        <f t="shared" si="0"/>
        <v>2</v>
      </c>
      <c r="CD36" s="359">
        <f t="shared" si="1"/>
        <v>2</v>
      </c>
      <c r="CE36" s="382">
        <f t="shared" si="2"/>
        <v>1</v>
      </c>
      <c r="CF36" s="382">
        <f t="shared" si="3"/>
        <v>1</v>
      </c>
      <c r="CG36" s="327" t="s">
        <v>3509</v>
      </c>
      <c r="CH36" s="327" t="str">
        <f t="shared" si="4"/>
        <v xml:space="preserve">Porcentual </v>
      </c>
      <c r="CI36" s="327"/>
      <c r="CJ36" s="381">
        <v>3</v>
      </c>
      <c r="CK36" s="378" t="str">
        <f t="shared" si="6"/>
        <v>Delegatura Prestadores de Servicios en Salud</v>
      </c>
      <c r="CL36" s="378" t="str">
        <f t="shared" si="7"/>
        <v>Porcentaje de acciones de seguimiento a promotores de acuerdos de reestructuración de pasivos hasta la etapa de celebración del acuerdo respectivo</v>
      </c>
      <c r="CM36" s="378" t="str">
        <f t="shared" si="8"/>
        <v xml:space="preserve">Número de acciones de seguimiento a la gestión de promotores de acuerdos de reestructuración de pasivos realizadas / Número de acciones de seguimiento a la gestión de promotores de acuerdos de reestructuración de pasivos programadas  </v>
      </c>
      <c r="CN36" s="390">
        <f t="shared" si="9"/>
        <v>2</v>
      </c>
      <c r="CO36" s="390">
        <f t="shared" si="10"/>
        <v>2</v>
      </c>
      <c r="CP36" s="387">
        <f t="shared" si="13"/>
        <v>1</v>
      </c>
      <c r="CQ36" s="379">
        <f t="shared" si="11"/>
        <v>1</v>
      </c>
      <c r="CR36" s="379" t="str">
        <f t="shared" si="12"/>
        <v>CUMPLIO</v>
      </c>
      <c r="DB36" s="272"/>
      <c r="DC36" s="381"/>
      <c r="DD36" s="381"/>
      <c r="DE36" s="381"/>
      <c r="DF36" s="381"/>
      <c r="DG36" s="381"/>
    </row>
    <row r="37" spans="1:111" s="83" customFormat="1" ht="127.5" customHeight="1" thickTop="1" thickBot="1">
      <c r="A37" s="83" t="s">
        <v>1032</v>
      </c>
      <c r="B37" s="75" t="s">
        <v>198</v>
      </c>
      <c r="C37" s="75" t="s">
        <v>856</v>
      </c>
      <c r="D37" s="75" t="s">
        <v>903</v>
      </c>
      <c r="E37" s="76" t="s">
        <v>858</v>
      </c>
      <c r="F37" s="76" t="s">
        <v>859</v>
      </c>
      <c r="G37" s="76" t="s">
        <v>197</v>
      </c>
      <c r="H37" s="76" t="s">
        <v>886</v>
      </c>
      <c r="I37" s="76" t="s">
        <v>894</v>
      </c>
      <c r="J37" s="76" t="s">
        <v>895</v>
      </c>
      <c r="K37" s="76" t="s">
        <v>1033</v>
      </c>
      <c r="L37" s="76" t="s">
        <v>875</v>
      </c>
      <c r="M37" s="76" t="s">
        <v>1034</v>
      </c>
      <c r="N37" s="76" t="s">
        <v>1032</v>
      </c>
      <c r="O37" s="76" t="s">
        <v>1035</v>
      </c>
      <c r="P37" s="76" t="s">
        <v>1036</v>
      </c>
      <c r="Q37" s="76" t="s">
        <v>1037</v>
      </c>
      <c r="R37" s="76" t="s">
        <v>1038</v>
      </c>
      <c r="S37" s="76" t="s">
        <v>1039</v>
      </c>
      <c r="T37" s="76" t="s">
        <v>892</v>
      </c>
      <c r="U37" s="76" t="s">
        <v>871</v>
      </c>
      <c r="V37" s="76" t="s">
        <v>988</v>
      </c>
      <c r="W37" s="81">
        <v>0</v>
      </c>
      <c r="X37" s="303">
        <v>1</v>
      </c>
      <c r="Y37" s="76"/>
      <c r="Z37" s="76"/>
      <c r="AA37" s="79"/>
      <c r="AB37" s="76"/>
      <c r="AC37" s="76"/>
      <c r="AD37" s="79"/>
      <c r="AE37" s="76"/>
      <c r="AF37" s="76"/>
      <c r="AG37" s="79"/>
      <c r="AH37" s="76"/>
      <c r="AI37" s="80">
        <v>0.2</v>
      </c>
      <c r="AJ37" s="79">
        <v>1</v>
      </c>
      <c r="AK37" s="76" t="s">
        <v>873</v>
      </c>
      <c r="AL37" s="76" t="s">
        <v>873</v>
      </c>
      <c r="AM37" s="76" t="s">
        <v>873</v>
      </c>
      <c r="AN37" s="76" t="s">
        <v>873</v>
      </c>
      <c r="AO37" s="76" t="s">
        <v>199</v>
      </c>
      <c r="AP37" s="82" t="s">
        <v>1032</v>
      </c>
      <c r="AQ37" s="370">
        <f>+VLOOKUP(AP37,SharePoint!$BA$3:$BY$140,2,FALSE)</f>
        <v>0</v>
      </c>
      <c r="AR37" s="370">
        <f>+VLOOKUP(AP37,SharePoint!$BA$3:$BY$140,3,FALSE)</f>
        <v>0</v>
      </c>
      <c r="AS37" s="370">
        <f>+VLOOKUP(AP37,SharePoint!$BA$3:$BY$140,4,FALSE)</f>
        <v>0</v>
      </c>
      <c r="AT37" s="370">
        <f>+VLOOKUP(AP37,SharePoint!$BA$3:$BY$140,5,FALSE)</f>
        <v>0</v>
      </c>
      <c r="AU37" s="370">
        <f>+VLOOKUP(AP37,SharePoint!$BA$3:$BY$140,6,FALSE)</f>
        <v>0</v>
      </c>
      <c r="AV37" s="370">
        <f>+VLOOKUP(AP37,SharePoint!$BA$3:$BY$140,7,FALSE)</f>
        <v>0</v>
      </c>
      <c r="AW37" s="370">
        <f>+VLOOKUP(AP37,SharePoint!$BA$3:$BY$140,8,FALSE)</f>
        <v>0</v>
      </c>
      <c r="AX37" s="370">
        <f>+VLOOKUP(AP37,SharePoint!$BA$3:$BY$140,9,FALSE)</f>
        <v>0</v>
      </c>
      <c r="AY37" s="370">
        <f>+VLOOKUP(AP37,SharePoint!$BA$3:$BY$140,10,FALSE)</f>
        <v>0</v>
      </c>
      <c r="AZ37" s="370">
        <f>+VLOOKUP(AP37,SharePoint!$BA$3:$BY$140,11,FALSE)</f>
        <v>0</v>
      </c>
      <c r="BA37" s="370">
        <f>+VLOOKUP(AP37,SharePoint!$BA$3:$BY$140,12,FALSE)</f>
        <v>11</v>
      </c>
      <c r="BB37" s="370">
        <f>+VLOOKUP(AP37,SharePoint!$BA$3:$BY$140,13,FALSE)</f>
        <v>11</v>
      </c>
      <c r="BC37" s="226">
        <f>+VLOOKUP(AP37,SharePoint!$BA$3:$BY$140,14,FALSE)</f>
        <v>0</v>
      </c>
      <c r="BD37" s="226">
        <f>+VLOOKUP(AP37,SharePoint!$BA$3:$BY$140,15,FALSE)</f>
        <v>0</v>
      </c>
      <c r="BE37" s="226">
        <f>+VLOOKUP(AP37,SharePoint!$BA$3:$BY$140,16,FALSE)</f>
        <v>0</v>
      </c>
      <c r="BF37" s="226">
        <f>+VLOOKUP(AP37,SharePoint!$BA$3:$BY$140,17,FALSE)</f>
        <v>0</v>
      </c>
      <c r="BG37" s="226">
        <f>+VLOOKUP(AP37,SharePoint!$BA$3:$BY$140,18,FALSE)</f>
        <v>0</v>
      </c>
      <c r="BH37" s="226">
        <f>+VLOOKUP(AP37,SharePoint!$BA$3:$BY$140,19,FALSE)</f>
        <v>0</v>
      </c>
      <c r="BI37" s="226">
        <f>+VLOOKUP(AP37,SharePoint!$BA$3:$BY$140,20,FALSE)</f>
        <v>0</v>
      </c>
      <c r="BJ37" s="226">
        <f>+VLOOKUP(AP37,SharePoint!$BA$3:$BY$140,21,FALSE)</f>
        <v>0</v>
      </c>
      <c r="BK37" s="226">
        <f>+VLOOKUP(AP37,SharePoint!$BA$3:$BY$140,22,FALSE)</f>
        <v>0</v>
      </c>
      <c r="BL37" s="226">
        <f>+VLOOKUP(AP37,SharePoint!$BA$3:$BY$140,23,FALSE)</f>
        <v>0</v>
      </c>
      <c r="BM37" s="226">
        <f>+VLOOKUP(AP37,SharePoint!$BA$3:$BY$140,24,FALSE)</f>
        <v>11</v>
      </c>
      <c r="BN37" s="226">
        <f>+VLOOKUP(AP37,SharePoint!$BA$3:$BY$140,25,FALSE)</f>
        <v>11</v>
      </c>
      <c r="BO37" s="214" t="s">
        <v>873</v>
      </c>
      <c r="BP37" s="214" t="s">
        <v>873</v>
      </c>
      <c r="BQ37" s="214" t="s">
        <v>873</v>
      </c>
      <c r="BR37" s="214" t="s">
        <v>873</v>
      </c>
      <c r="BS37" s="214" t="s">
        <v>873</v>
      </c>
      <c r="BT37" s="214" t="s">
        <v>873</v>
      </c>
      <c r="BU37" s="214" t="s">
        <v>873</v>
      </c>
      <c r="BV37" s="214" t="s">
        <v>873</v>
      </c>
      <c r="BW37" s="214" t="s">
        <v>873</v>
      </c>
      <c r="BX37" s="214" t="s">
        <v>875</v>
      </c>
      <c r="BY37" s="214" t="s">
        <v>3347</v>
      </c>
      <c r="BZ37" s="214" t="s">
        <v>875</v>
      </c>
      <c r="CA37" s="449">
        <v>2</v>
      </c>
      <c r="CB37" s="373" t="s">
        <v>3429</v>
      </c>
      <c r="CC37" s="359">
        <f t="shared" si="0"/>
        <v>22</v>
      </c>
      <c r="CD37" s="359">
        <f t="shared" si="1"/>
        <v>22</v>
      </c>
      <c r="CE37" s="382">
        <f t="shared" si="2"/>
        <v>1</v>
      </c>
      <c r="CF37" s="382">
        <f t="shared" si="3"/>
        <v>1</v>
      </c>
      <c r="CG37" s="327" t="s">
        <v>3509</v>
      </c>
      <c r="CH37" s="327" t="str">
        <f t="shared" si="4"/>
        <v xml:space="preserve">Porcentual </v>
      </c>
      <c r="CI37" s="327"/>
      <c r="CJ37" s="381">
        <v>4</v>
      </c>
      <c r="CK37" s="376" t="str">
        <f t="shared" si="6"/>
        <v>Delegatura Prestadores de Servicios en Salud</v>
      </c>
      <c r="CL37" s="376" t="str">
        <f t="shared" si="7"/>
        <v>Porcentaje de avance en la formulación de los lineamientos y monitoreo a las E.S.E  de las acciones tendientes a  la formalización laboral y atención en salud con enfoque diferencia.</v>
      </c>
      <c r="CM37" s="376" t="str">
        <f t="shared" si="8"/>
        <v xml:space="preserve">Numero de hitos en la formulación de lineamientos y monitoreos a las E.S.E / Numero de hitos o acciones programadas.  </v>
      </c>
      <c r="CN37" s="389">
        <f t="shared" si="9"/>
        <v>22</v>
      </c>
      <c r="CO37" s="389">
        <f t="shared" si="10"/>
        <v>22</v>
      </c>
      <c r="CP37" s="388">
        <f t="shared" si="13"/>
        <v>1</v>
      </c>
      <c r="CQ37" s="377">
        <f t="shared" si="11"/>
        <v>1</v>
      </c>
      <c r="CR37" s="377" t="str">
        <f t="shared" si="12"/>
        <v>CUMPLIO</v>
      </c>
      <c r="DB37" s="272"/>
      <c r="DC37" s="381"/>
      <c r="DD37" s="381"/>
      <c r="DE37" s="381"/>
      <c r="DF37" s="381"/>
      <c r="DG37" s="381"/>
    </row>
    <row r="38" spans="1:111" s="83" customFormat="1" ht="127.5" customHeight="1" thickTop="1" thickBot="1">
      <c r="A38" s="83" t="s">
        <v>270</v>
      </c>
      <c r="B38" s="75" t="s">
        <v>198</v>
      </c>
      <c r="C38" s="75" t="s">
        <v>856</v>
      </c>
      <c r="D38" s="75" t="s">
        <v>903</v>
      </c>
      <c r="E38" s="76" t="s">
        <v>858</v>
      </c>
      <c r="F38" s="76" t="s">
        <v>859</v>
      </c>
      <c r="G38" s="76" t="s">
        <v>197</v>
      </c>
      <c r="H38" s="76" t="s">
        <v>886</v>
      </c>
      <c r="I38" s="76" t="s">
        <v>894</v>
      </c>
      <c r="J38" s="76" t="s">
        <v>895</v>
      </c>
      <c r="K38" s="76" t="s">
        <v>1013</v>
      </c>
      <c r="L38" s="76" t="s">
        <v>875</v>
      </c>
      <c r="M38" s="76" t="s">
        <v>1040</v>
      </c>
      <c r="N38" s="76" t="s">
        <v>270</v>
      </c>
      <c r="O38" s="76" t="s">
        <v>1041</v>
      </c>
      <c r="P38" s="76" t="s">
        <v>810</v>
      </c>
      <c r="Q38" s="76" t="s">
        <v>1042</v>
      </c>
      <c r="R38" s="76" t="s">
        <v>1043</v>
      </c>
      <c r="S38" s="76" t="s">
        <v>1044</v>
      </c>
      <c r="T38" s="76" t="s">
        <v>892</v>
      </c>
      <c r="U38" s="76" t="s">
        <v>871</v>
      </c>
      <c r="V38" s="76" t="s">
        <v>988</v>
      </c>
      <c r="W38" s="81">
        <v>0</v>
      </c>
      <c r="X38" s="303">
        <v>1</v>
      </c>
      <c r="Y38" s="76"/>
      <c r="Z38" s="76"/>
      <c r="AA38" s="76"/>
      <c r="AB38" s="76"/>
      <c r="AC38" s="76"/>
      <c r="AD38" s="79">
        <v>1</v>
      </c>
      <c r="AE38" s="76"/>
      <c r="AF38" s="76"/>
      <c r="AG38" s="79"/>
      <c r="AH38" s="76"/>
      <c r="AI38" s="76"/>
      <c r="AJ38" s="80">
        <v>1</v>
      </c>
      <c r="AK38" s="76" t="s">
        <v>873</v>
      </c>
      <c r="AL38" s="76" t="s">
        <v>873</v>
      </c>
      <c r="AM38" s="76" t="s">
        <v>873</v>
      </c>
      <c r="AN38" s="76" t="s">
        <v>873</v>
      </c>
      <c r="AO38" s="76" t="s">
        <v>199</v>
      </c>
      <c r="AP38" s="82" t="s">
        <v>270</v>
      </c>
      <c r="AQ38" s="370">
        <f>+VLOOKUP(AP38,SharePoint!$BA$3:$BY$140,2,FALSE)</f>
        <v>0</v>
      </c>
      <c r="AR38" s="370">
        <f>+VLOOKUP(AP38,SharePoint!$BA$3:$BY$140,3,FALSE)</f>
        <v>0</v>
      </c>
      <c r="AS38" s="370">
        <f>+VLOOKUP(AP38,SharePoint!$BA$3:$BY$140,4,FALSE)</f>
        <v>0</v>
      </c>
      <c r="AT38" s="370">
        <f>+VLOOKUP(AP38,SharePoint!$BA$3:$BY$140,5,FALSE)</f>
        <v>0</v>
      </c>
      <c r="AU38" s="370">
        <f>+VLOOKUP(AP38,SharePoint!$BA$3:$BY$140,6,FALSE)</f>
        <v>0</v>
      </c>
      <c r="AV38" s="370">
        <f>+VLOOKUP(AP38,SharePoint!$BA$3:$BY$140,7,FALSE)</f>
        <v>3</v>
      </c>
      <c r="AW38" s="370">
        <f>+VLOOKUP(AP38,SharePoint!$BA$3:$BY$140,8,FALSE)</f>
        <v>0</v>
      </c>
      <c r="AX38" s="370">
        <f>+VLOOKUP(AP38,SharePoint!$BA$3:$BY$140,9,FALSE)</f>
        <v>0</v>
      </c>
      <c r="AY38" s="370">
        <f>+VLOOKUP(AP38,SharePoint!$BA$3:$BY$140,10,FALSE)</f>
        <v>0</v>
      </c>
      <c r="AZ38" s="370">
        <f>+VLOOKUP(AP38,SharePoint!$BA$3:$BY$140,11,FALSE)</f>
        <v>0</v>
      </c>
      <c r="BA38" s="370">
        <f>+VLOOKUP(AP38,SharePoint!$BA$3:$BY$140,12,FALSE)</f>
        <v>0</v>
      </c>
      <c r="BB38" s="370">
        <f>+VLOOKUP(AP38,SharePoint!$BA$3:$BY$140,13,FALSE)</f>
        <v>2</v>
      </c>
      <c r="BC38" s="226">
        <f>+VLOOKUP(AP38,SharePoint!$BA$3:$BY$140,14,FALSE)</f>
        <v>0</v>
      </c>
      <c r="BD38" s="226">
        <f>+VLOOKUP(AP38,SharePoint!$BA$3:$BY$140,15,FALSE)</f>
        <v>0</v>
      </c>
      <c r="BE38" s="226">
        <f>+VLOOKUP(AP38,SharePoint!$BA$3:$BY$140,16,FALSE)</f>
        <v>0</v>
      </c>
      <c r="BF38" s="226">
        <f>+VLOOKUP(AP38,SharePoint!$BA$3:$BY$140,17,FALSE)</f>
        <v>0</v>
      </c>
      <c r="BG38" s="226">
        <f>+VLOOKUP(AP38,SharePoint!$BA$3:$BY$140,18,FALSE)</f>
        <v>0</v>
      </c>
      <c r="BH38" s="226">
        <f>+VLOOKUP(AP38,SharePoint!$BA$3:$BY$140,19,FALSE)</f>
        <v>3</v>
      </c>
      <c r="BI38" s="226">
        <f>+VLOOKUP(AP38,SharePoint!$BA$3:$BY$140,20,FALSE)</f>
        <v>0</v>
      </c>
      <c r="BJ38" s="226">
        <f>+VLOOKUP(AP38,SharePoint!$BA$3:$BY$140,21,FALSE)</f>
        <v>0</v>
      </c>
      <c r="BK38" s="226">
        <f>+VLOOKUP(AP38,SharePoint!$BA$3:$BY$140,22,FALSE)</f>
        <v>0</v>
      </c>
      <c r="BL38" s="226">
        <f>+VLOOKUP(AP38,SharePoint!$BA$3:$BY$140,23,FALSE)</f>
        <v>0</v>
      </c>
      <c r="BM38" s="226">
        <f>+VLOOKUP(AP38,SharePoint!$BA$3:$BY$140,24,FALSE)</f>
        <v>0</v>
      </c>
      <c r="BN38" s="226">
        <f>+VLOOKUP(AP38,SharePoint!$BA$3:$BY$140,25,FALSE)</f>
        <v>2</v>
      </c>
      <c r="BO38" s="214" t="s">
        <v>873</v>
      </c>
      <c r="BP38" s="214" t="s">
        <v>873</v>
      </c>
      <c r="BQ38" s="214" t="s">
        <v>873</v>
      </c>
      <c r="BR38" s="214" t="s">
        <v>873</v>
      </c>
      <c r="BS38" s="214" t="s">
        <v>873</v>
      </c>
      <c r="BT38" s="215" t="s">
        <v>811</v>
      </c>
      <c r="BU38" s="214" t="s">
        <v>873</v>
      </c>
      <c r="BV38" s="214" t="s">
        <v>873</v>
      </c>
      <c r="BW38" s="214" t="s">
        <v>873</v>
      </c>
      <c r="BX38" s="214" t="s">
        <v>875</v>
      </c>
      <c r="BY38" s="214" t="s">
        <v>875</v>
      </c>
      <c r="BZ38" s="214" t="s">
        <v>3348</v>
      </c>
      <c r="CA38" s="449">
        <v>1</v>
      </c>
      <c r="CB38" s="373" t="s">
        <v>3430</v>
      </c>
      <c r="CC38" s="359">
        <f t="shared" si="0"/>
        <v>5</v>
      </c>
      <c r="CD38" s="359">
        <f t="shared" si="1"/>
        <v>5</v>
      </c>
      <c r="CE38" s="382">
        <f t="shared" si="2"/>
        <v>1</v>
      </c>
      <c r="CF38" s="382">
        <f t="shared" si="3"/>
        <v>1</v>
      </c>
      <c r="CG38" s="327" t="s">
        <v>3509</v>
      </c>
      <c r="CH38" s="327" t="str">
        <f t="shared" si="4"/>
        <v xml:space="preserve">Porcentual </v>
      </c>
      <c r="CI38" s="327"/>
      <c r="CJ38" s="381">
        <v>5</v>
      </c>
      <c r="CK38" s="378" t="str">
        <f t="shared" si="6"/>
        <v>Delegatura Prestadores de Servicios en Salud</v>
      </c>
      <c r="CL38" s="378" t="str">
        <f t="shared" si="7"/>
        <v xml:space="preserve">Eventos de difusión, socialización y capacitación realizados en relación con las acciones y medidas especiales adoptadas a los Prestadores de Servicios de Salud-PSS de la Superintendencia Nacional de Salud </v>
      </c>
      <c r="CM38" s="378" t="str">
        <f t="shared" si="8"/>
        <v>Número de Eventos de difusión, socialización y capacitación realizados/Número de Eventos de difusión, socialización y capacitación programados</v>
      </c>
      <c r="CN38" s="390">
        <f t="shared" si="9"/>
        <v>5</v>
      </c>
      <c r="CO38" s="390">
        <f t="shared" si="10"/>
        <v>5</v>
      </c>
      <c r="CP38" s="387">
        <f t="shared" si="13"/>
        <v>1</v>
      </c>
      <c r="CQ38" s="379">
        <f t="shared" si="11"/>
        <v>1</v>
      </c>
      <c r="CR38" s="379" t="str">
        <f t="shared" si="12"/>
        <v>CUMPLIO</v>
      </c>
      <c r="DB38" s="272"/>
      <c r="DC38" s="381"/>
      <c r="DD38" s="381"/>
      <c r="DE38" s="381"/>
      <c r="DF38" s="381"/>
      <c r="DG38" s="381"/>
    </row>
    <row r="39" spans="1:111" s="83" customFormat="1" ht="127.5" customHeight="1" thickTop="1" thickBot="1">
      <c r="A39" s="83" t="s">
        <v>392</v>
      </c>
      <c r="B39" s="75" t="s">
        <v>198</v>
      </c>
      <c r="C39" s="75" t="s">
        <v>856</v>
      </c>
      <c r="D39" s="97" t="s">
        <v>857</v>
      </c>
      <c r="E39" s="76" t="s">
        <v>858</v>
      </c>
      <c r="F39" s="76" t="s">
        <v>1045</v>
      </c>
      <c r="G39" s="76" t="s">
        <v>1010</v>
      </c>
      <c r="H39" s="76" t="s">
        <v>893</v>
      </c>
      <c r="I39" s="77" t="s">
        <v>1046</v>
      </c>
      <c r="J39" s="77" t="s">
        <v>1047</v>
      </c>
      <c r="K39" s="77" t="s">
        <v>1048</v>
      </c>
      <c r="L39" s="77" t="s">
        <v>1049</v>
      </c>
      <c r="M39" s="77" t="s">
        <v>1050</v>
      </c>
      <c r="N39" s="76" t="s">
        <v>392</v>
      </c>
      <c r="O39" s="77" t="s">
        <v>1051</v>
      </c>
      <c r="P39" s="77" t="s">
        <v>1052</v>
      </c>
      <c r="Q39" s="77" t="s">
        <v>1053</v>
      </c>
      <c r="R39" s="77" t="s">
        <v>1054</v>
      </c>
      <c r="S39" s="77" t="s">
        <v>1055</v>
      </c>
      <c r="T39" s="76" t="s">
        <v>892</v>
      </c>
      <c r="U39" s="76" t="s">
        <v>871</v>
      </c>
      <c r="V39" s="76" t="s">
        <v>872</v>
      </c>
      <c r="W39" s="78" t="s">
        <v>1056</v>
      </c>
      <c r="X39" s="304">
        <v>1</v>
      </c>
      <c r="Y39" s="77" t="s">
        <v>1057</v>
      </c>
      <c r="Z39" s="77" t="s">
        <v>1057</v>
      </c>
      <c r="AA39" s="78">
        <v>1</v>
      </c>
      <c r="AB39" s="77" t="s">
        <v>1057</v>
      </c>
      <c r="AC39" s="77" t="s">
        <v>1057</v>
      </c>
      <c r="AD39" s="78">
        <v>1</v>
      </c>
      <c r="AE39" s="77" t="s">
        <v>1057</v>
      </c>
      <c r="AF39" s="77" t="s">
        <v>1057</v>
      </c>
      <c r="AG39" s="78">
        <v>1</v>
      </c>
      <c r="AH39" s="77" t="s">
        <v>1057</v>
      </c>
      <c r="AI39" s="77"/>
      <c r="AJ39" s="78">
        <v>1</v>
      </c>
      <c r="AK39" s="76" t="s">
        <v>873</v>
      </c>
      <c r="AL39" s="76" t="s">
        <v>873</v>
      </c>
      <c r="AM39" s="76" t="s">
        <v>873</v>
      </c>
      <c r="AN39" s="76" t="s">
        <v>873</v>
      </c>
      <c r="AO39" s="76" t="s">
        <v>1058</v>
      </c>
      <c r="AP39" s="82" t="s">
        <v>392</v>
      </c>
      <c r="AQ39" s="370">
        <f>+VLOOKUP(AP39,SharePoint!$BA$3:$BY$140,2,FALSE)</f>
        <v>0</v>
      </c>
      <c r="AR39" s="370">
        <f>+VLOOKUP(AP39,SharePoint!$BA$3:$BY$140,3,FALSE)</f>
        <v>0</v>
      </c>
      <c r="AS39" s="370">
        <f>+VLOOKUP(AP39,SharePoint!$BA$3:$BY$140,4,FALSE)</f>
        <v>746</v>
      </c>
      <c r="AT39" s="370">
        <f>+VLOOKUP(AP39,SharePoint!$BA$3:$BY$140,5,FALSE)</f>
        <v>0</v>
      </c>
      <c r="AU39" s="370">
        <f>+VLOOKUP(AP39,SharePoint!$BA$3:$BY$140,6,FALSE)</f>
        <v>0</v>
      </c>
      <c r="AV39" s="370">
        <f>+VLOOKUP(AP39,SharePoint!$BA$3:$BY$140,7,FALSE)</f>
        <v>0</v>
      </c>
      <c r="AW39" s="370">
        <f>+VLOOKUP(AP39,SharePoint!$BA$3:$BY$140,8,FALSE)</f>
        <v>0</v>
      </c>
      <c r="AX39" s="370">
        <f>+VLOOKUP(AP39,SharePoint!$BA$3:$BY$140,9,FALSE)</f>
        <v>0</v>
      </c>
      <c r="AY39" s="370">
        <f>+VLOOKUP(AP39,SharePoint!$BA$3:$BY$140,10,FALSE)</f>
        <v>85</v>
      </c>
      <c r="AZ39" s="370">
        <f>+VLOOKUP(AP39,SharePoint!$BA$3:$BY$140,11,FALSE)</f>
        <v>0</v>
      </c>
      <c r="BA39" s="370">
        <f>+VLOOKUP(AP39,SharePoint!$BA$3:$BY$140,12,FALSE)</f>
        <v>0</v>
      </c>
      <c r="BB39" s="370">
        <f>+VLOOKUP(AP39,SharePoint!$BA$3:$BY$140,13,FALSE)</f>
        <v>12</v>
      </c>
      <c r="BC39" s="226">
        <f>+VLOOKUP(AP39,SharePoint!$BA$3:$BY$140,14,FALSE)</f>
        <v>0</v>
      </c>
      <c r="BD39" s="226">
        <f>+VLOOKUP(AP39,SharePoint!$BA$3:$BY$140,15,FALSE)</f>
        <v>0</v>
      </c>
      <c r="BE39" s="226">
        <f>+VLOOKUP(AP39,SharePoint!$BA$3:$BY$140,16,FALSE)</f>
        <v>746</v>
      </c>
      <c r="BF39" s="226">
        <f>+VLOOKUP(AP39,SharePoint!$BA$3:$BY$140,17,FALSE)</f>
        <v>0</v>
      </c>
      <c r="BG39" s="226">
        <f>+VLOOKUP(AP39,SharePoint!$BA$3:$BY$140,18,FALSE)</f>
        <v>0</v>
      </c>
      <c r="BH39" s="226">
        <f>+VLOOKUP(AP39,SharePoint!$BA$3:$BY$140,19,FALSE)</f>
        <v>0</v>
      </c>
      <c r="BI39" s="226">
        <f>+VLOOKUP(AP39,SharePoint!$BA$3:$BY$140,20,FALSE)</f>
        <v>0</v>
      </c>
      <c r="BJ39" s="226">
        <f>+VLOOKUP(AP39,SharePoint!$BA$3:$BY$140,21,FALSE)</f>
        <v>0</v>
      </c>
      <c r="BK39" s="226">
        <f>+VLOOKUP(AP39,SharePoint!$BA$3:$BY$140,22,FALSE)</f>
        <v>102</v>
      </c>
      <c r="BL39" s="226">
        <f>+VLOOKUP(AP39,SharePoint!$BA$3:$BY$140,23,FALSE)</f>
        <v>0</v>
      </c>
      <c r="BM39" s="226">
        <f>+VLOOKUP(AP39,SharePoint!$BA$3:$BY$140,24,FALSE)</f>
        <v>0</v>
      </c>
      <c r="BN39" s="226">
        <f>+VLOOKUP(AP39,SharePoint!$BA$3:$BY$140,25,FALSE)</f>
        <v>17</v>
      </c>
      <c r="BO39" s="214" t="s">
        <v>873</v>
      </c>
      <c r="BP39" s="214" t="s">
        <v>873</v>
      </c>
      <c r="BQ39" s="215" t="s">
        <v>396</v>
      </c>
      <c r="BR39" s="214" t="s">
        <v>873</v>
      </c>
      <c r="BS39" s="214" t="s">
        <v>873</v>
      </c>
      <c r="BT39" s="215" t="s">
        <v>648</v>
      </c>
      <c r="BU39" s="214" t="s">
        <v>873</v>
      </c>
      <c r="BV39" s="214" t="s">
        <v>873</v>
      </c>
      <c r="BW39" s="214" t="s">
        <v>2859</v>
      </c>
      <c r="BX39" s="214" t="s">
        <v>875</v>
      </c>
      <c r="BY39" s="214" t="s">
        <v>875</v>
      </c>
      <c r="BZ39" s="214" t="s">
        <v>3377</v>
      </c>
      <c r="CA39" s="449">
        <v>2</v>
      </c>
      <c r="CB39" s="339" t="s">
        <v>3451</v>
      </c>
      <c r="CC39" s="359">
        <f t="shared" si="0"/>
        <v>843</v>
      </c>
      <c r="CD39" s="359">
        <f t="shared" si="1"/>
        <v>865</v>
      </c>
      <c r="CE39" s="382">
        <f t="shared" si="2"/>
        <v>0.97456647398843932</v>
      </c>
      <c r="CF39" s="382">
        <f t="shared" si="3"/>
        <v>1</v>
      </c>
      <c r="CG39" s="327" t="s">
        <v>3511</v>
      </c>
      <c r="CH39" s="327" t="str">
        <f t="shared" si="4"/>
        <v xml:space="preserve">Porcentual </v>
      </c>
      <c r="CI39" s="327"/>
      <c r="CJ39" s="381">
        <v>1</v>
      </c>
      <c r="CK39" s="376" t="str">
        <f t="shared" si="6"/>
        <v xml:space="preserve">Delegatura para la Protección al Usuario </v>
      </c>
      <c r="CL39" s="376" t="str">
        <f t="shared" si="7"/>
        <v xml:space="preserve"> Porcentajes de reclamos en salud con seguimiento </v>
      </c>
      <c r="CM39" s="376" t="str">
        <f t="shared" si="8"/>
        <v xml:space="preserve">Reclamos en salud con seguimiento / total de reclamos no cerrados por el vigilados* 100 .   </v>
      </c>
      <c r="CN39" s="389">
        <f t="shared" si="9"/>
        <v>843</v>
      </c>
      <c r="CO39" s="389">
        <f t="shared" si="10"/>
        <v>865</v>
      </c>
      <c r="CP39" s="388">
        <f t="shared" si="13"/>
        <v>0.97456647398843932</v>
      </c>
      <c r="CQ39" s="377">
        <f t="shared" si="11"/>
        <v>1</v>
      </c>
      <c r="CR39" s="377" t="str">
        <f t="shared" si="12"/>
        <v>INCUMPLIO</v>
      </c>
      <c r="DB39" s="272"/>
      <c r="DC39" s="381"/>
      <c r="DD39" s="381"/>
      <c r="DE39" s="381"/>
      <c r="DF39" s="381"/>
      <c r="DG39" s="381"/>
    </row>
    <row r="40" spans="1:111" s="83" customFormat="1" ht="127.5" customHeight="1" thickTop="1" thickBot="1">
      <c r="A40" s="83" t="s">
        <v>435</v>
      </c>
      <c r="B40" s="75" t="s">
        <v>198</v>
      </c>
      <c r="C40" s="75" t="s">
        <v>856</v>
      </c>
      <c r="D40" s="97" t="s">
        <v>857</v>
      </c>
      <c r="E40" s="76" t="s">
        <v>858</v>
      </c>
      <c r="F40" s="76" t="s">
        <v>1045</v>
      </c>
      <c r="G40" s="76" t="s">
        <v>1010</v>
      </c>
      <c r="H40" s="76" t="s">
        <v>893</v>
      </c>
      <c r="I40" s="77" t="s">
        <v>1046</v>
      </c>
      <c r="J40" s="77" t="s">
        <v>1047</v>
      </c>
      <c r="K40" s="77" t="s">
        <v>1059</v>
      </c>
      <c r="L40" s="77" t="s">
        <v>1060</v>
      </c>
      <c r="M40" s="77" t="s">
        <v>1061</v>
      </c>
      <c r="N40" s="76" t="s">
        <v>435</v>
      </c>
      <c r="O40" s="77" t="s">
        <v>1062</v>
      </c>
      <c r="P40" s="77" t="s">
        <v>438</v>
      </c>
      <c r="Q40" s="77" t="s">
        <v>438</v>
      </c>
      <c r="R40" s="77" t="s">
        <v>876</v>
      </c>
      <c r="S40" s="77" t="s">
        <v>1063</v>
      </c>
      <c r="T40" s="76" t="s">
        <v>870</v>
      </c>
      <c r="U40" s="76" t="s">
        <v>157</v>
      </c>
      <c r="V40" s="76" t="s">
        <v>872</v>
      </c>
      <c r="W40" s="77" t="s">
        <v>1064</v>
      </c>
      <c r="X40" s="298">
        <v>282</v>
      </c>
      <c r="Y40" s="77" t="s">
        <v>1057</v>
      </c>
      <c r="Z40" s="77" t="s">
        <v>1057</v>
      </c>
      <c r="AA40" s="77">
        <v>70</v>
      </c>
      <c r="AB40" s="77" t="s">
        <v>1057</v>
      </c>
      <c r="AC40" s="77" t="s">
        <v>1057</v>
      </c>
      <c r="AD40" s="77">
        <v>70</v>
      </c>
      <c r="AE40" s="77" t="s">
        <v>1057</v>
      </c>
      <c r="AF40" s="77" t="s">
        <v>1057</v>
      </c>
      <c r="AG40" s="77">
        <v>72</v>
      </c>
      <c r="AH40" s="77"/>
      <c r="AI40" s="77" t="s">
        <v>1057</v>
      </c>
      <c r="AJ40" s="77">
        <v>70</v>
      </c>
      <c r="AK40" s="77" t="s">
        <v>1065</v>
      </c>
      <c r="AL40" s="77" t="s">
        <v>1066</v>
      </c>
      <c r="AM40" s="77" t="s">
        <v>1067</v>
      </c>
      <c r="AN40" s="93">
        <v>1286000000</v>
      </c>
      <c r="AO40" s="76" t="s">
        <v>1058</v>
      </c>
      <c r="AP40" s="82" t="s">
        <v>435</v>
      </c>
      <c r="AQ40" s="370">
        <f>+VLOOKUP(AP40,SharePoint!$BA$3:$BY$140,2,FALSE)</f>
        <v>0</v>
      </c>
      <c r="AR40" s="370">
        <f>+VLOOKUP(AP40,SharePoint!$BA$3:$BY$140,3,FALSE)</f>
        <v>0</v>
      </c>
      <c r="AS40" s="370">
        <f>+VLOOKUP(AP40,SharePoint!$BA$3:$BY$140,4,FALSE)</f>
        <v>79</v>
      </c>
      <c r="AT40" s="370">
        <f>+VLOOKUP(AP40,SharePoint!$BA$3:$BY$140,5,FALSE)</f>
        <v>0</v>
      </c>
      <c r="AU40" s="370">
        <f>+VLOOKUP(AP40,SharePoint!$BA$3:$BY$140,6,FALSE)</f>
        <v>0</v>
      </c>
      <c r="AV40" s="370">
        <f>+VLOOKUP(AP40,SharePoint!$BA$3:$BY$140,7,FALSE)</f>
        <v>70</v>
      </c>
      <c r="AW40" s="370">
        <f>+VLOOKUP(AP40,SharePoint!$BA$3:$BY$140,8,FALSE)</f>
        <v>0</v>
      </c>
      <c r="AX40" s="370">
        <f>+VLOOKUP(AP40,SharePoint!$BA$3:$BY$140,9,FALSE)</f>
        <v>0</v>
      </c>
      <c r="AY40" s="370">
        <f>+VLOOKUP(AP40,SharePoint!$BA$3:$BY$140,10,FALSE)</f>
        <v>91</v>
      </c>
      <c r="AZ40" s="370">
        <f>+VLOOKUP(AP40,SharePoint!$BA$3:$BY$140,11,FALSE)</f>
        <v>0</v>
      </c>
      <c r="BA40" s="370">
        <f>+VLOOKUP(AP40,SharePoint!$BA$3:$BY$140,12,FALSE)</f>
        <v>0</v>
      </c>
      <c r="BB40" s="370">
        <f>+VLOOKUP(AP40,SharePoint!$BA$3:$BY$140,13,FALSE)</f>
        <v>100</v>
      </c>
      <c r="BC40" s="226">
        <f>+VLOOKUP(AP40,SharePoint!$BA$3:$BY$140,14,FALSE)</f>
        <v>0</v>
      </c>
      <c r="BD40" s="226">
        <f>+VLOOKUP(AP40,SharePoint!$BA$3:$BY$140,15,FALSE)</f>
        <v>0</v>
      </c>
      <c r="BE40" s="226">
        <f>+VLOOKUP(AP40,SharePoint!$BA$3:$BY$140,16,FALSE)</f>
        <v>70</v>
      </c>
      <c r="BF40" s="226">
        <f>+VLOOKUP(AP40,SharePoint!$BA$3:$BY$140,17,FALSE)</f>
        <v>0</v>
      </c>
      <c r="BG40" s="226">
        <f>+VLOOKUP(AP40,SharePoint!$BA$3:$BY$140,18,FALSE)</f>
        <v>0</v>
      </c>
      <c r="BH40" s="226">
        <f>+VLOOKUP(AP40,SharePoint!$BA$3:$BY$140,19,FALSE)</f>
        <v>70</v>
      </c>
      <c r="BI40" s="226">
        <f>+VLOOKUP(AP40,SharePoint!$BA$3:$BY$140,20,FALSE)</f>
        <v>0</v>
      </c>
      <c r="BJ40" s="226">
        <f>+VLOOKUP(AP40,SharePoint!$BA$3:$BY$140,21,FALSE)</f>
        <v>0</v>
      </c>
      <c r="BK40" s="226">
        <f>+VLOOKUP(AP40,SharePoint!$BA$3:$BY$140,22,FALSE)</f>
        <v>72</v>
      </c>
      <c r="BL40" s="226">
        <f>+VLOOKUP(AP40,SharePoint!$BA$3:$BY$140,23,FALSE)</f>
        <v>0</v>
      </c>
      <c r="BM40" s="226">
        <f>+VLOOKUP(AP40,SharePoint!$BA$3:$BY$140,24,FALSE)</f>
        <v>0</v>
      </c>
      <c r="BN40" s="226">
        <f>+VLOOKUP(AP40,SharePoint!$BA$3:$BY$140,25,FALSE)</f>
        <v>70</v>
      </c>
      <c r="BO40" s="214" t="s">
        <v>873</v>
      </c>
      <c r="BP40" s="214" t="s">
        <v>873</v>
      </c>
      <c r="BQ40" s="215" t="s">
        <v>439</v>
      </c>
      <c r="BR40" s="214" t="s">
        <v>873</v>
      </c>
      <c r="BS40" s="214" t="s">
        <v>873</v>
      </c>
      <c r="BT40" s="215" t="s">
        <v>656</v>
      </c>
      <c r="BU40" s="214" t="s">
        <v>873</v>
      </c>
      <c r="BV40" s="214" t="s">
        <v>873</v>
      </c>
      <c r="BW40" s="214" t="s">
        <v>3125</v>
      </c>
      <c r="BX40" s="214" t="s">
        <v>875</v>
      </c>
      <c r="BY40" s="214" t="s">
        <v>875</v>
      </c>
      <c r="BZ40" s="214" t="s">
        <v>3376</v>
      </c>
      <c r="CA40" s="449">
        <v>2</v>
      </c>
      <c r="CB40" s="420" t="s">
        <v>3431</v>
      </c>
      <c r="CC40" s="359">
        <f t="shared" si="0"/>
        <v>340</v>
      </c>
      <c r="CD40" s="359">
        <f t="shared" si="1"/>
        <v>282</v>
      </c>
      <c r="CE40" s="343">
        <f t="shared" si="2"/>
        <v>1.2056737588652482</v>
      </c>
      <c r="CF40" s="381">
        <f t="shared" si="3"/>
        <v>282</v>
      </c>
      <c r="CG40" s="327" t="s">
        <v>3510</v>
      </c>
      <c r="CH40" s="327" t="str">
        <f t="shared" si="4"/>
        <v>Numérica</v>
      </c>
      <c r="CI40" s="327"/>
      <c r="CJ40" s="381">
        <v>2</v>
      </c>
      <c r="CK40" s="378" t="str">
        <f t="shared" si="6"/>
        <v xml:space="preserve">Delegatura para la Protección al Usuario </v>
      </c>
      <c r="CL40" s="378" t="str">
        <f t="shared" si="7"/>
        <v xml:space="preserve">Promoción de los derechos y deberes en salud y mecanismos de participación ciudadana en salud a la ciudadanía.                  </v>
      </c>
      <c r="CM40" s="378" t="str">
        <f t="shared" si="8"/>
        <v>Número de actividades que promueven el ejercicio de derechos y deberes y mecanismos de participación ciudadana en salud para ciudadanía en general desarrollados en el periodo..</v>
      </c>
      <c r="CN40" s="390">
        <f t="shared" si="9"/>
        <v>340</v>
      </c>
      <c r="CO40" s="390">
        <f t="shared" si="10"/>
        <v>282</v>
      </c>
      <c r="CP40" s="387">
        <f t="shared" si="13"/>
        <v>1.2056737588652482</v>
      </c>
      <c r="CQ40" s="378">
        <f t="shared" si="11"/>
        <v>282</v>
      </c>
      <c r="CR40" s="379" t="str">
        <f t="shared" si="12"/>
        <v>SOBRECUMPLIO</v>
      </c>
      <c r="DB40" s="272"/>
      <c r="DC40" s="381"/>
      <c r="DD40" s="381"/>
      <c r="DE40" s="381"/>
      <c r="DF40" s="381"/>
      <c r="DG40" s="381"/>
    </row>
    <row r="41" spans="1:111" s="83" customFormat="1" ht="127.5" customHeight="1" thickTop="1" thickBot="1">
      <c r="A41" s="83" t="s">
        <v>440</v>
      </c>
      <c r="B41" s="75" t="s">
        <v>198</v>
      </c>
      <c r="C41" s="97" t="s">
        <v>938</v>
      </c>
      <c r="D41" s="97" t="s">
        <v>857</v>
      </c>
      <c r="E41" s="76" t="s">
        <v>858</v>
      </c>
      <c r="F41" s="76" t="s">
        <v>1068</v>
      </c>
      <c r="G41" s="76" t="s">
        <v>197</v>
      </c>
      <c r="H41" s="76" t="s">
        <v>893</v>
      </c>
      <c r="I41" s="77" t="s">
        <v>1046</v>
      </c>
      <c r="J41" s="77" t="s">
        <v>1047</v>
      </c>
      <c r="K41" s="77" t="s">
        <v>1048</v>
      </c>
      <c r="L41" s="77" t="s">
        <v>1060</v>
      </c>
      <c r="M41" s="77" t="s">
        <v>441</v>
      </c>
      <c r="N41" s="76" t="s">
        <v>440</v>
      </c>
      <c r="O41" s="77" t="s">
        <v>1069</v>
      </c>
      <c r="P41" s="77" t="s">
        <v>443</v>
      </c>
      <c r="Q41" s="77" t="s">
        <v>443</v>
      </c>
      <c r="R41" s="77" t="s">
        <v>876</v>
      </c>
      <c r="S41" s="77" t="s">
        <v>1070</v>
      </c>
      <c r="T41" s="76" t="s">
        <v>870</v>
      </c>
      <c r="U41" s="76" t="s">
        <v>157</v>
      </c>
      <c r="V41" s="76" t="s">
        <v>872</v>
      </c>
      <c r="W41" s="77">
        <v>0</v>
      </c>
      <c r="X41" s="298">
        <v>30</v>
      </c>
      <c r="Y41" s="77" t="s">
        <v>1057</v>
      </c>
      <c r="Z41" s="77" t="s">
        <v>1057</v>
      </c>
      <c r="AA41" s="77">
        <v>5</v>
      </c>
      <c r="AB41" s="77" t="s">
        <v>1057</v>
      </c>
      <c r="AC41" s="77" t="s">
        <v>1057</v>
      </c>
      <c r="AD41" s="77">
        <v>10</v>
      </c>
      <c r="AE41" s="77" t="s">
        <v>1057</v>
      </c>
      <c r="AF41" s="77" t="s">
        <v>1057</v>
      </c>
      <c r="AG41" s="77">
        <v>10</v>
      </c>
      <c r="AH41" s="77" t="s">
        <v>1057</v>
      </c>
      <c r="AI41" s="77" t="s">
        <v>1057</v>
      </c>
      <c r="AJ41" s="77">
        <v>5</v>
      </c>
      <c r="AK41" s="76" t="s">
        <v>873</v>
      </c>
      <c r="AL41" s="76" t="s">
        <v>873</v>
      </c>
      <c r="AM41" s="76" t="s">
        <v>873</v>
      </c>
      <c r="AN41" s="76" t="s">
        <v>873</v>
      </c>
      <c r="AO41" s="76" t="s">
        <v>1058</v>
      </c>
      <c r="AP41" s="82" t="s">
        <v>440</v>
      </c>
      <c r="AQ41" s="370">
        <f>+VLOOKUP(AP41,SharePoint!$BA$3:$BY$140,2,FALSE)</f>
        <v>0</v>
      </c>
      <c r="AR41" s="370">
        <f>+VLOOKUP(AP41,SharePoint!$BA$3:$BY$140,3,FALSE)</f>
        <v>0</v>
      </c>
      <c r="AS41" s="370">
        <f>+VLOOKUP(AP41,SharePoint!$BA$3:$BY$140,4,FALSE)</f>
        <v>7</v>
      </c>
      <c r="AT41" s="370">
        <f>+VLOOKUP(AP41,SharePoint!$BA$3:$BY$140,5,FALSE)</f>
        <v>0</v>
      </c>
      <c r="AU41" s="370">
        <f>+VLOOKUP(AP41,SharePoint!$BA$3:$BY$140,6,FALSE)</f>
        <v>0</v>
      </c>
      <c r="AV41" s="370">
        <f>+VLOOKUP(AP41,SharePoint!$BA$3:$BY$140,7,FALSE)</f>
        <v>11</v>
      </c>
      <c r="AW41" s="370">
        <f>+VLOOKUP(AP41,SharePoint!$BA$3:$BY$140,8,FALSE)</f>
        <v>0</v>
      </c>
      <c r="AX41" s="370">
        <f>+VLOOKUP(AP41,SharePoint!$BA$3:$BY$140,9,FALSE)</f>
        <v>0</v>
      </c>
      <c r="AY41" s="370">
        <f>+VLOOKUP(AP41,SharePoint!$BA$3:$BY$140,10,FALSE)</f>
        <v>10</v>
      </c>
      <c r="AZ41" s="370">
        <f>+VLOOKUP(AP41,SharePoint!$BA$3:$BY$140,11,FALSE)</f>
        <v>0</v>
      </c>
      <c r="BA41" s="370">
        <f>+VLOOKUP(AP41,SharePoint!$BA$3:$BY$140,12,FALSE)</f>
        <v>0</v>
      </c>
      <c r="BB41" s="370">
        <f>+VLOOKUP(AP41,SharePoint!$BA$3:$BY$140,13,FALSE)</f>
        <v>13</v>
      </c>
      <c r="BC41" s="226">
        <f>+VLOOKUP(AP41,SharePoint!$BA$3:$BY$140,14,FALSE)</f>
        <v>0</v>
      </c>
      <c r="BD41" s="226">
        <f>+VLOOKUP(AP41,SharePoint!$BA$3:$BY$140,15,FALSE)</f>
        <v>0</v>
      </c>
      <c r="BE41" s="226">
        <f>+VLOOKUP(AP41,SharePoint!$BA$3:$BY$140,16,FALSE)</f>
        <v>5</v>
      </c>
      <c r="BF41" s="226">
        <f>+VLOOKUP(AP41,SharePoint!$BA$3:$BY$140,17,FALSE)</f>
        <v>0</v>
      </c>
      <c r="BG41" s="226">
        <f>+VLOOKUP(AP41,SharePoint!$BA$3:$BY$140,18,FALSE)</f>
        <v>0</v>
      </c>
      <c r="BH41" s="226">
        <f>+VLOOKUP(AP41,SharePoint!$BA$3:$BY$140,19,FALSE)</f>
        <v>10</v>
      </c>
      <c r="BI41" s="226">
        <f>+VLOOKUP(AP41,SharePoint!$BA$3:$BY$140,20,FALSE)</f>
        <v>0</v>
      </c>
      <c r="BJ41" s="226">
        <f>+VLOOKUP(AP41,SharePoint!$BA$3:$BY$140,21,FALSE)</f>
        <v>0</v>
      </c>
      <c r="BK41" s="226">
        <f>+VLOOKUP(AP41,SharePoint!$BA$3:$BY$140,22,FALSE)</f>
        <v>10</v>
      </c>
      <c r="BL41" s="226">
        <f>+VLOOKUP(AP41,SharePoint!$BA$3:$BY$140,23,FALSE)</f>
        <v>0</v>
      </c>
      <c r="BM41" s="226">
        <f>+VLOOKUP(AP41,SharePoint!$BA$3:$BY$140,24,FALSE)</f>
        <v>0</v>
      </c>
      <c r="BN41" s="226">
        <f>+VLOOKUP(AP41,SharePoint!$BA$3:$BY$140,25,FALSE)</f>
        <v>5</v>
      </c>
      <c r="BO41" s="214" t="s">
        <v>873</v>
      </c>
      <c r="BP41" s="214" t="s">
        <v>873</v>
      </c>
      <c r="BQ41" s="215" t="s">
        <v>3049</v>
      </c>
      <c r="BR41" s="214" t="s">
        <v>873</v>
      </c>
      <c r="BS41" s="214" t="s">
        <v>873</v>
      </c>
      <c r="BT41" s="215" t="s">
        <v>2996</v>
      </c>
      <c r="BU41" s="214" t="s">
        <v>873</v>
      </c>
      <c r="BV41" s="214" t="s">
        <v>873</v>
      </c>
      <c r="BW41" s="214" t="s">
        <v>3126</v>
      </c>
      <c r="BX41" s="214" t="s">
        <v>875</v>
      </c>
      <c r="BY41" s="214" t="s">
        <v>875</v>
      </c>
      <c r="BZ41" s="214" t="s">
        <v>3378</v>
      </c>
      <c r="CA41" s="449">
        <v>2</v>
      </c>
      <c r="CB41" s="420" t="s">
        <v>3432</v>
      </c>
      <c r="CC41" s="359">
        <f t="shared" si="0"/>
        <v>41</v>
      </c>
      <c r="CD41" s="359">
        <f t="shared" si="1"/>
        <v>30</v>
      </c>
      <c r="CE41" s="343">
        <f t="shared" si="2"/>
        <v>1.3666666666666667</v>
      </c>
      <c r="CF41" s="381">
        <f t="shared" si="3"/>
        <v>30</v>
      </c>
      <c r="CG41" s="327" t="s">
        <v>3510</v>
      </c>
      <c r="CH41" s="327" t="str">
        <f t="shared" si="4"/>
        <v>Numérica</v>
      </c>
      <c r="CI41" s="327"/>
      <c r="CJ41" s="381">
        <v>3</v>
      </c>
      <c r="CK41" s="376" t="str">
        <f t="shared" si="6"/>
        <v xml:space="preserve">Delegatura para la Protección al Usuario </v>
      </c>
      <c r="CL41" s="376" t="str">
        <f t="shared" si="7"/>
        <v xml:space="preserve">Actividades desarrolladas en el ámbito de la política de servicio al ciudadano </v>
      </c>
      <c r="CM41" s="376" t="str">
        <f t="shared" si="8"/>
        <v>Número total de actividades desarrolladas en el periodo.</v>
      </c>
      <c r="CN41" s="389">
        <f t="shared" si="9"/>
        <v>41</v>
      </c>
      <c r="CO41" s="389">
        <f t="shared" si="10"/>
        <v>30</v>
      </c>
      <c r="CP41" s="388">
        <f t="shared" si="13"/>
        <v>1.3666666666666667</v>
      </c>
      <c r="CQ41" s="376">
        <f t="shared" si="11"/>
        <v>30</v>
      </c>
      <c r="CR41" s="377" t="str">
        <f t="shared" si="12"/>
        <v>SOBRECUMPLIO</v>
      </c>
      <c r="DB41" s="272"/>
      <c r="DC41" s="381"/>
      <c r="DD41" s="381"/>
      <c r="DE41" s="381"/>
      <c r="DF41" s="381"/>
      <c r="DG41" s="381"/>
    </row>
    <row r="42" spans="1:111" s="83" customFormat="1" ht="127.5" customHeight="1" thickTop="1" thickBot="1">
      <c r="A42" s="83" t="s">
        <v>214</v>
      </c>
      <c r="B42" s="97" t="s">
        <v>198</v>
      </c>
      <c r="C42" s="97" t="s">
        <v>938</v>
      </c>
      <c r="D42" s="97" t="s">
        <v>903</v>
      </c>
      <c r="E42" s="77" t="s">
        <v>858</v>
      </c>
      <c r="F42" s="77" t="s">
        <v>1068</v>
      </c>
      <c r="G42" s="77" t="s">
        <v>189</v>
      </c>
      <c r="H42" s="77" t="s">
        <v>904</v>
      </c>
      <c r="I42" s="77" t="s">
        <v>905</v>
      </c>
      <c r="J42" s="169" t="s">
        <v>906</v>
      </c>
      <c r="K42" s="77" t="s">
        <v>1071</v>
      </c>
      <c r="L42" s="77" t="s">
        <v>875</v>
      </c>
      <c r="M42" s="77" t="s">
        <v>413</v>
      </c>
      <c r="N42" s="76" t="s">
        <v>214</v>
      </c>
      <c r="O42" s="77" t="s">
        <v>414</v>
      </c>
      <c r="P42" s="77" t="s">
        <v>1072</v>
      </c>
      <c r="Q42" s="77" t="s">
        <v>1072</v>
      </c>
      <c r="R42" s="77" t="s">
        <v>876</v>
      </c>
      <c r="S42" s="77" t="s">
        <v>1073</v>
      </c>
      <c r="T42" s="77" t="s">
        <v>870</v>
      </c>
      <c r="U42" s="77" t="s">
        <v>157</v>
      </c>
      <c r="V42" s="77" t="s">
        <v>872</v>
      </c>
      <c r="W42" s="98">
        <v>110</v>
      </c>
      <c r="X42" s="298">
        <v>120</v>
      </c>
      <c r="Y42" s="77"/>
      <c r="Z42" s="77"/>
      <c r="AA42" s="98">
        <v>27</v>
      </c>
      <c r="AB42" s="88"/>
      <c r="AC42" s="77"/>
      <c r="AD42" s="98">
        <v>38</v>
      </c>
      <c r="AE42" s="77"/>
      <c r="AF42" s="77"/>
      <c r="AG42" s="98">
        <v>27</v>
      </c>
      <c r="AH42" s="77"/>
      <c r="AI42" s="77"/>
      <c r="AJ42" s="98">
        <v>28</v>
      </c>
      <c r="AK42" s="77" t="s">
        <v>1065</v>
      </c>
      <c r="AL42" s="77" t="s">
        <v>1074</v>
      </c>
      <c r="AM42" s="77" t="s">
        <v>1067</v>
      </c>
      <c r="AN42" s="99">
        <v>73000000</v>
      </c>
      <c r="AO42" s="76" t="s">
        <v>1058</v>
      </c>
      <c r="AP42" s="82" t="s">
        <v>214</v>
      </c>
      <c r="AQ42" s="370">
        <f>+VLOOKUP(AP42,SharePoint!$BA$3:$BY$140,2,FALSE)</f>
        <v>0</v>
      </c>
      <c r="AR42" s="370">
        <f>+VLOOKUP(AP42,SharePoint!$BA$3:$BY$140,3,FALSE)</f>
        <v>0</v>
      </c>
      <c r="AS42" s="370">
        <f>+VLOOKUP(AP42,SharePoint!$BA$3:$BY$140,4,FALSE)</f>
        <v>33</v>
      </c>
      <c r="AT42" s="370">
        <f>+VLOOKUP(AP42,SharePoint!$BA$3:$BY$140,5,FALSE)</f>
        <v>0</v>
      </c>
      <c r="AU42" s="370">
        <f>+VLOOKUP(AP42,SharePoint!$BA$3:$BY$140,6,FALSE)</f>
        <v>0</v>
      </c>
      <c r="AV42" s="370">
        <f>+VLOOKUP(AP42,SharePoint!$BA$3:$BY$140,7,FALSE)</f>
        <v>33</v>
      </c>
      <c r="AW42" s="370">
        <f>+VLOOKUP(AP42,SharePoint!$BA$3:$BY$140,8,FALSE)</f>
        <v>0</v>
      </c>
      <c r="AX42" s="370">
        <f>+VLOOKUP(AP42,SharePoint!$BA$3:$BY$140,9,FALSE)</f>
        <v>0</v>
      </c>
      <c r="AY42" s="370">
        <f>+VLOOKUP(AP42,SharePoint!$BA$3:$BY$140,10,FALSE)</f>
        <v>26</v>
      </c>
      <c r="AZ42" s="370">
        <f>+VLOOKUP(AP42,SharePoint!$BA$3:$BY$140,11,FALSE)</f>
        <v>0</v>
      </c>
      <c r="BA42" s="370">
        <f>+VLOOKUP(AP42,SharePoint!$BA$3:$BY$140,12,FALSE)</f>
        <v>0</v>
      </c>
      <c r="BB42" s="370">
        <f>+VLOOKUP(AP42,SharePoint!$BA$3:$BY$140,13,FALSE)</f>
        <v>28</v>
      </c>
      <c r="BC42" s="226">
        <f>+VLOOKUP(AP42,SharePoint!$BA$3:$BY$140,14,FALSE)</f>
        <v>0</v>
      </c>
      <c r="BD42" s="226">
        <f>+VLOOKUP(AP42,SharePoint!$BA$3:$BY$140,15,FALSE)</f>
        <v>0</v>
      </c>
      <c r="BE42" s="226">
        <f>+VLOOKUP(AP42,SharePoint!$BA$3:$BY$140,16,FALSE)</f>
        <v>27</v>
      </c>
      <c r="BF42" s="226">
        <f>+VLOOKUP(AP42,SharePoint!$BA$3:$BY$140,17,FALSE)</f>
        <v>0</v>
      </c>
      <c r="BG42" s="226">
        <f>+VLOOKUP(AP42,SharePoint!$BA$3:$BY$140,18,FALSE)</f>
        <v>0</v>
      </c>
      <c r="BH42" s="226">
        <f>+VLOOKUP(AP42,SharePoint!$BA$3:$BY$140,19,FALSE)</f>
        <v>38</v>
      </c>
      <c r="BI42" s="226">
        <f>+VLOOKUP(AP42,SharePoint!$BA$3:$BY$140,20,FALSE)</f>
        <v>0</v>
      </c>
      <c r="BJ42" s="226">
        <f>+VLOOKUP(AP42,SharePoint!$BA$3:$BY$140,21,FALSE)</f>
        <v>0</v>
      </c>
      <c r="BK42" s="226">
        <f>+VLOOKUP(AP42,SharePoint!$BA$3:$BY$140,22,FALSE)</f>
        <v>27</v>
      </c>
      <c r="BL42" s="226">
        <f>+VLOOKUP(AP42,SharePoint!$BA$3:$BY$140,23,FALSE)</f>
        <v>0</v>
      </c>
      <c r="BM42" s="226">
        <f>+VLOOKUP(AP42,SharePoint!$BA$3:$BY$140,24,FALSE)</f>
        <v>0</v>
      </c>
      <c r="BN42" s="226">
        <f>+VLOOKUP(AP42,SharePoint!$BA$3:$BY$140,25,FALSE)</f>
        <v>28</v>
      </c>
      <c r="BO42" s="214" t="s">
        <v>873</v>
      </c>
      <c r="BP42" s="214" t="s">
        <v>873</v>
      </c>
      <c r="BQ42" s="215" t="s">
        <v>416</v>
      </c>
      <c r="BR42" s="214" t="s">
        <v>873</v>
      </c>
      <c r="BS42" s="214" t="s">
        <v>873</v>
      </c>
      <c r="BT42" s="215" t="s">
        <v>3050</v>
      </c>
      <c r="BU42" s="214" t="s">
        <v>873</v>
      </c>
      <c r="BV42" s="214" t="s">
        <v>873</v>
      </c>
      <c r="BW42" s="214" t="s">
        <v>3127</v>
      </c>
      <c r="BX42" s="214" t="s">
        <v>875</v>
      </c>
      <c r="BY42" s="214" t="s">
        <v>875</v>
      </c>
      <c r="BZ42" s="214" t="s">
        <v>3339</v>
      </c>
      <c r="CA42" s="449">
        <v>2</v>
      </c>
      <c r="CB42" s="373" t="s">
        <v>3433</v>
      </c>
      <c r="CC42" s="359">
        <f t="shared" si="0"/>
        <v>120</v>
      </c>
      <c r="CD42" s="359">
        <f t="shared" si="1"/>
        <v>120</v>
      </c>
      <c r="CE42" s="343">
        <f t="shared" si="2"/>
        <v>1</v>
      </c>
      <c r="CF42" s="381">
        <f t="shared" si="3"/>
        <v>120</v>
      </c>
      <c r="CG42" s="327" t="s">
        <v>3509</v>
      </c>
      <c r="CH42" s="327" t="str">
        <f t="shared" si="4"/>
        <v>Numérica</v>
      </c>
      <c r="CI42" s="327"/>
      <c r="CJ42" s="381">
        <v>4</v>
      </c>
      <c r="CK42" s="378" t="str">
        <f t="shared" si="6"/>
        <v xml:space="preserve">Delegatura para la Protección al Usuario </v>
      </c>
      <c r="CL42" s="378" t="str">
        <f t="shared" si="7"/>
        <v>Auditorías realizadas a los vigilados por parte de la Delegada de Protección al Usuario</v>
      </c>
      <c r="CM42" s="378" t="str">
        <f t="shared" si="8"/>
        <v xml:space="preserve"> Número de auditorías ejecutadas</v>
      </c>
      <c r="CN42" s="390">
        <f t="shared" si="9"/>
        <v>120</v>
      </c>
      <c r="CO42" s="390">
        <f t="shared" si="10"/>
        <v>120</v>
      </c>
      <c r="CP42" s="387">
        <f t="shared" si="13"/>
        <v>1</v>
      </c>
      <c r="CQ42" s="378">
        <f t="shared" si="11"/>
        <v>120</v>
      </c>
      <c r="CR42" s="379" t="str">
        <f t="shared" si="12"/>
        <v>CUMPLIO</v>
      </c>
      <c r="DB42" s="272"/>
      <c r="DC42" s="381"/>
      <c r="DD42" s="381"/>
      <c r="DE42" s="381"/>
      <c r="DF42" s="381"/>
      <c r="DG42" s="381"/>
    </row>
    <row r="43" spans="1:111" s="83" customFormat="1" ht="127.5" customHeight="1" thickTop="1" thickBot="1">
      <c r="A43" s="83" t="s">
        <v>418</v>
      </c>
      <c r="B43" s="75" t="s">
        <v>198</v>
      </c>
      <c r="C43" s="97" t="s">
        <v>938</v>
      </c>
      <c r="D43" s="97" t="s">
        <v>903</v>
      </c>
      <c r="E43" s="76" t="s">
        <v>858</v>
      </c>
      <c r="F43" s="76" t="s">
        <v>1068</v>
      </c>
      <c r="G43" s="76" t="s">
        <v>189</v>
      </c>
      <c r="H43" s="76" t="s">
        <v>860</v>
      </c>
      <c r="I43" s="77" t="s">
        <v>1046</v>
      </c>
      <c r="J43" s="77" t="s">
        <v>1047</v>
      </c>
      <c r="K43" s="97" t="s">
        <v>1075</v>
      </c>
      <c r="L43" s="77" t="s">
        <v>875</v>
      </c>
      <c r="M43" s="97" t="s">
        <v>1076</v>
      </c>
      <c r="N43" s="76" t="s">
        <v>418</v>
      </c>
      <c r="O43" s="77" t="s">
        <v>1077</v>
      </c>
      <c r="P43" s="97" t="s">
        <v>1078</v>
      </c>
      <c r="Q43" s="97" t="s">
        <v>1079</v>
      </c>
      <c r="R43" s="77" t="s">
        <v>876</v>
      </c>
      <c r="S43" s="97" t="s">
        <v>1080</v>
      </c>
      <c r="T43" s="76" t="s">
        <v>884</v>
      </c>
      <c r="U43" s="76" t="s">
        <v>871</v>
      </c>
      <c r="V43" s="76" t="s">
        <v>872</v>
      </c>
      <c r="W43" s="78">
        <v>0.85</v>
      </c>
      <c r="X43" s="297">
        <v>0.85</v>
      </c>
      <c r="Y43" s="77" t="s">
        <v>1057</v>
      </c>
      <c r="Z43" s="77" t="s">
        <v>1057</v>
      </c>
      <c r="AA43" s="78">
        <v>0.87</v>
      </c>
      <c r="AB43" s="77" t="s">
        <v>1057</v>
      </c>
      <c r="AC43" s="77" t="s">
        <v>1057</v>
      </c>
      <c r="AD43" s="78">
        <v>0.85</v>
      </c>
      <c r="AE43" s="77" t="s">
        <v>1057</v>
      </c>
      <c r="AF43" s="77" t="s">
        <v>1057</v>
      </c>
      <c r="AG43" s="78">
        <v>0.85</v>
      </c>
      <c r="AH43" s="77" t="s">
        <v>1057</v>
      </c>
      <c r="AI43" s="77" t="s">
        <v>1057</v>
      </c>
      <c r="AJ43" s="78">
        <v>0.85</v>
      </c>
      <c r="AK43" s="76" t="s">
        <v>873</v>
      </c>
      <c r="AL43" s="76" t="s">
        <v>873</v>
      </c>
      <c r="AM43" s="76" t="s">
        <v>873</v>
      </c>
      <c r="AN43" s="76" t="s">
        <v>873</v>
      </c>
      <c r="AO43" s="76" t="s">
        <v>1058</v>
      </c>
      <c r="AP43" s="82" t="s">
        <v>418</v>
      </c>
      <c r="AQ43" s="370">
        <f>+VLOOKUP(AP43,SharePoint!$BA$3:$BY$140,2,FALSE)</f>
        <v>0</v>
      </c>
      <c r="AR43" s="370">
        <f>+VLOOKUP(AP43,SharePoint!$BA$3:$BY$140,3,FALSE)</f>
        <v>0</v>
      </c>
      <c r="AS43" s="370">
        <f>+VLOOKUP(AP43,SharePoint!$BA$3:$BY$140,4,FALSE)</f>
        <v>134953</v>
      </c>
      <c r="AT43" s="370">
        <f>+VLOOKUP(AP43,SharePoint!$BA$3:$BY$140,5,FALSE)</f>
        <v>0</v>
      </c>
      <c r="AU43" s="370">
        <f>+VLOOKUP(AP43,SharePoint!$BA$3:$BY$140,6,FALSE)</f>
        <v>0</v>
      </c>
      <c r="AV43" s="370">
        <f>+VLOOKUP(AP43,SharePoint!$BA$3:$BY$140,7,FALSE)</f>
        <v>96046</v>
      </c>
      <c r="AW43" s="370">
        <f>+VLOOKUP(AP43,SharePoint!$BA$3:$BY$140,8,FALSE)</f>
        <v>0</v>
      </c>
      <c r="AX43" s="370">
        <f>+VLOOKUP(AP43,SharePoint!$BA$3:$BY$140,9,FALSE)</f>
        <v>0</v>
      </c>
      <c r="AY43" s="370">
        <f>+VLOOKUP(AP43,SharePoint!$BA$3:$BY$140,10,FALSE)</f>
        <v>80680</v>
      </c>
      <c r="AZ43" s="370">
        <f>+VLOOKUP(AP43,SharePoint!$BA$3:$BY$140,11,FALSE)</f>
        <v>0</v>
      </c>
      <c r="BA43" s="370">
        <f>+VLOOKUP(AP43,SharePoint!$BA$3:$BY$140,12,FALSE)</f>
        <v>0</v>
      </c>
      <c r="BB43" s="370">
        <f>+VLOOKUP(AP43,SharePoint!$BA$3:$BY$140,13,FALSE)</f>
        <v>181062</v>
      </c>
      <c r="BC43" s="226">
        <f>+VLOOKUP(AP43,SharePoint!$BA$3:$BY$140,14,FALSE)</f>
        <v>0</v>
      </c>
      <c r="BD43" s="226">
        <f>+VLOOKUP(AP43,SharePoint!$BA$3:$BY$140,15,FALSE)</f>
        <v>0</v>
      </c>
      <c r="BE43" s="226">
        <f>+VLOOKUP(AP43,SharePoint!$BA$3:$BY$140,16,FALSE)</f>
        <v>156221</v>
      </c>
      <c r="BF43" s="226">
        <f>+VLOOKUP(AP43,SharePoint!$BA$3:$BY$140,17,FALSE)</f>
        <v>0</v>
      </c>
      <c r="BG43" s="226">
        <f>+VLOOKUP(AP43,SharePoint!$BA$3:$BY$140,18,FALSE)</f>
        <v>0</v>
      </c>
      <c r="BH43" s="226">
        <f>+VLOOKUP(AP43,SharePoint!$BA$3:$BY$140,19,FALSE)</f>
        <v>111133</v>
      </c>
      <c r="BI43" s="226">
        <f>+VLOOKUP(AP43,SharePoint!$BA$3:$BY$140,20,FALSE)</f>
        <v>0</v>
      </c>
      <c r="BJ43" s="226">
        <f>+VLOOKUP(AP43,SharePoint!$BA$3:$BY$140,21,FALSE)</f>
        <v>0</v>
      </c>
      <c r="BK43" s="226">
        <f>+VLOOKUP(AP43,SharePoint!$BA$3:$BY$140,22,FALSE)</f>
        <v>99341</v>
      </c>
      <c r="BL43" s="226">
        <f>+VLOOKUP(AP43,SharePoint!$BA$3:$BY$140,23,FALSE)</f>
        <v>0</v>
      </c>
      <c r="BM43" s="226">
        <f>+VLOOKUP(AP43,SharePoint!$BA$3:$BY$140,24,FALSE)</f>
        <v>0</v>
      </c>
      <c r="BN43" s="226">
        <f>+VLOOKUP(AP43,SharePoint!$BA$3:$BY$140,25,FALSE)</f>
        <v>202681</v>
      </c>
      <c r="BO43" s="214" t="s">
        <v>873</v>
      </c>
      <c r="BP43" s="214" t="s">
        <v>873</v>
      </c>
      <c r="BQ43" s="215" t="s">
        <v>3051</v>
      </c>
      <c r="BR43" s="214" t="s">
        <v>873</v>
      </c>
      <c r="BS43" s="214" t="s">
        <v>873</v>
      </c>
      <c r="BT43" s="215" t="s">
        <v>2814</v>
      </c>
      <c r="BU43" s="214" t="s">
        <v>873</v>
      </c>
      <c r="BV43" s="214" t="s">
        <v>873</v>
      </c>
      <c r="BW43" s="214" t="s">
        <v>3128</v>
      </c>
      <c r="BX43" s="214" t="s">
        <v>875</v>
      </c>
      <c r="BY43" s="214" t="s">
        <v>875</v>
      </c>
      <c r="BZ43" s="214" t="s">
        <v>3375</v>
      </c>
      <c r="CA43" s="449">
        <v>2</v>
      </c>
      <c r="CB43" s="420" t="s">
        <v>3434</v>
      </c>
      <c r="CC43" s="359">
        <f t="shared" si="0"/>
        <v>492741</v>
      </c>
      <c r="CD43" s="359">
        <f t="shared" si="1"/>
        <v>569376</v>
      </c>
      <c r="CE43" s="382">
        <f t="shared" si="2"/>
        <v>0.8654052857865453</v>
      </c>
      <c r="CF43" s="382">
        <f t="shared" si="3"/>
        <v>0.85</v>
      </c>
      <c r="CG43" s="327" t="s">
        <v>3510</v>
      </c>
      <c r="CH43" s="327" t="str">
        <f t="shared" si="4"/>
        <v xml:space="preserve">Porcentual </v>
      </c>
      <c r="CI43" s="327"/>
      <c r="CJ43" s="381">
        <v>5</v>
      </c>
      <c r="CK43" s="376" t="str">
        <f t="shared" si="6"/>
        <v xml:space="preserve">Delegatura para la Protección al Usuario </v>
      </c>
      <c r="CL43" s="376" t="str">
        <f t="shared" si="7"/>
        <v xml:space="preserve">Medición de la percepción en canal telefonico y presencial de la SNS. </v>
      </c>
      <c r="CM43" s="376" t="str">
        <f t="shared" si="8"/>
        <v xml:space="preserve">Total de respuestas con calificación favorable (bueno y excelente) del instrumento de medición aplicado </v>
      </c>
      <c r="CN43" s="389">
        <f t="shared" si="9"/>
        <v>492741</v>
      </c>
      <c r="CO43" s="389">
        <f t="shared" si="10"/>
        <v>569376</v>
      </c>
      <c r="CP43" s="388">
        <f>+CN43/CO43</f>
        <v>0.8654052857865453</v>
      </c>
      <c r="CQ43" s="377">
        <f t="shared" si="11"/>
        <v>0.85</v>
      </c>
      <c r="CR43" s="377" t="str">
        <f t="shared" si="12"/>
        <v>SOBRECUMPLIO</v>
      </c>
      <c r="DB43" s="272"/>
      <c r="DC43" s="381"/>
      <c r="DD43" s="381"/>
      <c r="DE43" s="381"/>
      <c r="DF43" s="381"/>
      <c r="DG43" s="381"/>
    </row>
    <row r="44" spans="1:111" s="83" customFormat="1" ht="127.5" customHeight="1" thickTop="1" thickBot="1">
      <c r="A44" s="83" t="s">
        <v>573</v>
      </c>
      <c r="B44" s="75" t="s">
        <v>198</v>
      </c>
      <c r="C44" s="97" t="s">
        <v>938</v>
      </c>
      <c r="D44" s="97" t="s">
        <v>903</v>
      </c>
      <c r="E44" s="76" t="s">
        <v>858</v>
      </c>
      <c r="F44" s="76" t="s">
        <v>1068</v>
      </c>
      <c r="G44" s="76" t="s">
        <v>189</v>
      </c>
      <c r="H44" s="76" t="s">
        <v>860</v>
      </c>
      <c r="I44" s="77" t="s">
        <v>1046</v>
      </c>
      <c r="J44" s="77" t="s">
        <v>1047</v>
      </c>
      <c r="K44" s="97" t="s">
        <v>1081</v>
      </c>
      <c r="L44" s="97" t="s">
        <v>1060</v>
      </c>
      <c r="M44" s="77" t="s">
        <v>1082</v>
      </c>
      <c r="N44" s="76" t="s">
        <v>573</v>
      </c>
      <c r="O44" s="77" t="s">
        <v>661</v>
      </c>
      <c r="P44" s="77" t="s">
        <v>1083</v>
      </c>
      <c r="Q44" s="77" t="s">
        <v>1083</v>
      </c>
      <c r="R44" s="77" t="s">
        <v>876</v>
      </c>
      <c r="S44" s="77" t="s">
        <v>1084</v>
      </c>
      <c r="T44" s="76" t="s">
        <v>870</v>
      </c>
      <c r="U44" s="76" t="s">
        <v>157</v>
      </c>
      <c r="V44" s="76" t="s">
        <v>988</v>
      </c>
      <c r="W44" s="77">
        <v>0</v>
      </c>
      <c r="X44" s="298">
        <v>14</v>
      </c>
      <c r="Y44" s="77"/>
      <c r="Z44" s="77"/>
      <c r="AA44" s="77"/>
      <c r="AB44" s="77"/>
      <c r="AC44" s="77"/>
      <c r="AD44" s="77">
        <v>7</v>
      </c>
      <c r="AE44" s="77"/>
      <c r="AF44" s="77"/>
      <c r="AG44" s="77"/>
      <c r="AH44" s="77"/>
      <c r="AI44" s="77"/>
      <c r="AJ44" s="77">
        <v>7</v>
      </c>
      <c r="AK44" s="77" t="s">
        <v>1065</v>
      </c>
      <c r="AL44" s="77" t="s">
        <v>1085</v>
      </c>
      <c r="AM44" s="77" t="s">
        <v>1067</v>
      </c>
      <c r="AN44" s="100">
        <v>30000000</v>
      </c>
      <c r="AO44" s="76" t="s">
        <v>1058</v>
      </c>
      <c r="AP44" s="82" t="s">
        <v>573</v>
      </c>
      <c r="AQ44" s="370">
        <f>+VLOOKUP(AP44,SharePoint!$BA$3:$BY$140,2,FALSE)</f>
        <v>0</v>
      </c>
      <c r="AR44" s="370">
        <f>+VLOOKUP(AP44,SharePoint!$BA$3:$BY$140,3,FALSE)</f>
        <v>0</v>
      </c>
      <c r="AS44" s="370">
        <f>+VLOOKUP(AP44,SharePoint!$BA$3:$BY$140,4,FALSE)</f>
        <v>0</v>
      </c>
      <c r="AT44" s="370">
        <f>+VLOOKUP(AP44,SharePoint!$BA$3:$BY$140,5,FALSE)</f>
        <v>0</v>
      </c>
      <c r="AU44" s="370">
        <f>+VLOOKUP(AP44,SharePoint!$BA$3:$BY$140,6,FALSE)</f>
        <v>0</v>
      </c>
      <c r="AV44" s="370">
        <f>+VLOOKUP(AP44,SharePoint!$BA$3:$BY$140,7,FALSE)</f>
        <v>7</v>
      </c>
      <c r="AW44" s="370">
        <f>+VLOOKUP(AP44,SharePoint!$BA$3:$BY$140,8,FALSE)</f>
        <v>0</v>
      </c>
      <c r="AX44" s="370">
        <f>+VLOOKUP(AP44,SharePoint!$BA$3:$BY$140,9,FALSE)</f>
        <v>0</v>
      </c>
      <c r="AY44" s="370">
        <f>+VLOOKUP(AP44,SharePoint!$BA$3:$BY$140,10,FALSE)</f>
        <v>0</v>
      </c>
      <c r="AZ44" s="370">
        <f>+VLOOKUP(AP44,SharePoint!$BA$3:$BY$140,11,FALSE)</f>
        <v>0</v>
      </c>
      <c r="BA44" s="370">
        <f>+VLOOKUP(AP44,SharePoint!$BA$3:$BY$140,12,FALSE)</f>
        <v>0</v>
      </c>
      <c r="BB44" s="370">
        <f>+VLOOKUP(AP44,SharePoint!$BA$3:$BY$140,13,FALSE)</f>
        <v>16</v>
      </c>
      <c r="BC44" s="226">
        <f>+VLOOKUP(AP44,SharePoint!$BA$3:$BY$140,14,FALSE)</f>
        <v>0</v>
      </c>
      <c r="BD44" s="226">
        <f>+VLOOKUP(AP44,SharePoint!$BA$3:$BY$140,15,FALSE)</f>
        <v>0</v>
      </c>
      <c r="BE44" s="226">
        <f>+VLOOKUP(AP44,SharePoint!$BA$3:$BY$140,16,FALSE)</f>
        <v>0</v>
      </c>
      <c r="BF44" s="226">
        <f>+VLOOKUP(AP44,SharePoint!$BA$3:$BY$140,17,FALSE)</f>
        <v>0</v>
      </c>
      <c r="BG44" s="226">
        <f>+VLOOKUP(AP44,SharePoint!$BA$3:$BY$140,18,FALSE)</f>
        <v>0</v>
      </c>
      <c r="BH44" s="226">
        <f>+VLOOKUP(AP44,SharePoint!$BA$3:$BY$140,19,FALSE)</f>
        <v>7</v>
      </c>
      <c r="BI44" s="226">
        <f>+VLOOKUP(AP44,SharePoint!$BA$3:$BY$140,20,FALSE)</f>
        <v>0</v>
      </c>
      <c r="BJ44" s="226">
        <f>+VLOOKUP(AP44,SharePoint!$BA$3:$BY$140,21,FALSE)</f>
        <v>0</v>
      </c>
      <c r="BK44" s="226">
        <f>+VLOOKUP(AP44,SharePoint!$BA$3:$BY$140,22,FALSE)</f>
        <v>0</v>
      </c>
      <c r="BL44" s="226">
        <f>+VLOOKUP(AP44,SharePoint!$BA$3:$BY$140,23,FALSE)</f>
        <v>0</v>
      </c>
      <c r="BM44" s="226">
        <f>+VLOOKUP(AP44,SharePoint!$BA$3:$BY$140,24,FALSE)</f>
        <v>0</v>
      </c>
      <c r="BN44" s="226">
        <f>+VLOOKUP(AP44,SharePoint!$BA$3:$BY$140,25,FALSE)</f>
        <v>7</v>
      </c>
      <c r="BO44" s="214" t="s">
        <v>873</v>
      </c>
      <c r="BP44" s="214" t="s">
        <v>873</v>
      </c>
      <c r="BQ44" s="214" t="s">
        <v>873</v>
      </c>
      <c r="BR44" s="214" t="s">
        <v>873</v>
      </c>
      <c r="BS44" s="214" t="s">
        <v>873</v>
      </c>
      <c r="BT44" s="215" t="s">
        <v>3052</v>
      </c>
      <c r="BU44" s="214" t="s">
        <v>873</v>
      </c>
      <c r="BV44" s="214" t="s">
        <v>873</v>
      </c>
      <c r="BW44" s="214" t="s">
        <v>873</v>
      </c>
      <c r="BX44" s="214" t="s">
        <v>875</v>
      </c>
      <c r="BY44" s="214" t="s">
        <v>875</v>
      </c>
      <c r="BZ44" s="214" t="s">
        <v>3197</v>
      </c>
      <c r="CA44" s="449">
        <v>2</v>
      </c>
      <c r="CB44" s="420" t="s">
        <v>3435</v>
      </c>
      <c r="CC44" s="359">
        <f t="shared" si="0"/>
        <v>23</v>
      </c>
      <c r="CD44" s="359">
        <f t="shared" si="1"/>
        <v>14</v>
      </c>
      <c r="CE44" s="343">
        <f t="shared" si="2"/>
        <v>1.6428571428571428</v>
      </c>
      <c r="CF44" s="381">
        <f t="shared" si="3"/>
        <v>14</v>
      </c>
      <c r="CG44" s="327" t="s">
        <v>3510</v>
      </c>
      <c r="CH44" s="327" t="str">
        <f t="shared" si="4"/>
        <v>Numérica</v>
      </c>
      <c r="CI44" s="327"/>
      <c r="CJ44" s="381">
        <v>1</v>
      </c>
      <c r="CK44" s="378" t="str">
        <f t="shared" si="6"/>
        <v xml:space="preserve">Delegatura para la Protección al Usuario </v>
      </c>
      <c r="CL44" s="378" t="str">
        <f t="shared" si="7"/>
        <v>Capacitaciones realizadas en  territorios cobijados por los programas de desarrollo con enfoque territorial PDET</v>
      </c>
      <c r="CM44" s="378" t="str">
        <f t="shared" si="8"/>
        <v xml:space="preserve"> Número de capacitaciones realizadas en  territorios cobijados por los programas de desarrollo con enfoque territorial PDET</v>
      </c>
      <c r="CN44" s="390">
        <f t="shared" si="9"/>
        <v>23</v>
      </c>
      <c r="CO44" s="390">
        <f t="shared" si="10"/>
        <v>14</v>
      </c>
      <c r="CP44" s="387">
        <f t="shared" si="13"/>
        <v>1.6428571428571428</v>
      </c>
      <c r="CQ44" s="378">
        <f t="shared" si="11"/>
        <v>14</v>
      </c>
      <c r="CR44" s="379" t="str">
        <f t="shared" si="12"/>
        <v>SOBRECUMPLIO</v>
      </c>
      <c r="DB44" s="272"/>
      <c r="DC44" s="381"/>
      <c r="DD44" s="381"/>
      <c r="DE44" s="381"/>
      <c r="DF44" s="381"/>
      <c r="DG44" s="381"/>
    </row>
    <row r="45" spans="1:111" s="83" customFormat="1" ht="127.5" customHeight="1" thickTop="1" thickBot="1">
      <c r="A45" s="83" t="s">
        <v>444</v>
      </c>
      <c r="B45" s="75" t="s">
        <v>198</v>
      </c>
      <c r="C45" s="97" t="s">
        <v>938</v>
      </c>
      <c r="D45" s="97" t="s">
        <v>903</v>
      </c>
      <c r="E45" s="76" t="s">
        <v>858</v>
      </c>
      <c r="F45" s="76" t="s">
        <v>1068</v>
      </c>
      <c r="G45" s="76" t="s">
        <v>189</v>
      </c>
      <c r="H45" s="75" t="s">
        <v>904</v>
      </c>
      <c r="I45" s="77" t="s">
        <v>1046</v>
      </c>
      <c r="J45" s="77" t="s">
        <v>1047</v>
      </c>
      <c r="K45" s="97" t="s">
        <v>1071</v>
      </c>
      <c r="L45" s="97" t="s">
        <v>1086</v>
      </c>
      <c r="M45" s="97" t="s">
        <v>1087</v>
      </c>
      <c r="N45" s="76" t="s">
        <v>444</v>
      </c>
      <c r="O45" s="97" t="s">
        <v>1088</v>
      </c>
      <c r="P45" s="97" t="s">
        <v>1089</v>
      </c>
      <c r="Q45" s="97" t="s">
        <v>1089</v>
      </c>
      <c r="R45" s="77" t="s">
        <v>876</v>
      </c>
      <c r="S45" s="97" t="s">
        <v>1090</v>
      </c>
      <c r="T45" s="76" t="s">
        <v>892</v>
      </c>
      <c r="U45" s="76" t="s">
        <v>871</v>
      </c>
      <c r="V45" s="76" t="s">
        <v>872</v>
      </c>
      <c r="W45" s="84" t="s">
        <v>1091</v>
      </c>
      <c r="X45" s="305">
        <v>1</v>
      </c>
      <c r="Y45" s="101"/>
      <c r="Z45" s="101"/>
      <c r="AA45" s="102">
        <v>1</v>
      </c>
      <c r="AB45" s="101"/>
      <c r="AC45" s="101"/>
      <c r="AD45" s="102">
        <v>1</v>
      </c>
      <c r="AE45" s="101"/>
      <c r="AF45" s="101"/>
      <c r="AG45" s="102">
        <v>1</v>
      </c>
      <c r="AH45" s="101"/>
      <c r="AI45" s="101"/>
      <c r="AJ45" s="102">
        <v>1</v>
      </c>
      <c r="AK45" s="77" t="s">
        <v>1065</v>
      </c>
      <c r="AL45" s="77" t="s">
        <v>1092</v>
      </c>
      <c r="AM45" s="77" t="s">
        <v>1093</v>
      </c>
      <c r="AN45" s="100">
        <v>22929758548</v>
      </c>
      <c r="AO45" s="76" t="s">
        <v>1058</v>
      </c>
      <c r="AP45" s="82" t="s">
        <v>444</v>
      </c>
      <c r="AQ45" s="370">
        <f>+VLOOKUP(AP45,SharePoint!$BA$3:$BY$140,2,FALSE)</f>
        <v>0</v>
      </c>
      <c r="AR45" s="370">
        <f>+VLOOKUP(AP45,SharePoint!$BA$3:$BY$140,3,FALSE)</f>
        <v>0</v>
      </c>
      <c r="AS45" s="370">
        <f>+VLOOKUP(AP45,SharePoint!$BA$3:$BY$140,4,FALSE)</f>
        <v>427884</v>
      </c>
      <c r="AT45" s="370">
        <f>+VLOOKUP(AP45,SharePoint!$BA$3:$BY$140,5,FALSE)</f>
        <v>0</v>
      </c>
      <c r="AU45" s="370">
        <f>+VLOOKUP(AP45,SharePoint!$BA$3:$BY$140,6,FALSE)</f>
        <v>0</v>
      </c>
      <c r="AV45" s="370">
        <f>+VLOOKUP(AP45,SharePoint!$BA$3:$BY$140,7,FALSE)</f>
        <v>432616</v>
      </c>
      <c r="AW45" s="370">
        <f>+VLOOKUP(AP45,SharePoint!$BA$3:$BY$140,8,FALSE)</f>
        <v>0</v>
      </c>
      <c r="AX45" s="370">
        <f>+VLOOKUP(AP45,SharePoint!$BA$3:$BY$140,9,FALSE)</f>
        <v>0</v>
      </c>
      <c r="AY45" s="370">
        <f>+VLOOKUP(AP45,SharePoint!$BA$3:$BY$140,10,FALSE)</f>
        <v>504428</v>
      </c>
      <c r="AZ45" s="370">
        <f>+VLOOKUP(AP45,SharePoint!$BA$3:$BY$140,11,FALSE)</f>
        <v>0</v>
      </c>
      <c r="BA45" s="370">
        <f>+VLOOKUP(AP45,SharePoint!$BA$3:$BY$140,12,FALSE)</f>
        <v>0</v>
      </c>
      <c r="BB45" s="370">
        <f>+VLOOKUP(AP45,SharePoint!$BA$3:$BY$140,13,FALSE)</f>
        <v>458199</v>
      </c>
      <c r="BC45" s="226">
        <f>+VLOOKUP(AP45,SharePoint!$BA$3:$BY$140,14,FALSE)</f>
        <v>0</v>
      </c>
      <c r="BD45" s="226">
        <f>+VLOOKUP(AP45,SharePoint!$BA$3:$BY$140,15,FALSE)</f>
        <v>0</v>
      </c>
      <c r="BE45" s="226">
        <f>+VLOOKUP(AP45,SharePoint!$BA$3:$BY$140,16,FALSE)</f>
        <v>427884</v>
      </c>
      <c r="BF45" s="226">
        <f>+VLOOKUP(AP45,SharePoint!$BA$3:$BY$140,17,FALSE)</f>
        <v>0</v>
      </c>
      <c r="BG45" s="226">
        <f>+VLOOKUP(AP45,SharePoint!$BA$3:$BY$140,18,FALSE)</f>
        <v>0</v>
      </c>
      <c r="BH45" s="226">
        <f>+VLOOKUP(AP45,SharePoint!$BA$3:$BY$140,19,FALSE)</f>
        <v>432616</v>
      </c>
      <c r="BI45" s="226">
        <f>+VLOOKUP(AP45,SharePoint!$BA$3:$BY$140,20,FALSE)</f>
        <v>0</v>
      </c>
      <c r="BJ45" s="226">
        <f>+VLOOKUP(AP45,SharePoint!$BA$3:$BY$140,21,FALSE)</f>
        <v>0</v>
      </c>
      <c r="BK45" s="226">
        <f>+VLOOKUP(AP45,SharePoint!$BA$3:$BY$140,22,FALSE)</f>
        <v>504428</v>
      </c>
      <c r="BL45" s="226">
        <f>+VLOOKUP(AP45,SharePoint!$BA$3:$BY$140,23,FALSE)</f>
        <v>0</v>
      </c>
      <c r="BM45" s="226">
        <f>+VLOOKUP(AP45,SharePoint!$BA$3:$BY$140,24,FALSE)</f>
        <v>0</v>
      </c>
      <c r="BN45" s="226">
        <f>+VLOOKUP(AP45,SharePoint!$BA$3:$BY$140,25,FALSE)</f>
        <v>458199</v>
      </c>
      <c r="BO45" s="214" t="s">
        <v>873</v>
      </c>
      <c r="BP45" s="214" t="s">
        <v>873</v>
      </c>
      <c r="BQ45" s="215" t="s">
        <v>448</v>
      </c>
      <c r="BR45" s="214" t="s">
        <v>873</v>
      </c>
      <c r="BS45" s="214" t="s">
        <v>873</v>
      </c>
      <c r="BT45" s="215" t="s">
        <v>664</v>
      </c>
      <c r="BU45" s="214" t="s">
        <v>873</v>
      </c>
      <c r="BV45" s="214" t="s">
        <v>873</v>
      </c>
      <c r="BW45" s="214" t="s">
        <v>2865</v>
      </c>
      <c r="BX45" s="214" t="s">
        <v>875</v>
      </c>
      <c r="BY45" s="214" t="s">
        <v>875</v>
      </c>
      <c r="BZ45" s="214" t="s">
        <v>3201</v>
      </c>
      <c r="CA45" s="449">
        <v>1</v>
      </c>
      <c r="CB45" s="373" t="s">
        <v>3436</v>
      </c>
      <c r="CC45" s="359">
        <f t="shared" si="0"/>
        <v>1823127</v>
      </c>
      <c r="CD45" s="359">
        <f t="shared" si="1"/>
        <v>1823127</v>
      </c>
      <c r="CE45" s="382">
        <f t="shared" si="2"/>
        <v>1</v>
      </c>
      <c r="CF45" s="382">
        <f t="shared" si="3"/>
        <v>1</v>
      </c>
      <c r="CG45" s="327" t="s">
        <v>3509</v>
      </c>
      <c r="CH45" s="327" t="str">
        <f t="shared" si="4"/>
        <v xml:space="preserve">Porcentual </v>
      </c>
      <c r="CI45" s="327"/>
      <c r="CJ45" s="381">
        <v>2</v>
      </c>
      <c r="CK45" s="376" t="str">
        <f t="shared" si="6"/>
        <v xml:space="preserve">Delegatura para la Protección al Usuario </v>
      </c>
      <c r="CL45" s="376" t="str">
        <f t="shared" si="7"/>
        <v xml:space="preserve">Porcentaje de reclamos en salud radicados y gestionados a través del multicanal </v>
      </c>
      <c r="CM45" s="376" t="str">
        <f t="shared" si="8"/>
        <v>Número de reclamos en salud radicados y  gestionadas en el trimestre*</v>
      </c>
      <c r="CN45" s="389">
        <f t="shared" si="9"/>
        <v>1823127</v>
      </c>
      <c r="CO45" s="389">
        <f t="shared" si="10"/>
        <v>1823127</v>
      </c>
      <c r="CP45" s="388">
        <f t="shared" si="13"/>
        <v>1</v>
      </c>
      <c r="CQ45" s="377">
        <f t="shared" si="11"/>
        <v>1</v>
      </c>
      <c r="CR45" s="377" t="str">
        <f t="shared" si="12"/>
        <v>CUMPLIO</v>
      </c>
      <c r="DB45" s="272"/>
      <c r="DC45" s="381"/>
      <c r="DD45" s="381"/>
      <c r="DE45" s="381"/>
      <c r="DF45" s="381"/>
      <c r="DG45" s="381"/>
    </row>
    <row r="46" spans="1:111" s="83" customFormat="1" ht="127.5" customHeight="1" thickTop="1" thickBot="1">
      <c r="A46" s="83" t="s">
        <v>449</v>
      </c>
      <c r="B46" s="75" t="s">
        <v>198</v>
      </c>
      <c r="C46" s="97" t="s">
        <v>1094</v>
      </c>
      <c r="D46" s="97" t="s">
        <v>857</v>
      </c>
      <c r="E46" s="76" t="s">
        <v>858</v>
      </c>
      <c r="F46" s="76" t="s">
        <v>1045</v>
      </c>
      <c r="G46" s="76" t="s">
        <v>189</v>
      </c>
      <c r="H46" s="76" t="s">
        <v>904</v>
      </c>
      <c r="I46" s="77" t="s">
        <v>1046</v>
      </c>
      <c r="J46" s="77" t="s">
        <v>1047</v>
      </c>
      <c r="K46" s="77" t="s">
        <v>1071</v>
      </c>
      <c r="L46" s="77" t="s">
        <v>1086</v>
      </c>
      <c r="M46" s="77" t="s">
        <v>1095</v>
      </c>
      <c r="N46" s="76" t="s">
        <v>449</v>
      </c>
      <c r="O46" s="77" t="s">
        <v>451</v>
      </c>
      <c r="P46" s="77" t="s">
        <v>1089</v>
      </c>
      <c r="Q46" s="77" t="s">
        <v>1089</v>
      </c>
      <c r="R46" s="77" t="s">
        <v>876</v>
      </c>
      <c r="S46" s="77" t="s">
        <v>1096</v>
      </c>
      <c r="T46" s="77" t="s">
        <v>892</v>
      </c>
      <c r="U46" s="77" t="s">
        <v>871</v>
      </c>
      <c r="V46" s="77" t="s">
        <v>872</v>
      </c>
      <c r="W46" s="77" t="s">
        <v>1097</v>
      </c>
      <c r="X46" s="297">
        <v>1</v>
      </c>
      <c r="Y46" s="77" t="s">
        <v>1057</v>
      </c>
      <c r="Z46" s="77" t="s">
        <v>1057</v>
      </c>
      <c r="AA46" s="78">
        <v>1</v>
      </c>
      <c r="AB46" s="88"/>
      <c r="AC46" s="77" t="s">
        <v>1057</v>
      </c>
      <c r="AD46" s="78">
        <v>1</v>
      </c>
      <c r="AE46" s="77" t="s">
        <v>1057</v>
      </c>
      <c r="AF46" s="77" t="s">
        <v>1057</v>
      </c>
      <c r="AG46" s="78">
        <v>1</v>
      </c>
      <c r="AH46" s="77" t="s">
        <v>1057</v>
      </c>
      <c r="AI46" s="77" t="s">
        <v>1057</v>
      </c>
      <c r="AJ46" s="78">
        <v>1</v>
      </c>
      <c r="AK46" s="77" t="s">
        <v>1065</v>
      </c>
      <c r="AL46" s="76" t="s">
        <v>1098</v>
      </c>
      <c r="AM46" s="76" t="s">
        <v>873</v>
      </c>
      <c r="AN46" s="94">
        <v>8597285124</v>
      </c>
      <c r="AO46" s="76" t="s">
        <v>1058</v>
      </c>
      <c r="AP46" s="82" t="s">
        <v>449</v>
      </c>
      <c r="AQ46" s="370">
        <f>+VLOOKUP(AP46,SharePoint!$BA$3:$BY$140,2,FALSE)</f>
        <v>0</v>
      </c>
      <c r="AR46" s="370">
        <f>+VLOOKUP(AP46,SharePoint!$BA$3:$BY$140,3,FALSE)</f>
        <v>0</v>
      </c>
      <c r="AS46" s="370">
        <f>+VLOOKUP(AP46,SharePoint!$BA$3:$BY$140,4,FALSE)</f>
        <v>91364</v>
      </c>
      <c r="AT46" s="370">
        <f>+VLOOKUP(AP46,SharePoint!$BA$3:$BY$140,5,FALSE)</f>
        <v>0</v>
      </c>
      <c r="AU46" s="370">
        <f>+VLOOKUP(AP46,SharePoint!$BA$3:$BY$140,6,FALSE)</f>
        <v>0</v>
      </c>
      <c r="AV46" s="370">
        <f>+VLOOKUP(AP46,SharePoint!$BA$3:$BY$140,7,FALSE)</f>
        <v>87742</v>
      </c>
      <c r="AW46" s="370">
        <f>+VLOOKUP(AP46,SharePoint!$BA$3:$BY$140,8,FALSE)</f>
        <v>0</v>
      </c>
      <c r="AX46" s="370">
        <f>+VLOOKUP(AP46,SharePoint!$BA$3:$BY$140,9,FALSE)</f>
        <v>0</v>
      </c>
      <c r="AY46" s="370">
        <f>+VLOOKUP(AP46,SharePoint!$BA$3:$BY$140,10,FALSE)</f>
        <v>93348</v>
      </c>
      <c r="AZ46" s="370">
        <f>+VLOOKUP(AP46,SharePoint!$BA$3:$BY$140,11,FALSE)</f>
        <v>0</v>
      </c>
      <c r="BA46" s="370">
        <f>+VLOOKUP(AP46,SharePoint!$BA$3:$BY$140,12,FALSE)</f>
        <v>0</v>
      </c>
      <c r="BB46" s="370">
        <f>+VLOOKUP(AP46,SharePoint!$BA$3:$BY$140,13,FALSE)</f>
        <v>86630</v>
      </c>
      <c r="BC46" s="226">
        <f>+VLOOKUP(AP46,SharePoint!$BA$3:$BY$140,14,FALSE)</f>
        <v>0</v>
      </c>
      <c r="BD46" s="226">
        <f>+VLOOKUP(AP46,SharePoint!$BA$3:$BY$140,15,FALSE)</f>
        <v>0</v>
      </c>
      <c r="BE46" s="226">
        <f>+VLOOKUP(AP46,SharePoint!$BA$3:$BY$140,16,FALSE)</f>
        <v>91364</v>
      </c>
      <c r="BF46" s="226">
        <f>+VLOOKUP(AP46,SharePoint!$BA$3:$BY$140,17,FALSE)</f>
        <v>0</v>
      </c>
      <c r="BG46" s="226">
        <f>+VLOOKUP(AP46,SharePoint!$BA$3:$BY$140,18,FALSE)</f>
        <v>0</v>
      </c>
      <c r="BH46" s="226">
        <f>+VLOOKUP(AP46,SharePoint!$BA$3:$BY$140,19,FALSE)</f>
        <v>87742</v>
      </c>
      <c r="BI46" s="226">
        <f>+VLOOKUP(AP46,SharePoint!$BA$3:$BY$140,20,FALSE)</f>
        <v>0</v>
      </c>
      <c r="BJ46" s="226">
        <f>+VLOOKUP(AP46,SharePoint!$BA$3:$BY$140,21,FALSE)</f>
        <v>0</v>
      </c>
      <c r="BK46" s="226">
        <f>+VLOOKUP(AP46,SharePoint!$BA$3:$BY$140,22,FALSE)</f>
        <v>93348</v>
      </c>
      <c r="BL46" s="226">
        <f>+VLOOKUP(AP46,SharePoint!$BA$3:$BY$140,23,FALSE)</f>
        <v>0</v>
      </c>
      <c r="BM46" s="226">
        <f>+VLOOKUP(AP46,SharePoint!$BA$3:$BY$140,24,FALSE)</f>
        <v>0</v>
      </c>
      <c r="BN46" s="226">
        <f>+VLOOKUP(AP46,SharePoint!$BA$3:$BY$140,25,FALSE)</f>
        <v>86630</v>
      </c>
      <c r="BO46" s="214" t="s">
        <v>873</v>
      </c>
      <c r="BP46" s="214" t="s">
        <v>873</v>
      </c>
      <c r="BQ46" s="215" t="s">
        <v>452</v>
      </c>
      <c r="BR46" s="214" t="s">
        <v>873</v>
      </c>
      <c r="BS46" s="214" t="s">
        <v>873</v>
      </c>
      <c r="BT46" s="215" t="s">
        <v>666</v>
      </c>
      <c r="BU46" s="214" t="s">
        <v>873</v>
      </c>
      <c r="BV46" s="214" t="s">
        <v>873</v>
      </c>
      <c r="BW46" s="214" t="s">
        <v>2867</v>
      </c>
      <c r="BX46" s="214" t="s">
        <v>875</v>
      </c>
      <c r="BY46" s="214" t="s">
        <v>875</v>
      </c>
      <c r="BZ46" s="214" t="s">
        <v>3209</v>
      </c>
      <c r="CA46" s="449">
        <v>1</v>
      </c>
      <c r="CB46" s="373" t="s">
        <v>3437</v>
      </c>
      <c r="CC46" s="359">
        <f t="shared" si="0"/>
        <v>359084</v>
      </c>
      <c r="CD46" s="359">
        <f t="shared" si="1"/>
        <v>359084</v>
      </c>
      <c r="CE46" s="382">
        <f t="shared" si="2"/>
        <v>1</v>
      </c>
      <c r="CF46" s="382">
        <f t="shared" si="3"/>
        <v>1</v>
      </c>
      <c r="CG46" s="327" t="s">
        <v>3509</v>
      </c>
      <c r="CH46" s="327" t="str">
        <f t="shared" si="4"/>
        <v xml:space="preserve">Porcentual </v>
      </c>
      <c r="CI46" s="327"/>
      <c r="CJ46" s="381">
        <v>3</v>
      </c>
      <c r="CK46" s="378" t="str">
        <f t="shared" si="6"/>
        <v xml:space="preserve">Delegatura para la Protección al Usuario </v>
      </c>
      <c r="CL46" s="378" t="str">
        <f t="shared" si="7"/>
        <v>Porcentaje de reclamos en salud radicados y gestionados a través del canal presencial</v>
      </c>
      <c r="CM46" s="378" t="str">
        <f t="shared" si="8"/>
        <v>Número de reclamos en salud radicados y  gestionadas en el trimestre*</v>
      </c>
      <c r="CN46" s="390">
        <f t="shared" si="9"/>
        <v>359084</v>
      </c>
      <c r="CO46" s="390">
        <f t="shared" si="10"/>
        <v>359084</v>
      </c>
      <c r="CP46" s="387">
        <f t="shared" si="13"/>
        <v>1</v>
      </c>
      <c r="CQ46" s="379">
        <f t="shared" si="11"/>
        <v>1</v>
      </c>
      <c r="CR46" s="379" t="str">
        <f t="shared" si="12"/>
        <v>CUMPLIO</v>
      </c>
      <c r="DB46" s="272"/>
      <c r="DC46" s="381"/>
      <c r="DD46" s="381"/>
      <c r="DE46" s="381"/>
      <c r="DF46" s="381"/>
      <c r="DG46" s="381"/>
    </row>
    <row r="47" spans="1:111" s="83" customFormat="1" ht="127.5" customHeight="1" thickTop="1" thickBot="1">
      <c r="A47" s="83" t="s">
        <v>642</v>
      </c>
      <c r="B47" s="75" t="s">
        <v>198</v>
      </c>
      <c r="C47" s="97" t="s">
        <v>1094</v>
      </c>
      <c r="D47" s="97" t="s">
        <v>903</v>
      </c>
      <c r="E47" s="76" t="s">
        <v>858</v>
      </c>
      <c r="F47" s="76" t="s">
        <v>859</v>
      </c>
      <c r="G47" s="76" t="s">
        <v>189</v>
      </c>
      <c r="H47" s="75" t="s">
        <v>860</v>
      </c>
      <c r="I47" s="77" t="s">
        <v>861</v>
      </c>
      <c r="J47" s="76" t="s">
        <v>862</v>
      </c>
      <c r="K47" s="76" t="s">
        <v>1099</v>
      </c>
      <c r="L47" s="77" t="s">
        <v>875</v>
      </c>
      <c r="M47" s="76" t="s">
        <v>1100</v>
      </c>
      <c r="N47" s="77" t="s">
        <v>642</v>
      </c>
      <c r="O47" s="76" t="s">
        <v>674</v>
      </c>
      <c r="P47" s="76" t="s">
        <v>1101</v>
      </c>
      <c r="Q47" s="76" t="s">
        <v>1101</v>
      </c>
      <c r="R47" s="77" t="s">
        <v>876</v>
      </c>
      <c r="S47" s="76" t="s">
        <v>1102</v>
      </c>
      <c r="T47" s="76" t="s">
        <v>870</v>
      </c>
      <c r="U47" s="76" t="s">
        <v>157</v>
      </c>
      <c r="V47" s="76" t="s">
        <v>988</v>
      </c>
      <c r="W47" s="81">
        <v>0</v>
      </c>
      <c r="X47" s="306">
        <v>97</v>
      </c>
      <c r="Y47" s="76"/>
      <c r="Z47" s="76"/>
      <c r="AA47" s="76"/>
      <c r="AB47" s="76"/>
      <c r="AC47" s="76"/>
      <c r="AD47" s="76">
        <v>65</v>
      </c>
      <c r="AE47" s="76"/>
      <c r="AF47" s="76"/>
      <c r="AG47" s="76"/>
      <c r="AH47" s="76"/>
      <c r="AI47" s="126">
        <v>32</v>
      </c>
      <c r="AJ47" s="79"/>
      <c r="AK47" s="76" t="s">
        <v>873</v>
      </c>
      <c r="AL47" s="76" t="s">
        <v>873</v>
      </c>
      <c r="AM47" s="76" t="s">
        <v>873</v>
      </c>
      <c r="AN47" s="76" t="s">
        <v>873</v>
      </c>
      <c r="AO47" s="76" t="s">
        <v>454</v>
      </c>
      <c r="AP47" s="82" t="s">
        <v>642</v>
      </c>
      <c r="AQ47" s="370">
        <f>+VLOOKUP(AP47,SharePoint!$BA$3:$BY$140,2,FALSE)</f>
        <v>0</v>
      </c>
      <c r="AR47" s="370">
        <f>+VLOOKUP(AP47,SharePoint!$BA$3:$BY$140,3,FALSE)</f>
        <v>0</v>
      </c>
      <c r="AS47" s="370">
        <f>+VLOOKUP(AP47,SharePoint!$BA$3:$BY$140,4,FALSE)</f>
        <v>0</v>
      </c>
      <c r="AT47" s="370">
        <f>+VLOOKUP(AP47,SharePoint!$BA$3:$BY$140,5,FALSE)</f>
        <v>0</v>
      </c>
      <c r="AU47" s="370">
        <f>+VLOOKUP(AP47,SharePoint!$BA$3:$BY$140,6,FALSE)</f>
        <v>0</v>
      </c>
      <c r="AV47" s="370">
        <f>+VLOOKUP(AP47,SharePoint!$BA$3:$BY$140,7,FALSE)</f>
        <v>65</v>
      </c>
      <c r="AW47" s="370">
        <f>+VLOOKUP(AP47,SharePoint!$BA$3:$BY$140,8,FALSE)</f>
        <v>0</v>
      </c>
      <c r="AX47" s="370">
        <f>+VLOOKUP(AP47,SharePoint!$BA$3:$BY$140,9,FALSE)</f>
        <v>0</v>
      </c>
      <c r="AY47" s="370">
        <f>+VLOOKUP(AP47,SharePoint!$BA$3:$BY$140,10,FALSE)</f>
        <v>0</v>
      </c>
      <c r="AZ47" s="370">
        <f>+VLOOKUP(AP47,SharePoint!$BA$3:$BY$140,11,FALSE)</f>
        <v>0</v>
      </c>
      <c r="BA47" s="370">
        <f>+VLOOKUP(AP47,SharePoint!$BA$3:$BY$140,12,FALSE)</f>
        <v>32</v>
      </c>
      <c r="BB47" s="370">
        <f>+VLOOKUP(AP47,SharePoint!$BA$3:$BY$140,13,FALSE)</f>
        <v>0</v>
      </c>
      <c r="BC47" s="226">
        <f>+VLOOKUP(AP47,SharePoint!$BA$3:$BY$140,14,FALSE)</f>
        <v>0</v>
      </c>
      <c r="BD47" s="226">
        <f>+VLOOKUP(AP47,SharePoint!$BA$3:$BY$140,15,FALSE)</f>
        <v>0</v>
      </c>
      <c r="BE47" s="226">
        <f>+VLOOKUP(AP47,SharePoint!$BA$3:$BY$140,16,FALSE)</f>
        <v>0</v>
      </c>
      <c r="BF47" s="226">
        <f>+VLOOKUP(AP47,SharePoint!$BA$3:$BY$140,17,FALSE)</f>
        <v>0</v>
      </c>
      <c r="BG47" s="226">
        <f>+VLOOKUP(AP47,SharePoint!$BA$3:$BY$140,18,FALSE)</f>
        <v>0</v>
      </c>
      <c r="BH47" s="226">
        <f>+VLOOKUP(AP47,SharePoint!$BA$3:$BY$140,19,FALSE)</f>
        <v>65</v>
      </c>
      <c r="BI47" s="226">
        <f>+VLOOKUP(AP47,SharePoint!$BA$3:$BY$140,20,FALSE)</f>
        <v>0</v>
      </c>
      <c r="BJ47" s="226">
        <f>+VLOOKUP(AP47,SharePoint!$BA$3:$BY$140,21,FALSE)</f>
        <v>0</v>
      </c>
      <c r="BK47" s="226">
        <f>+VLOOKUP(AP47,SharePoint!$BA$3:$BY$140,22,FALSE)</f>
        <v>0</v>
      </c>
      <c r="BL47" s="226">
        <f>+VLOOKUP(AP47,SharePoint!$BA$3:$BY$140,23,FALSE)</f>
        <v>0</v>
      </c>
      <c r="BM47" s="226">
        <f>+VLOOKUP(AP47,SharePoint!$BA$3:$BY$140,24,FALSE)</f>
        <v>32</v>
      </c>
      <c r="BN47" s="226">
        <f>+VLOOKUP(AP47,SharePoint!$BA$3:$BY$140,25,FALSE)</f>
        <v>0</v>
      </c>
      <c r="BO47" s="214" t="s">
        <v>873</v>
      </c>
      <c r="BP47" s="214" t="s">
        <v>873</v>
      </c>
      <c r="BQ47" s="214" t="s">
        <v>873</v>
      </c>
      <c r="BR47" s="214" t="s">
        <v>873</v>
      </c>
      <c r="BS47" s="214" t="s">
        <v>873</v>
      </c>
      <c r="BT47" s="215" t="s">
        <v>676</v>
      </c>
      <c r="BU47" s="214" t="s">
        <v>873</v>
      </c>
      <c r="BV47" s="214" t="s">
        <v>873</v>
      </c>
      <c r="BW47" s="214" t="s">
        <v>873</v>
      </c>
      <c r="BX47" s="214" t="s">
        <v>875</v>
      </c>
      <c r="BY47" s="214" t="s">
        <v>3218</v>
      </c>
      <c r="BZ47" s="214" t="s">
        <v>875</v>
      </c>
      <c r="CA47" s="449">
        <v>2</v>
      </c>
      <c r="CB47" s="373" t="s">
        <v>3562</v>
      </c>
      <c r="CC47" s="359">
        <f t="shared" si="0"/>
        <v>97</v>
      </c>
      <c r="CD47" s="359">
        <f t="shared" si="1"/>
        <v>97</v>
      </c>
      <c r="CE47" s="343">
        <f t="shared" si="2"/>
        <v>1</v>
      </c>
      <c r="CF47" s="381">
        <f t="shared" si="3"/>
        <v>97</v>
      </c>
      <c r="CG47" s="327" t="s">
        <v>3509</v>
      </c>
      <c r="CH47" s="327" t="str">
        <f t="shared" si="4"/>
        <v>Numérica</v>
      </c>
      <c r="CI47" s="327"/>
      <c r="CJ47" s="381">
        <v>1</v>
      </c>
      <c r="CK47" s="376" t="str">
        <f t="shared" si="6"/>
        <v>Delegatura para Operadores Logísticos de Tecnologías en Salud y Gestores Farmacéuticos</v>
      </c>
      <c r="CL47" s="376" t="str">
        <f t="shared" si="7"/>
        <v>Caracterización individual de los nuevos Gestores Farmacéuticos identificados por la Dirección de Innovación y Desarrollo los años 2023 y 2024,respecto del componente financiero.</v>
      </c>
      <c r="CM47" s="376" t="str">
        <f t="shared" si="8"/>
        <v>Número de caracterizaciones realizadas  a los Gestores Farmacéuticos Identificados respecto del componente financiero.</v>
      </c>
      <c r="CN47" s="389">
        <f t="shared" si="9"/>
        <v>97</v>
      </c>
      <c r="CO47" s="389">
        <f t="shared" si="10"/>
        <v>97</v>
      </c>
      <c r="CP47" s="388">
        <f t="shared" si="13"/>
        <v>1</v>
      </c>
      <c r="CQ47" s="376">
        <f t="shared" si="11"/>
        <v>97</v>
      </c>
      <c r="CR47" s="377" t="str">
        <f t="shared" si="12"/>
        <v>CUMPLIO</v>
      </c>
      <c r="DB47" s="272"/>
      <c r="DC47" s="381"/>
      <c r="DD47" s="381"/>
      <c r="DE47" s="381"/>
      <c r="DF47" s="381"/>
      <c r="DG47" s="381"/>
    </row>
    <row r="48" spans="1:111" s="83" customFormat="1" ht="127.5" customHeight="1" thickTop="1" thickBot="1">
      <c r="A48" s="83" t="s">
        <v>602</v>
      </c>
      <c r="B48" s="75" t="s">
        <v>198</v>
      </c>
      <c r="C48" s="75" t="s">
        <v>856</v>
      </c>
      <c r="D48" s="75" t="s">
        <v>903</v>
      </c>
      <c r="E48" s="76" t="s">
        <v>858</v>
      </c>
      <c r="F48" s="76" t="s">
        <v>859</v>
      </c>
      <c r="G48" s="76" t="s">
        <v>189</v>
      </c>
      <c r="H48" s="75" t="s">
        <v>860</v>
      </c>
      <c r="I48" s="76" t="s">
        <v>861</v>
      </c>
      <c r="J48" s="76" t="s">
        <v>862</v>
      </c>
      <c r="K48" s="76" t="s">
        <v>1099</v>
      </c>
      <c r="L48" s="77" t="s">
        <v>875</v>
      </c>
      <c r="M48" s="76" t="s">
        <v>603</v>
      </c>
      <c r="N48" s="77" t="s">
        <v>602</v>
      </c>
      <c r="O48" s="76" t="s">
        <v>604</v>
      </c>
      <c r="P48" s="76" t="s">
        <v>605</v>
      </c>
      <c r="Q48" s="76" t="s">
        <v>1103</v>
      </c>
      <c r="R48" s="77" t="s">
        <v>876</v>
      </c>
      <c r="S48" s="76" t="s">
        <v>1104</v>
      </c>
      <c r="T48" s="76" t="s">
        <v>870</v>
      </c>
      <c r="U48" s="76" t="s">
        <v>157</v>
      </c>
      <c r="V48" s="76" t="s">
        <v>914</v>
      </c>
      <c r="W48" s="81">
        <v>6</v>
      </c>
      <c r="X48" s="299">
        <v>5</v>
      </c>
      <c r="Y48" s="76"/>
      <c r="Z48" s="76"/>
      <c r="AA48" s="76"/>
      <c r="AB48" s="76"/>
      <c r="AC48" s="76">
        <v>1</v>
      </c>
      <c r="AD48" s="76">
        <v>1</v>
      </c>
      <c r="AE48" s="76">
        <v>1</v>
      </c>
      <c r="AF48" s="76"/>
      <c r="AG48" s="76"/>
      <c r="AH48" s="76">
        <v>2</v>
      </c>
      <c r="AI48" s="76"/>
      <c r="AJ48" s="79"/>
      <c r="AK48" s="76" t="s">
        <v>873</v>
      </c>
      <c r="AL48" s="76" t="s">
        <v>1105</v>
      </c>
      <c r="AM48" s="76" t="s">
        <v>873</v>
      </c>
      <c r="AN48" s="94">
        <v>15223913</v>
      </c>
      <c r="AO48" s="76" t="s">
        <v>454</v>
      </c>
      <c r="AP48" s="82" t="s">
        <v>602</v>
      </c>
      <c r="AQ48" s="370">
        <f>+VLOOKUP(AP48,SharePoint!$BA$3:$BY$140,2,FALSE)</f>
        <v>0</v>
      </c>
      <c r="AR48" s="370">
        <f>+VLOOKUP(AP48,SharePoint!$BA$3:$BY$140,3,FALSE)</f>
        <v>0</v>
      </c>
      <c r="AS48" s="370">
        <f>+VLOOKUP(AP48,SharePoint!$BA$3:$BY$140,4,FALSE)</f>
        <v>0</v>
      </c>
      <c r="AT48" s="370">
        <f>+VLOOKUP(AP48,SharePoint!$BA$3:$BY$140,5,FALSE)</f>
        <v>0</v>
      </c>
      <c r="AU48" s="370">
        <f>+VLOOKUP(AP48,SharePoint!$BA$3:$BY$140,6,FALSE)</f>
        <v>0</v>
      </c>
      <c r="AV48" s="370">
        <f>+VLOOKUP(AP48,SharePoint!$BA$3:$BY$140,7,FALSE)</f>
        <v>1</v>
      </c>
      <c r="AW48" s="370">
        <f>+VLOOKUP(AP48,SharePoint!$BA$3:$BY$140,8,FALSE)</f>
        <v>1</v>
      </c>
      <c r="AX48" s="370">
        <f>+VLOOKUP(AP48,SharePoint!$BA$3:$BY$140,9,FALSE)</f>
        <v>0</v>
      </c>
      <c r="AY48" s="370">
        <f>+VLOOKUP(AP48,SharePoint!$BA$3:$BY$140,10,FALSE)</f>
        <v>0</v>
      </c>
      <c r="AZ48" s="370">
        <f>+VLOOKUP(AP48,SharePoint!$BA$3:$BY$140,11,FALSE)</f>
        <v>2</v>
      </c>
      <c r="BA48" s="370">
        <f>+VLOOKUP(AP48,SharePoint!$BA$3:$BY$140,12,FALSE)</f>
        <v>0</v>
      </c>
      <c r="BB48" s="370">
        <f>+VLOOKUP(AP48,SharePoint!$BA$3:$BY$140,13,FALSE)</f>
        <v>0</v>
      </c>
      <c r="BC48" s="226">
        <f>+VLOOKUP(AP48,SharePoint!$BA$3:$BY$140,14,FALSE)</f>
        <v>0</v>
      </c>
      <c r="BD48" s="226">
        <f>+VLOOKUP(AP48,SharePoint!$BA$3:$BY$140,15,FALSE)</f>
        <v>0</v>
      </c>
      <c r="BE48" s="226">
        <f>+VLOOKUP(AP48,SharePoint!$BA$3:$BY$140,16,FALSE)</f>
        <v>0</v>
      </c>
      <c r="BF48" s="226">
        <f>+VLOOKUP(AP48,SharePoint!$BA$3:$BY$140,17,FALSE)</f>
        <v>0</v>
      </c>
      <c r="BG48" s="226">
        <f>+VLOOKUP(AP48,SharePoint!$BA$3:$BY$140,18,FALSE)</f>
        <v>1</v>
      </c>
      <c r="BH48" s="226">
        <f>+VLOOKUP(AP48,SharePoint!$BA$3:$BY$140,19,FALSE)</f>
        <v>1</v>
      </c>
      <c r="BI48" s="226">
        <f>+VLOOKUP(AP48,SharePoint!$BA$3:$BY$140,20,FALSE)</f>
        <v>1</v>
      </c>
      <c r="BJ48" s="226">
        <f>+VLOOKUP(AP48,SharePoint!$BA$3:$BY$140,21,FALSE)</f>
        <v>0</v>
      </c>
      <c r="BK48" s="226">
        <f>+VLOOKUP(AP48,SharePoint!$BA$3:$BY$140,22,FALSE)</f>
        <v>0</v>
      </c>
      <c r="BL48" s="226">
        <f>+VLOOKUP(AP48,SharePoint!$BA$3:$BY$140,23,FALSE)</f>
        <v>2</v>
      </c>
      <c r="BM48" s="226">
        <f>+VLOOKUP(AP48,SharePoint!$BA$3:$BY$140,24,FALSE)</f>
        <v>0</v>
      </c>
      <c r="BN48" s="226">
        <f>+VLOOKUP(AP48,SharePoint!$BA$3:$BY$140,25,FALSE)</f>
        <v>0</v>
      </c>
      <c r="BO48" s="214" t="s">
        <v>873</v>
      </c>
      <c r="BP48" s="214" t="s">
        <v>873</v>
      </c>
      <c r="BQ48" s="214" t="s">
        <v>873</v>
      </c>
      <c r="BR48" s="214" t="s">
        <v>873</v>
      </c>
      <c r="BS48" s="215" t="s">
        <v>3053</v>
      </c>
      <c r="BT48" s="214" t="s">
        <v>2828</v>
      </c>
      <c r="BU48" s="214" t="s">
        <v>2871</v>
      </c>
      <c r="BV48" s="214" t="s">
        <v>873</v>
      </c>
      <c r="BW48" s="214" t="s">
        <v>873</v>
      </c>
      <c r="BX48" s="214" t="s">
        <v>3214</v>
      </c>
      <c r="BY48" s="214" t="s">
        <v>875</v>
      </c>
      <c r="BZ48" s="214" t="s">
        <v>875</v>
      </c>
      <c r="CA48" s="449">
        <v>2</v>
      </c>
      <c r="CB48" s="339" t="s">
        <v>3438</v>
      </c>
      <c r="CC48" s="359">
        <f t="shared" si="0"/>
        <v>4</v>
      </c>
      <c r="CD48" s="359">
        <f t="shared" si="1"/>
        <v>5</v>
      </c>
      <c r="CE48" s="343">
        <f t="shared" si="2"/>
        <v>0.8</v>
      </c>
      <c r="CF48" s="381">
        <f t="shared" si="3"/>
        <v>5</v>
      </c>
      <c r="CG48" s="327" t="s">
        <v>3511</v>
      </c>
      <c r="CH48" s="327" t="str">
        <f t="shared" si="4"/>
        <v>Numérica</v>
      </c>
      <c r="CI48" s="327"/>
      <c r="CJ48" s="381">
        <v>2</v>
      </c>
      <c r="CK48" s="378" t="str">
        <f t="shared" si="6"/>
        <v>Delegatura para Operadores Logísticos de Tecnologías en Salud y Gestores Farmacéuticos</v>
      </c>
      <c r="CL48" s="378" t="str">
        <f t="shared" si="7"/>
        <v>Actividades de IVC a los OLTS y/o GF objeto de supervisión en el marco del proceso de operación inicial de la Supervisión Basada en Riesgos</v>
      </c>
      <c r="CM48" s="378" t="str">
        <f t="shared" si="8"/>
        <v>Número de actividades de IVC a los OLTS y/o GF objeto de supervisión en el marco del proceso de operación inicial de la Supervisión Basada en Riesgos</v>
      </c>
      <c r="CN48" s="390">
        <f t="shared" si="9"/>
        <v>4</v>
      </c>
      <c r="CO48" s="390">
        <f t="shared" si="10"/>
        <v>5</v>
      </c>
      <c r="CP48" s="387">
        <f t="shared" si="13"/>
        <v>0.8</v>
      </c>
      <c r="CQ48" s="378">
        <f t="shared" si="11"/>
        <v>5</v>
      </c>
      <c r="CR48" s="379" t="str">
        <f t="shared" si="12"/>
        <v>INCUMPLIO</v>
      </c>
      <c r="DB48" s="272"/>
      <c r="DC48" s="381"/>
      <c r="DD48" s="381"/>
      <c r="DE48" s="381"/>
      <c r="DF48" s="381"/>
      <c r="DG48" s="381"/>
    </row>
    <row r="49" spans="1:111" s="83" customFormat="1" ht="127.5" customHeight="1" thickTop="1" thickBot="1">
      <c r="A49" s="83" t="s">
        <v>575</v>
      </c>
      <c r="B49" s="75" t="s">
        <v>198</v>
      </c>
      <c r="C49" s="75" t="s">
        <v>856</v>
      </c>
      <c r="D49" s="75" t="s">
        <v>1106</v>
      </c>
      <c r="E49" s="76" t="s">
        <v>858</v>
      </c>
      <c r="F49" s="76" t="s">
        <v>1068</v>
      </c>
      <c r="G49" s="76" t="s">
        <v>150</v>
      </c>
      <c r="H49" s="75" t="s">
        <v>904</v>
      </c>
      <c r="I49" s="76" t="s">
        <v>1046</v>
      </c>
      <c r="J49" s="77" t="s">
        <v>1047</v>
      </c>
      <c r="K49" s="76" t="s">
        <v>1099</v>
      </c>
      <c r="L49" s="77" t="s">
        <v>875</v>
      </c>
      <c r="M49" s="76" t="s">
        <v>576</v>
      </c>
      <c r="N49" s="77" t="s">
        <v>575</v>
      </c>
      <c r="O49" s="76" t="s">
        <v>577</v>
      </c>
      <c r="P49" s="76" t="s">
        <v>578</v>
      </c>
      <c r="Q49" s="76" t="s">
        <v>1107</v>
      </c>
      <c r="R49" s="76" t="s">
        <v>1108</v>
      </c>
      <c r="S49" s="76" t="s">
        <v>1096</v>
      </c>
      <c r="T49" s="76" t="s">
        <v>892</v>
      </c>
      <c r="U49" s="76" t="s">
        <v>871</v>
      </c>
      <c r="V49" s="76" t="s">
        <v>910</v>
      </c>
      <c r="W49" s="103" t="s">
        <v>1109</v>
      </c>
      <c r="X49" s="302">
        <v>0.96</v>
      </c>
      <c r="Y49" s="76"/>
      <c r="Z49" s="76"/>
      <c r="AA49" s="76"/>
      <c r="AB49" s="79">
        <v>0.96</v>
      </c>
      <c r="AC49" s="76"/>
      <c r="AD49" s="79"/>
      <c r="AE49" s="76"/>
      <c r="AF49" s="79">
        <v>0.96</v>
      </c>
      <c r="AG49" s="76"/>
      <c r="AH49" s="76"/>
      <c r="AI49" s="76"/>
      <c r="AJ49" s="79">
        <v>0.96</v>
      </c>
      <c r="AK49" s="76" t="s">
        <v>873</v>
      </c>
      <c r="AL49" s="76" t="s">
        <v>873</v>
      </c>
      <c r="AM49" s="76" t="s">
        <v>873</v>
      </c>
      <c r="AN49" s="76" t="s">
        <v>873</v>
      </c>
      <c r="AO49" s="76" t="s">
        <v>454</v>
      </c>
      <c r="AP49" s="82" t="s">
        <v>575</v>
      </c>
      <c r="AQ49" s="370">
        <f>+VLOOKUP(AP49,SharePoint!$BA$3:$BY$140,2,FALSE)</f>
        <v>0</v>
      </c>
      <c r="AR49" s="370">
        <f>+VLOOKUP(AP49,SharePoint!$BA$3:$BY$140,3,FALSE)</f>
        <v>0</v>
      </c>
      <c r="AS49" s="370">
        <f>+VLOOKUP(AP49,SharePoint!$BA$3:$BY$140,4,FALSE)</f>
        <v>0</v>
      </c>
      <c r="AT49" s="370">
        <f>+VLOOKUP(AP49,SharePoint!$BA$3:$BY$140,5,FALSE)</f>
        <v>828</v>
      </c>
      <c r="AU49" s="370">
        <f>+VLOOKUP(AP49,SharePoint!$BA$3:$BY$140,6,FALSE)</f>
        <v>0</v>
      </c>
      <c r="AV49" s="370">
        <f>+VLOOKUP(AP49,SharePoint!$BA$3:$BY$140,7,FALSE)</f>
        <v>0</v>
      </c>
      <c r="AW49" s="370">
        <f>+VLOOKUP(AP49,SharePoint!$BA$3:$BY$140,8,FALSE)</f>
        <v>0</v>
      </c>
      <c r="AX49" s="370">
        <f>+VLOOKUP(AP49,SharePoint!$BA$3:$BY$140,9,FALSE)</f>
        <v>211</v>
      </c>
      <c r="AY49" s="370">
        <f>+VLOOKUP(AP49,SharePoint!$BA$3:$BY$140,10,FALSE)</f>
        <v>0</v>
      </c>
      <c r="AZ49" s="370">
        <f>+VLOOKUP(AP49,SharePoint!$BA$3:$BY$140,11,FALSE)</f>
        <v>0</v>
      </c>
      <c r="BA49" s="370">
        <f>+VLOOKUP(AP49,SharePoint!$BA$3:$BY$140,12,FALSE)</f>
        <v>0</v>
      </c>
      <c r="BB49" s="370">
        <f>+VLOOKUP(AP49,SharePoint!$BA$3:$BY$140,13,FALSE)</f>
        <v>513</v>
      </c>
      <c r="BC49" s="226">
        <f>+VLOOKUP(AP49,SharePoint!$BA$3:$BY$140,14,FALSE)</f>
        <v>0</v>
      </c>
      <c r="BD49" s="226">
        <f>+VLOOKUP(AP49,SharePoint!$BA$3:$BY$140,15,FALSE)</f>
        <v>0</v>
      </c>
      <c r="BE49" s="226">
        <f>+VLOOKUP(AP49,SharePoint!$BA$3:$BY$140,16,FALSE)</f>
        <v>0</v>
      </c>
      <c r="BF49" s="226">
        <f>+VLOOKUP(AP49,SharePoint!$BA$3:$BY$140,17,FALSE)</f>
        <v>919</v>
      </c>
      <c r="BG49" s="226">
        <f>+VLOOKUP(AP49,SharePoint!$BA$3:$BY$140,18,FALSE)</f>
        <v>0</v>
      </c>
      <c r="BH49" s="226">
        <f>+VLOOKUP(AP49,SharePoint!$BA$3:$BY$140,19,FALSE)</f>
        <v>0</v>
      </c>
      <c r="BI49" s="226">
        <f>+VLOOKUP(AP49,SharePoint!$BA$3:$BY$140,20,FALSE)</f>
        <v>0</v>
      </c>
      <c r="BJ49" s="226">
        <f>+VLOOKUP(AP49,SharePoint!$BA$3:$BY$140,21,FALSE)</f>
        <v>276</v>
      </c>
      <c r="BK49" s="226">
        <f>+VLOOKUP(AP49,SharePoint!$BA$3:$BY$140,22,FALSE)</f>
        <v>0</v>
      </c>
      <c r="BL49" s="226">
        <f>+VLOOKUP(AP49,SharePoint!$BA$3:$BY$140,23,FALSE)</f>
        <v>0</v>
      </c>
      <c r="BM49" s="226">
        <f>+VLOOKUP(AP49,SharePoint!$BA$3:$BY$140,24,FALSE)</f>
        <v>0</v>
      </c>
      <c r="BN49" s="226">
        <f>+VLOOKUP(AP49,SharePoint!$BA$3:$BY$140,25,FALSE)</f>
        <v>645</v>
      </c>
      <c r="BO49" s="214" t="s">
        <v>873</v>
      </c>
      <c r="BP49" s="214" t="s">
        <v>873</v>
      </c>
      <c r="BQ49" s="214" t="s">
        <v>873</v>
      </c>
      <c r="BR49" s="215" t="s">
        <v>3054</v>
      </c>
      <c r="BS49" s="214" t="s">
        <v>873</v>
      </c>
      <c r="BT49" s="214" t="s">
        <v>873</v>
      </c>
      <c r="BU49" s="214" t="s">
        <v>873</v>
      </c>
      <c r="BV49" s="214" t="s">
        <v>2875</v>
      </c>
      <c r="BW49" s="214" t="s">
        <v>873</v>
      </c>
      <c r="BX49" s="214" t="s">
        <v>875</v>
      </c>
      <c r="BY49" s="214" t="s">
        <v>875</v>
      </c>
      <c r="BZ49" s="214" t="s">
        <v>3220</v>
      </c>
      <c r="CA49" s="449">
        <v>1</v>
      </c>
      <c r="CB49" s="339" t="s">
        <v>3440</v>
      </c>
      <c r="CC49" s="359">
        <f t="shared" si="0"/>
        <v>1552</v>
      </c>
      <c r="CD49" s="359">
        <f t="shared" si="1"/>
        <v>1840</v>
      </c>
      <c r="CE49" s="382">
        <f>+CC49/CD49</f>
        <v>0.84347826086956523</v>
      </c>
      <c r="CF49" s="382">
        <f t="shared" si="3"/>
        <v>0.96</v>
      </c>
      <c r="CG49" s="327" t="s">
        <v>3511</v>
      </c>
      <c r="CH49" s="327" t="str">
        <f t="shared" si="4"/>
        <v xml:space="preserve">Porcentual </v>
      </c>
      <c r="CI49" s="327"/>
      <c r="CJ49" s="381">
        <v>3</v>
      </c>
      <c r="CK49" s="376" t="str">
        <f t="shared" si="6"/>
        <v>Delegatura para Operadores Logísticos de Tecnologías en Salud y Gestores Farmacéuticos</v>
      </c>
      <c r="CL49" s="376" t="str">
        <f t="shared" si="7"/>
        <v>Porcentaje de solicitudes de información y/ reclamos en salud gestionados finalizados tramitados a los grupos de valor o de interés de la SNS presentados a la DOLTS-GF</v>
      </c>
      <c r="CM49" s="376" t="str">
        <f t="shared" si="8"/>
        <v>(Sumatoria del número de solicitudes de información y/ reclamos en salud finalizados / Número de solicitudes de información y/ reclamos en salud interpuestos por los grupos de valor o de interés) * 100</v>
      </c>
      <c r="CN49" s="389">
        <f t="shared" si="9"/>
        <v>1552</v>
      </c>
      <c r="CO49" s="389">
        <f t="shared" si="10"/>
        <v>1840</v>
      </c>
      <c r="CP49" s="388">
        <f>+CN49/CO49</f>
        <v>0.84347826086956523</v>
      </c>
      <c r="CQ49" s="377">
        <f t="shared" si="11"/>
        <v>0.96</v>
      </c>
      <c r="CR49" s="377" t="str">
        <f t="shared" si="12"/>
        <v>INCUMPLIO</v>
      </c>
      <c r="DB49" s="272"/>
      <c r="DC49" s="381"/>
      <c r="DD49" s="381"/>
      <c r="DE49" s="381"/>
      <c r="DF49" s="381"/>
      <c r="DG49" s="381"/>
    </row>
    <row r="50" spans="1:111" s="83" customFormat="1" ht="127.5" customHeight="1" thickTop="1" thickBot="1">
      <c r="A50" s="83" t="s">
        <v>579</v>
      </c>
      <c r="B50" s="75" t="s">
        <v>198</v>
      </c>
      <c r="C50" s="75" t="s">
        <v>856</v>
      </c>
      <c r="D50" s="75" t="s">
        <v>1106</v>
      </c>
      <c r="E50" s="76" t="s">
        <v>858</v>
      </c>
      <c r="F50" s="76" t="s">
        <v>1068</v>
      </c>
      <c r="G50" s="76" t="s">
        <v>150</v>
      </c>
      <c r="H50" s="75" t="s">
        <v>904</v>
      </c>
      <c r="I50" s="76" t="s">
        <v>1046</v>
      </c>
      <c r="J50" s="77" t="s">
        <v>1047</v>
      </c>
      <c r="K50" s="76" t="s">
        <v>1099</v>
      </c>
      <c r="L50" s="77" t="s">
        <v>875</v>
      </c>
      <c r="M50" s="76" t="s">
        <v>580</v>
      </c>
      <c r="N50" s="77" t="s">
        <v>579</v>
      </c>
      <c r="O50" s="76" t="s">
        <v>581</v>
      </c>
      <c r="P50" s="76" t="s">
        <v>582</v>
      </c>
      <c r="Q50" s="76" t="s">
        <v>1110</v>
      </c>
      <c r="R50" s="76" t="s">
        <v>1111</v>
      </c>
      <c r="S50" s="76" t="s">
        <v>1112</v>
      </c>
      <c r="T50" s="76" t="s">
        <v>892</v>
      </c>
      <c r="U50" s="76" t="s">
        <v>871</v>
      </c>
      <c r="V50" s="76" t="s">
        <v>910</v>
      </c>
      <c r="W50" s="103" t="s">
        <v>1113</v>
      </c>
      <c r="X50" s="302">
        <v>0.96</v>
      </c>
      <c r="Y50" s="76"/>
      <c r="Z50" s="76"/>
      <c r="AA50" s="76"/>
      <c r="AB50" s="79">
        <v>0.96</v>
      </c>
      <c r="AC50" s="76"/>
      <c r="AD50" s="79"/>
      <c r="AE50" s="76"/>
      <c r="AF50" s="79">
        <v>0.96</v>
      </c>
      <c r="AG50" s="76"/>
      <c r="AH50" s="76"/>
      <c r="AI50" s="76"/>
      <c r="AJ50" s="79">
        <v>0.96</v>
      </c>
      <c r="AK50" s="76" t="s">
        <v>873</v>
      </c>
      <c r="AL50" s="76" t="s">
        <v>873</v>
      </c>
      <c r="AM50" s="76" t="s">
        <v>873</v>
      </c>
      <c r="AN50" s="76" t="s">
        <v>873</v>
      </c>
      <c r="AO50" s="76" t="s">
        <v>454</v>
      </c>
      <c r="AP50" s="82" t="s">
        <v>579</v>
      </c>
      <c r="AQ50" s="370">
        <f>+VLOOKUP(AP50,SharePoint!$BA$3:$BY$140,2,FALSE)</f>
        <v>0</v>
      </c>
      <c r="AR50" s="370">
        <f>+VLOOKUP(AP50,SharePoint!$BA$3:$BY$140,3,FALSE)</f>
        <v>0</v>
      </c>
      <c r="AS50" s="370">
        <f>+VLOOKUP(AP50,SharePoint!$BA$3:$BY$140,4,FALSE)</f>
        <v>0</v>
      </c>
      <c r="AT50" s="370">
        <f>+VLOOKUP(AP50,SharePoint!$BA$3:$BY$140,5,FALSE)</f>
        <v>102</v>
      </c>
      <c r="AU50" s="370">
        <f>+VLOOKUP(AP50,SharePoint!$BA$3:$BY$140,6,FALSE)</f>
        <v>0</v>
      </c>
      <c r="AV50" s="370">
        <f>+VLOOKUP(AP50,SharePoint!$BA$3:$BY$140,7,FALSE)</f>
        <v>0</v>
      </c>
      <c r="AW50" s="370">
        <f>+VLOOKUP(AP50,SharePoint!$BA$3:$BY$140,8,FALSE)</f>
        <v>0</v>
      </c>
      <c r="AX50" s="370">
        <f>+VLOOKUP(AP50,SharePoint!$BA$3:$BY$140,9,FALSE)</f>
        <v>151</v>
      </c>
      <c r="AY50" s="370">
        <f>+VLOOKUP(AP50,SharePoint!$BA$3:$BY$140,10,FALSE)</f>
        <v>0</v>
      </c>
      <c r="AZ50" s="370">
        <f>+VLOOKUP(AP50,SharePoint!$BA$3:$BY$140,11,FALSE)</f>
        <v>0</v>
      </c>
      <c r="BA50" s="370">
        <f>+VLOOKUP(AP50,SharePoint!$BA$3:$BY$140,12,FALSE)</f>
        <v>0</v>
      </c>
      <c r="BB50" s="370">
        <f>+VLOOKUP(AP50,SharePoint!$BA$3:$BY$140,13,FALSE)</f>
        <v>114</v>
      </c>
      <c r="BC50" s="226">
        <f>+VLOOKUP(AP50,SharePoint!$BA$3:$BY$140,14,FALSE)</f>
        <v>0</v>
      </c>
      <c r="BD50" s="226">
        <f>+VLOOKUP(AP50,SharePoint!$BA$3:$BY$140,15,FALSE)</f>
        <v>0</v>
      </c>
      <c r="BE50" s="226">
        <f>+VLOOKUP(AP50,SharePoint!$BA$3:$BY$140,16,FALSE)</f>
        <v>0</v>
      </c>
      <c r="BF50" s="226">
        <f>+VLOOKUP(AP50,SharePoint!$BA$3:$BY$140,17,FALSE)</f>
        <v>106</v>
      </c>
      <c r="BG50" s="226">
        <f>+VLOOKUP(AP50,SharePoint!$BA$3:$BY$140,18,FALSE)</f>
        <v>0</v>
      </c>
      <c r="BH50" s="226">
        <f>+VLOOKUP(AP50,SharePoint!$BA$3:$BY$140,19,FALSE)</f>
        <v>0</v>
      </c>
      <c r="BI50" s="226">
        <f>+VLOOKUP(AP50,SharePoint!$BA$3:$BY$140,20,FALSE)</f>
        <v>0</v>
      </c>
      <c r="BJ50" s="226">
        <f>+VLOOKUP(AP50,SharePoint!$BA$3:$BY$140,21,FALSE)</f>
        <v>196</v>
      </c>
      <c r="BK50" s="226">
        <f>+VLOOKUP(AP50,SharePoint!$BA$3:$BY$140,22,FALSE)</f>
        <v>0</v>
      </c>
      <c r="BL50" s="226">
        <f>+VLOOKUP(AP50,SharePoint!$BA$3:$BY$140,23,FALSE)</f>
        <v>0</v>
      </c>
      <c r="BM50" s="226">
        <f>+VLOOKUP(AP50,SharePoint!$BA$3:$BY$140,24,FALSE)</f>
        <v>0</v>
      </c>
      <c r="BN50" s="226">
        <f>+VLOOKUP(AP50,SharePoint!$BA$3:$BY$140,25,FALSE)</f>
        <v>126</v>
      </c>
      <c r="BO50" s="214" t="s">
        <v>873</v>
      </c>
      <c r="BP50" s="214" t="s">
        <v>873</v>
      </c>
      <c r="BQ50" s="214" t="s">
        <v>873</v>
      </c>
      <c r="BR50" s="215" t="s">
        <v>583</v>
      </c>
      <c r="BS50" s="214" t="s">
        <v>873</v>
      </c>
      <c r="BT50" s="214" t="s">
        <v>873</v>
      </c>
      <c r="BU50" s="214" t="s">
        <v>873</v>
      </c>
      <c r="BV50" s="214" t="s">
        <v>2876</v>
      </c>
      <c r="BW50" s="214" t="s">
        <v>873</v>
      </c>
      <c r="BX50" s="214" t="s">
        <v>875</v>
      </c>
      <c r="BY50" s="214" t="s">
        <v>875</v>
      </c>
      <c r="BZ50" s="214" t="s">
        <v>3220</v>
      </c>
      <c r="CA50" s="449">
        <v>1</v>
      </c>
      <c r="CB50" s="339" t="s">
        <v>3439</v>
      </c>
      <c r="CC50" s="359">
        <f>+SUM(AQ50:BB50)</f>
        <v>367</v>
      </c>
      <c r="CD50" s="359">
        <f t="shared" si="1"/>
        <v>428</v>
      </c>
      <c r="CE50" s="382">
        <f t="shared" si="2"/>
        <v>0.85747663551401865</v>
      </c>
      <c r="CF50" s="382">
        <f t="shared" si="3"/>
        <v>0.96</v>
      </c>
      <c r="CG50" s="327" t="s">
        <v>3511</v>
      </c>
      <c r="CH50" s="327" t="str">
        <f t="shared" si="4"/>
        <v xml:space="preserve">Porcentual </v>
      </c>
      <c r="CI50" s="327"/>
      <c r="CJ50" s="381">
        <v>4</v>
      </c>
      <c r="CK50" s="378" t="str">
        <f t="shared" si="6"/>
        <v>Delegatura para Operadores Logísticos de Tecnologías en Salud y Gestores Farmacéuticos</v>
      </c>
      <c r="CL50" s="378" t="str">
        <f t="shared" si="7"/>
        <v>Porcentaje de solicitudes de información y/ reclamos en salud finalizados por falta de oportunidad en la entrega o entrega incompleta de tecnologías en salud tramitados a los grupos de valor o interés de la SNS presentados a la DOLTS-GF</v>
      </c>
      <c r="CM50" s="378" t="str">
        <f t="shared" si="8"/>
        <v>(Sumatoria del número de solicitudes de información y/ reclamos en salud finalizados por falta de oportunidad en la entrega o entrega incompleta de tecnologías en salud en el periodo / Número de solicitudes de información y/ reclamos en salud interpuestos por los grupos de valor o interés por falta de oportunidad en la entrega o entrega incompleta de tecnologías en salud) * 100</v>
      </c>
      <c r="CN50" s="390">
        <f t="shared" si="9"/>
        <v>367</v>
      </c>
      <c r="CO50" s="390">
        <f t="shared" si="10"/>
        <v>428</v>
      </c>
      <c r="CP50" s="387">
        <f t="shared" si="13"/>
        <v>0.85747663551401865</v>
      </c>
      <c r="CQ50" s="379">
        <f t="shared" si="11"/>
        <v>0.96</v>
      </c>
      <c r="CR50" s="379" t="str">
        <f t="shared" si="12"/>
        <v>INCUMPLIO</v>
      </c>
      <c r="DB50" s="272"/>
      <c r="DC50" s="381"/>
      <c r="DD50" s="381"/>
      <c r="DE50" s="381"/>
      <c r="DF50" s="381"/>
      <c r="DG50" s="381"/>
    </row>
    <row r="51" spans="1:111" s="83" customFormat="1" ht="127.5" customHeight="1" thickTop="1" thickBot="1">
      <c r="A51" s="83" t="s">
        <v>584</v>
      </c>
      <c r="B51" s="75" t="s">
        <v>198</v>
      </c>
      <c r="C51" s="75" t="s">
        <v>856</v>
      </c>
      <c r="D51" s="75" t="s">
        <v>1106</v>
      </c>
      <c r="E51" s="76" t="s">
        <v>858</v>
      </c>
      <c r="F51" s="76" t="s">
        <v>1068</v>
      </c>
      <c r="G51" s="76" t="s">
        <v>150</v>
      </c>
      <c r="H51" s="75" t="s">
        <v>904</v>
      </c>
      <c r="I51" s="76" t="s">
        <v>1046</v>
      </c>
      <c r="J51" s="77" t="s">
        <v>1047</v>
      </c>
      <c r="K51" s="76" t="s">
        <v>1099</v>
      </c>
      <c r="L51" s="77" t="s">
        <v>875</v>
      </c>
      <c r="M51" s="76" t="s">
        <v>585</v>
      </c>
      <c r="N51" s="77" t="s">
        <v>584</v>
      </c>
      <c r="O51" s="76" t="s">
        <v>586</v>
      </c>
      <c r="P51" s="76" t="s">
        <v>587</v>
      </c>
      <c r="Q51" s="76" t="s">
        <v>1114</v>
      </c>
      <c r="R51" s="76" t="s">
        <v>1115</v>
      </c>
      <c r="S51" s="76" t="s">
        <v>1116</v>
      </c>
      <c r="T51" s="76" t="s">
        <v>892</v>
      </c>
      <c r="U51" s="76" t="s">
        <v>871</v>
      </c>
      <c r="V51" s="76" t="s">
        <v>910</v>
      </c>
      <c r="W51" s="103" t="s">
        <v>1113</v>
      </c>
      <c r="X51" s="302">
        <v>0.96</v>
      </c>
      <c r="Y51" s="76"/>
      <c r="Z51" s="76"/>
      <c r="AA51" s="76"/>
      <c r="AB51" s="79">
        <v>0.96</v>
      </c>
      <c r="AC51" s="76"/>
      <c r="AD51" s="79"/>
      <c r="AE51" s="76"/>
      <c r="AF51" s="79">
        <v>0.96</v>
      </c>
      <c r="AG51" s="76"/>
      <c r="AH51" s="76"/>
      <c r="AI51" s="76"/>
      <c r="AJ51" s="79">
        <v>0.96</v>
      </c>
      <c r="AK51" s="76" t="s">
        <v>873</v>
      </c>
      <c r="AL51" s="76" t="s">
        <v>873</v>
      </c>
      <c r="AM51" s="76" t="s">
        <v>873</v>
      </c>
      <c r="AN51" s="76" t="s">
        <v>873</v>
      </c>
      <c r="AO51" s="76" t="s">
        <v>454</v>
      </c>
      <c r="AP51" s="82" t="s">
        <v>584</v>
      </c>
      <c r="AQ51" s="370">
        <f>+VLOOKUP(AP51,SharePoint!$BA$3:$BY$140,2,FALSE)</f>
        <v>0</v>
      </c>
      <c r="AR51" s="370">
        <f>+VLOOKUP(AP51,SharePoint!$BA$3:$BY$140,3,FALSE)</f>
        <v>0</v>
      </c>
      <c r="AS51" s="370">
        <f>+VLOOKUP(AP51,SharePoint!$BA$3:$BY$140,4,FALSE)</f>
        <v>0</v>
      </c>
      <c r="AT51" s="370">
        <f>+VLOOKUP(AP51,SharePoint!$BA$3:$BY$140,5,FALSE)</f>
        <v>155</v>
      </c>
      <c r="AU51" s="370">
        <f>+VLOOKUP(AP51,SharePoint!$BA$3:$BY$140,6,FALSE)</f>
        <v>0</v>
      </c>
      <c r="AV51" s="370">
        <f>+VLOOKUP(AP51,SharePoint!$BA$3:$BY$140,7,FALSE)</f>
        <v>0</v>
      </c>
      <c r="AW51" s="370">
        <f>+VLOOKUP(AP51,SharePoint!$BA$3:$BY$140,8,FALSE)</f>
        <v>0</v>
      </c>
      <c r="AX51" s="370">
        <f>+VLOOKUP(AP51,SharePoint!$BA$3:$BY$140,9,FALSE)</f>
        <v>60</v>
      </c>
      <c r="AY51" s="370">
        <f>+VLOOKUP(AP51,SharePoint!$BA$3:$BY$140,10,FALSE)</f>
        <v>0</v>
      </c>
      <c r="AZ51" s="370">
        <f>+VLOOKUP(AP51,SharePoint!$BA$3:$BY$140,11,FALSE)</f>
        <v>0</v>
      </c>
      <c r="BA51" s="370">
        <f>+VLOOKUP(AP51,SharePoint!$BA$3:$BY$140,12,FALSE)</f>
        <v>0</v>
      </c>
      <c r="BB51" s="370">
        <f>+VLOOKUP(AP51,SharePoint!$BA$3:$BY$140,13,FALSE)</f>
        <v>131</v>
      </c>
      <c r="BC51" s="226">
        <f>+VLOOKUP(AP51,SharePoint!$BA$3:$BY$140,14,FALSE)</f>
        <v>0</v>
      </c>
      <c r="BD51" s="226">
        <f>+VLOOKUP(AP51,SharePoint!$BA$3:$BY$140,15,FALSE)</f>
        <v>0</v>
      </c>
      <c r="BE51" s="226">
        <f>+VLOOKUP(AP51,SharePoint!$BA$3:$BY$140,16,FALSE)</f>
        <v>0</v>
      </c>
      <c r="BF51" s="226">
        <f>+VLOOKUP(AP51,SharePoint!$BA$3:$BY$140,17,FALSE)</f>
        <v>160</v>
      </c>
      <c r="BG51" s="226">
        <f>+VLOOKUP(AP51,SharePoint!$BA$3:$BY$140,18,FALSE)</f>
        <v>0</v>
      </c>
      <c r="BH51" s="226">
        <f>+VLOOKUP(AP51,SharePoint!$BA$3:$BY$140,19,FALSE)</f>
        <v>0</v>
      </c>
      <c r="BI51" s="226">
        <f>+VLOOKUP(AP51,SharePoint!$BA$3:$BY$140,20,FALSE)</f>
        <v>0</v>
      </c>
      <c r="BJ51" s="226">
        <f>+VLOOKUP(AP51,SharePoint!$BA$3:$BY$140,21,FALSE)</f>
        <v>82</v>
      </c>
      <c r="BK51" s="226">
        <f>+VLOOKUP(AP51,SharePoint!$BA$3:$BY$140,22,FALSE)</f>
        <v>0</v>
      </c>
      <c r="BL51" s="226">
        <f>+VLOOKUP(AP51,SharePoint!$BA$3:$BY$140,23,FALSE)</f>
        <v>0</v>
      </c>
      <c r="BM51" s="226">
        <f>+VLOOKUP(AP51,SharePoint!$BA$3:$BY$140,24,FALSE)</f>
        <v>0</v>
      </c>
      <c r="BN51" s="226">
        <f>+VLOOKUP(AP51,SharePoint!$BA$3:$BY$140,25,FALSE)</f>
        <v>173</v>
      </c>
      <c r="BO51" s="214" t="s">
        <v>873</v>
      </c>
      <c r="BP51" s="214" t="s">
        <v>873</v>
      </c>
      <c r="BQ51" s="214" t="s">
        <v>873</v>
      </c>
      <c r="BR51" s="215" t="s">
        <v>588</v>
      </c>
      <c r="BS51" s="214" t="s">
        <v>873</v>
      </c>
      <c r="BT51" s="214" t="s">
        <v>873</v>
      </c>
      <c r="BU51" s="214" t="s">
        <v>873</v>
      </c>
      <c r="BV51" s="214" t="s">
        <v>2876</v>
      </c>
      <c r="BW51" s="214" t="s">
        <v>873</v>
      </c>
      <c r="BX51" s="214" t="s">
        <v>875</v>
      </c>
      <c r="BY51" s="214" t="s">
        <v>875</v>
      </c>
      <c r="BZ51" s="214" t="s">
        <v>3219</v>
      </c>
      <c r="CA51" s="449">
        <v>1</v>
      </c>
      <c r="CB51" s="339" t="s">
        <v>3441</v>
      </c>
      <c r="CC51" s="359">
        <f t="shared" si="0"/>
        <v>346</v>
      </c>
      <c r="CD51" s="359">
        <f t="shared" si="1"/>
        <v>415</v>
      </c>
      <c r="CE51" s="382">
        <f t="shared" si="2"/>
        <v>0.83373493975903612</v>
      </c>
      <c r="CF51" s="382">
        <f t="shared" si="3"/>
        <v>0.96</v>
      </c>
      <c r="CG51" s="327" t="s">
        <v>3511</v>
      </c>
      <c r="CH51" s="327" t="str">
        <f t="shared" si="4"/>
        <v xml:space="preserve">Porcentual </v>
      </c>
      <c r="CI51" s="327"/>
      <c r="CJ51" s="381">
        <v>5</v>
      </c>
      <c r="CK51" s="376" t="str">
        <f t="shared" si="6"/>
        <v>Delegatura para Operadores Logísticos de Tecnologías en Salud y Gestores Farmacéuticos</v>
      </c>
      <c r="CL51" s="376" t="str">
        <f t="shared" si="7"/>
        <v>Porcentaje de reclamos en salud trasladados por la Delegada para la Protección al Usuario a la DOLTS-GF finalizados tramitados</v>
      </c>
      <c r="CM51" s="376" t="str">
        <f t="shared" si="8"/>
        <v>(Sumatoria del número de reclamos en salud trasladados por DPU finalizados / Número de reclamos en salud trasladados por DPU) * 100</v>
      </c>
      <c r="CN51" s="389">
        <f t="shared" si="9"/>
        <v>346</v>
      </c>
      <c r="CO51" s="389">
        <f t="shared" si="10"/>
        <v>415</v>
      </c>
      <c r="CP51" s="388">
        <f t="shared" si="13"/>
        <v>0.83373493975903612</v>
      </c>
      <c r="CQ51" s="377">
        <f t="shared" si="11"/>
        <v>0.96</v>
      </c>
      <c r="CR51" s="377" t="str">
        <f t="shared" si="12"/>
        <v>INCUMPLIO</v>
      </c>
      <c r="DB51" s="381"/>
      <c r="DC51" s="381"/>
      <c r="DD51" s="381"/>
      <c r="DE51" s="381"/>
      <c r="DF51" s="381"/>
      <c r="DG51" s="381"/>
    </row>
    <row r="52" spans="1:111" s="83" customFormat="1" ht="127.5" customHeight="1" thickTop="1" thickBot="1">
      <c r="A52" s="83" t="s">
        <v>460</v>
      </c>
      <c r="B52" s="75" t="s">
        <v>198</v>
      </c>
      <c r="C52" s="75" t="s">
        <v>856</v>
      </c>
      <c r="D52" s="75" t="s">
        <v>903</v>
      </c>
      <c r="E52" s="76" t="s">
        <v>858</v>
      </c>
      <c r="F52" s="76" t="s">
        <v>859</v>
      </c>
      <c r="G52" s="76" t="s">
        <v>215</v>
      </c>
      <c r="H52" s="75" t="s">
        <v>860</v>
      </c>
      <c r="I52" s="76" t="s">
        <v>861</v>
      </c>
      <c r="J52" s="76" t="s">
        <v>862</v>
      </c>
      <c r="K52" s="76" t="s">
        <v>1099</v>
      </c>
      <c r="L52" s="77" t="s">
        <v>875</v>
      </c>
      <c r="M52" s="76" t="s">
        <v>461</v>
      </c>
      <c r="N52" s="76" t="s">
        <v>460</v>
      </c>
      <c r="O52" s="76" t="s">
        <v>462</v>
      </c>
      <c r="P52" s="76" t="s">
        <v>463</v>
      </c>
      <c r="Q52" s="76" t="s">
        <v>1117</v>
      </c>
      <c r="R52" s="77" t="s">
        <v>876</v>
      </c>
      <c r="S52" s="76" t="s">
        <v>1118</v>
      </c>
      <c r="T52" s="76" t="s">
        <v>870</v>
      </c>
      <c r="U52" s="76" t="s">
        <v>157</v>
      </c>
      <c r="V52" s="76" t="s">
        <v>914</v>
      </c>
      <c r="W52" s="81">
        <v>4</v>
      </c>
      <c r="X52" s="301">
        <v>8</v>
      </c>
      <c r="Y52" s="76"/>
      <c r="Z52" s="76"/>
      <c r="AA52" s="81">
        <v>1</v>
      </c>
      <c r="AB52" s="76">
        <v>1</v>
      </c>
      <c r="AC52" s="76">
        <v>1</v>
      </c>
      <c r="AD52" s="104"/>
      <c r="AE52" s="76">
        <v>1</v>
      </c>
      <c r="AF52" s="76">
        <v>1</v>
      </c>
      <c r="AG52" s="76">
        <v>1</v>
      </c>
      <c r="AH52" s="76">
        <v>1</v>
      </c>
      <c r="AI52" s="76">
        <v>1</v>
      </c>
      <c r="AJ52" s="104"/>
      <c r="AK52" s="86" t="s">
        <v>899</v>
      </c>
      <c r="AL52" s="97" t="s">
        <v>900</v>
      </c>
      <c r="AM52" s="77" t="s">
        <v>1009</v>
      </c>
      <c r="AN52" s="87">
        <v>47696348</v>
      </c>
      <c r="AO52" s="76" t="s">
        <v>454</v>
      </c>
      <c r="AP52" s="82" t="s">
        <v>460</v>
      </c>
      <c r="AQ52" s="370">
        <f>+VLOOKUP(AP52,SharePoint!$BA$3:$BY$140,2,FALSE)</f>
        <v>0</v>
      </c>
      <c r="AR52" s="370">
        <f>+VLOOKUP(AP52,SharePoint!$BA$3:$BY$140,3,FALSE)</f>
        <v>0</v>
      </c>
      <c r="AS52" s="370">
        <f>+VLOOKUP(AP52,SharePoint!$BA$3:$BY$140,4,FALSE)</f>
        <v>1</v>
      </c>
      <c r="AT52" s="370">
        <f>+VLOOKUP(AP52,SharePoint!$BA$3:$BY$140,5,FALSE)</f>
        <v>1</v>
      </c>
      <c r="AU52" s="370">
        <f>+VLOOKUP(AP52,SharePoint!$BA$3:$BY$140,6,FALSE)</f>
        <v>1</v>
      </c>
      <c r="AV52" s="370">
        <f>+VLOOKUP(AP52,SharePoint!$BA$3:$BY$140,7,FALSE)</f>
        <v>0</v>
      </c>
      <c r="AW52" s="370">
        <f>+VLOOKUP(AP52,SharePoint!$BA$3:$BY$140,8,FALSE)</f>
        <v>1</v>
      </c>
      <c r="AX52" s="370">
        <f>+VLOOKUP(AP52,SharePoint!$BA$3:$BY$140,9,FALSE)</f>
        <v>1</v>
      </c>
      <c r="AY52" s="370">
        <f>+VLOOKUP(AP52,SharePoint!$BA$3:$BY$140,10,FALSE)</f>
        <v>1</v>
      </c>
      <c r="AZ52" s="370">
        <f>+VLOOKUP(AP52,SharePoint!$BA$3:$BY$140,11,FALSE)</f>
        <v>1</v>
      </c>
      <c r="BA52" s="370">
        <f>+VLOOKUP(AP52,SharePoint!$BA$3:$BY$140,12,FALSE)</f>
        <v>1</v>
      </c>
      <c r="BB52" s="370">
        <f>+VLOOKUP(AP52,SharePoint!$BA$3:$BY$140,13,FALSE)</f>
        <v>0</v>
      </c>
      <c r="BC52" s="226">
        <f>+VLOOKUP(AP52,SharePoint!$BA$3:$BY$140,14,FALSE)</f>
        <v>0</v>
      </c>
      <c r="BD52" s="226">
        <f>+VLOOKUP(AP52,SharePoint!$BA$3:$BY$140,15,FALSE)</f>
        <v>0</v>
      </c>
      <c r="BE52" s="226">
        <f>+VLOOKUP(AP52,SharePoint!$BA$3:$BY$140,16,FALSE)</f>
        <v>1</v>
      </c>
      <c r="BF52" s="226">
        <f>+VLOOKUP(AP52,SharePoint!$BA$3:$BY$140,17,FALSE)</f>
        <v>1</v>
      </c>
      <c r="BG52" s="226">
        <f>+VLOOKUP(AP52,SharePoint!$BA$3:$BY$140,18,FALSE)</f>
        <v>1</v>
      </c>
      <c r="BH52" s="226">
        <f>+VLOOKUP(AP52,SharePoint!$BA$3:$BY$140,19,FALSE)</f>
        <v>0</v>
      </c>
      <c r="BI52" s="226">
        <f>+VLOOKUP(AP52,SharePoint!$BA$3:$BY$140,20,FALSE)</f>
        <v>1</v>
      </c>
      <c r="BJ52" s="226">
        <f>+VLOOKUP(AP52,SharePoint!$BA$3:$BY$140,21,FALSE)</f>
        <v>1</v>
      </c>
      <c r="BK52" s="226">
        <f>+VLOOKUP(AP52,SharePoint!$BA$3:$BY$140,22,FALSE)</f>
        <v>1</v>
      </c>
      <c r="BL52" s="226">
        <f>+VLOOKUP(AP52,SharePoint!$BA$3:$BY$140,23,FALSE)</f>
        <v>1</v>
      </c>
      <c r="BM52" s="226">
        <f>+VLOOKUP(AP52,SharePoint!$BA$3:$BY$140,24,FALSE)</f>
        <v>1</v>
      </c>
      <c r="BN52" s="226">
        <f>+VLOOKUP(AP52,SharePoint!$BA$3:$BY$140,25,FALSE)</f>
        <v>0</v>
      </c>
      <c r="BO52" s="214" t="s">
        <v>873</v>
      </c>
      <c r="BP52" s="214" t="s">
        <v>873</v>
      </c>
      <c r="BQ52" s="215" t="s">
        <v>464</v>
      </c>
      <c r="BR52" s="215" t="s">
        <v>574</v>
      </c>
      <c r="BS52" s="215" t="s">
        <v>2827</v>
      </c>
      <c r="BT52" s="214" t="s">
        <v>873</v>
      </c>
      <c r="BU52" s="214" t="s">
        <v>2870</v>
      </c>
      <c r="BV52" s="214" t="s">
        <v>2872</v>
      </c>
      <c r="BW52" s="214" t="s">
        <v>2877</v>
      </c>
      <c r="BX52" s="214" t="s">
        <v>3212</v>
      </c>
      <c r="BY52" s="214" t="s">
        <v>875</v>
      </c>
      <c r="BZ52" s="214" t="s">
        <v>875</v>
      </c>
      <c r="CA52" s="449">
        <v>2</v>
      </c>
      <c r="CB52" s="373" t="s">
        <v>3442</v>
      </c>
      <c r="CC52" s="359">
        <f t="shared" si="0"/>
        <v>8</v>
      </c>
      <c r="CD52" s="359">
        <f t="shared" si="1"/>
        <v>8</v>
      </c>
      <c r="CE52" s="343">
        <f t="shared" si="2"/>
        <v>1</v>
      </c>
      <c r="CF52" s="381">
        <f t="shared" si="3"/>
        <v>8</v>
      </c>
      <c r="CG52" s="327" t="s">
        <v>3509</v>
      </c>
      <c r="CH52" s="327" t="str">
        <f t="shared" si="4"/>
        <v>Numérica</v>
      </c>
      <c r="CI52" s="327"/>
      <c r="CJ52" s="381">
        <v>1</v>
      </c>
      <c r="CK52" s="378" t="str">
        <f t="shared" si="6"/>
        <v>Delegatura para Operadores Logísticos de Tecnologías en Salud y Gestores Farmacéuticos</v>
      </c>
      <c r="CL52" s="378" t="str">
        <f t="shared" si="7"/>
        <v>Actividades de socialización, asistencia técnica, mesas de trabajo o acompañamiento a los actores del SGSSS respecto a la operación de los GF y/u OLTS</v>
      </c>
      <c r="CM52" s="378" t="str">
        <f t="shared" si="8"/>
        <v>Número de actividades de socialización, asistencia técnica, mesas de trabajo o acompañamiento a los actores del SGSSS respecto a la operación de los GF y/u OLTS</v>
      </c>
      <c r="CN52" s="390">
        <f t="shared" si="9"/>
        <v>8</v>
      </c>
      <c r="CO52" s="390">
        <f t="shared" si="10"/>
        <v>8</v>
      </c>
      <c r="CP52" s="387">
        <f t="shared" si="13"/>
        <v>1</v>
      </c>
      <c r="CQ52" s="378">
        <f t="shared" si="11"/>
        <v>8</v>
      </c>
      <c r="CR52" s="379" t="str">
        <f t="shared" si="12"/>
        <v>CUMPLIO</v>
      </c>
      <c r="DB52" s="381"/>
      <c r="DC52" s="381"/>
      <c r="DD52" s="381"/>
      <c r="DE52" s="381"/>
      <c r="DF52" s="381"/>
      <c r="DG52" s="381"/>
    </row>
    <row r="53" spans="1:111" s="83" customFormat="1" ht="127.5" customHeight="1" thickTop="1" thickBot="1">
      <c r="A53" s="83" t="s">
        <v>466</v>
      </c>
      <c r="B53" s="75" t="s">
        <v>198</v>
      </c>
      <c r="C53" s="75" t="s">
        <v>856</v>
      </c>
      <c r="D53" s="75" t="s">
        <v>1106</v>
      </c>
      <c r="E53" s="76" t="s">
        <v>858</v>
      </c>
      <c r="F53" s="76" t="s">
        <v>859</v>
      </c>
      <c r="G53" s="76" t="s">
        <v>189</v>
      </c>
      <c r="H53" s="75" t="s">
        <v>904</v>
      </c>
      <c r="I53" s="76" t="s">
        <v>861</v>
      </c>
      <c r="J53" s="76" t="s">
        <v>862</v>
      </c>
      <c r="K53" s="76" t="s">
        <v>1099</v>
      </c>
      <c r="L53" s="77" t="s">
        <v>875</v>
      </c>
      <c r="M53" s="76" t="s">
        <v>467</v>
      </c>
      <c r="N53" s="76" t="s">
        <v>466</v>
      </c>
      <c r="O53" s="76" t="s">
        <v>468</v>
      </c>
      <c r="P53" s="76" t="s">
        <v>469</v>
      </c>
      <c r="Q53" s="76" t="s">
        <v>1119</v>
      </c>
      <c r="R53" s="77" t="s">
        <v>876</v>
      </c>
      <c r="S53" s="76" t="s">
        <v>1118</v>
      </c>
      <c r="T53" s="76" t="s">
        <v>870</v>
      </c>
      <c r="U53" s="76" t="s">
        <v>157</v>
      </c>
      <c r="V53" s="76" t="s">
        <v>914</v>
      </c>
      <c r="W53" s="81">
        <v>0</v>
      </c>
      <c r="X53" s="299">
        <v>14</v>
      </c>
      <c r="Y53" s="76"/>
      <c r="Z53" s="76"/>
      <c r="AA53" s="76">
        <v>2</v>
      </c>
      <c r="AB53" s="76">
        <v>2</v>
      </c>
      <c r="AC53" s="76">
        <v>2</v>
      </c>
      <c r="AD53" s="79"/>
      <c r="AE53" s="76"/>
      <c r="AF53" s="76">
        <v>2</v>
      </c>
      <c r="AG53" s="76">
        <v>2</v>
      </c>
      <c r="AH53" s="76">
        <v>2</v>
      </c>
      <c r="AI53" s="76">
        <v>2</v>
      </c>
      <c r="AJ53" s="79"/>
      <c r="AK53" s="86" t="s">
        <v>899</v>
      </c>
      <c r="AL53" s="76" t="s">
        <v>928</v>
      </c>
      <c r="AM53" s="77" t="s">
        <v>1009</v>
      </c>
      <c r="AN53" s="87">
        <v>22630730</v>
      </c>
      <c r="AO53" s="76" t="s">
        <v>454</v>
      </c>
      <c r="AP53" s="82" t="s">
        <v>466</v>
      </c>
      <c r="AQ53" s="370">
        <f>+VLOOKUP(AP53,SharePoint!$BA$3:$BY$140,2,FALSE)</f>
        <v>0</v>
      </c>
      <c r="AR53" s="370">
        <f>+VLOOKUP(AP53,SharePoint!$BA$3:$BY$140,3,FALSE)</f>
        <v>0</v>
      </c>
      <c r="AS53" s="370">
        <f>+VLOOKUP(AP53,SharePoint!$BA$3:$BY$140,4,FALSE)</f>
        <v>2</v>
      </c>
      <c r="AT53" s="370">
        <f>+VLOOKUP(AP53,SharePoint!$BA$3:$BY$140,5,FALSE)</f>
        <v>2</v>
      </c>
      <c r="AU53" s="370">
        <f>+VLOOKUP(AP53,SharePoint!$BA$3:$BY$140,6,FALSE)</f>
        <v>2</v>
      </c>
      <c r="AV53" s="370">
        <f>+VLOOKUP(AP53,SharePoint!$BA$3:$BY$140,7,FALSE)</f>
        <v>0</v>
      </c>
      <c r="AW53" s="370">
        <f>+VLOOKUP(AP53,SharePoint!$BA$3:$BY$140,8,FALSE)</f>
        <v>0</v>
      </c>
      <c r="AX53" s="370">
        <f>+VLOOKUP(AP53,SharePoint!$BA$3:$BY$140,9,FALSE)</f>
        <v>2</v>
      </c>
      <c r="AY53" s="370">
        <f>+VLOOKUP(AP53,SharePoint!$BA$3:$BY$140,10,FALSE)</f>
        <v>2</v>
      </c>
      <c r="AZ53" s="370">
        <f>+VLOOKUP(AP53,SharePoint!$BA$3:$BY$140,11,FALSE)</f>
        <v>2</v>
      </c>
      <c r="BA53" s="370">
        <f>+VLOOKUP(AP53,SharePoint!$BA$3:$BY$140,12,FALSE)</f>
        <v>2</v>
      </c>
      <c r="BB53" s="370">
        <f>+VLOOKUP(AP53,SharePoint!$BA$3:$BY$140,13,FALSE)</f>
        <v>0</v>
      </c>
      <c r="BC53" s="226">
        <f>+VLOOKUP(AP53,SharePoint!$BA$3:$BY$140,14,FALSE)</f>
        <v>0</v>
      </c>
      <c r="BD53" s="226">
        <f>+VLOOKUP(AP53,SharePoint!$BA$3:$BY$140,15,FALSE)</f>
        <v>0</v>
      </c>
      <c r="BE53" s="226">
        <f>+VLOOKUP(AP53,SharePoint!$BA$3:$BY$140,16,FALSE)</f>
        <v>2</v>
      </c>
      <c r="BF53" s="226">
        <f>+VLOOKUP(AP53,SharePoint!$BA$3:$BY$140,17,FALSE)</f>
        <v>2</v>
      </c>
      <c r="BG53" s="226">
        <f>+VLOOKUP(AP53,SharePoint!$BA$3:$BY$140,18,FALSE)</f>
        <v>2</v>
      </c>
      <c r="BH53" s="226">
        <f>+VLOOKUP(AP53,SharePoint!$BA$3:$BY$140,19,FALSE)</f>
        <v>0</v>
      </c>
      <c r="BI53" s="226">
        <f>+VLOOKUP(AP53,SharePoint!$BA$3:$BY$140,20,FALSE)</f>
        <v>0</v>
      </c>
      <c r="BJ53" s="226">
        <f>+VLOOKUP(AP53,SharePoint!$BA$3:$BY$140,21,FALSE)</f>
        <v>2</v>
      </c>
      <c r="BK53" s="226">
        <f>+VLOOKUP(AP53,SharePoint!$BA$3:$BY$140,22,FALSE)</f>
        <v>2</v>
      </c>
      <c r="BL53" s="226">
        <f>+VLOOKUP(AP53,SharePoint!$BA$3:$BY$140,23,FALSE)</f>
        <v>2</v>
      </c>
      <c r="BM53" s="226">
        <f>+VLOOKUP(AP53,SharePoint!$BA$3:$BY$140,24,FALSE)</f>
        <v>2</v>
      </c>
      <c r="BN53" s="226">
        <f>+VLOOKUP(AP53,SharePoint!$BA$3:$BY$140,25,FALSE)</f>
        <v>0</v>
      </c>
      <c r="BO53" s="214" t="s">
        <v>873</v>
      </c>
      <c r="BP53" s="214" t="s">
        <v>873</v>
      </c>
      <c r="BQ53" s="215" t="s">
        <v>470</v>
      </c>
      <c r="BR53" s="215" t="s">
        <v>589</v>
      </c>
      <c r="BS53" s="215" t="s">
        <v>3055</v>
      </c>
      <c r="BT53" s="214" t="s">
        <v>873</v>
      </c>
      <c r="BU53" s="214" t="s">
        <v>873</v>
      </c>
      <c r="BV53" s="214" t="s">
        <v>2873</v>
      </c>
      <c r="BW53" s="214" t="s">
        <v>2878</v>
      </c>
      <c r="BX53" s="214" t="s">
        <v>3213</v>
      </c>
      <c r="BY53" s="214" t="s">
        <v>875</v>
      </c>
      <c r="BZ53" s="214" t="s">
        <v>875</v>
      </c>
      <c r="CA53" s="449">
        <v>2</v>
      </c>
      <c r="CB53" s="373" t="s">
        <v>3443</v>
      </c>
      <c r="CC53" s="359">
        <f t="shared" si="0"/>
        <v>14</v>
      </c>
      <c r="CD53" s="359">
        <f t="shared" si="1"/>
        <v>14</v>
      </c>
      <c r="CE53" s="343">
        <f t="shared" si="2"/>
        <v>1</v>
      </c>
      <c r="CF53" s="381">
        <f t="shared" si="3"/>
        <v>14</v>
      </c>
      <c r="CG53" s="327" t="s">
        <v>3509</v>
      </c>
      <c r="CH53" s="327" t="str">
        <f t="shared" si="4"/>
        <v>Numérica</v>
      </c>
      <c r="CI53" s="327"/>
      <c r="CJ53" s="381">
        <v>2</v>
      </c>
      <c r="CK53" s="376" t="str">
        <f t="shared" si="6"/>
        <v>Delegatura para Operadores Logísticos de Tecnologías en Salud y Gestores Farmacéuticos</v>
      </c>
      <c r="CL53" s="376" t="str">
        <f t="shared" si="7"/>
        <v>Actividades de acompañamiento a las Direcciones Regionales en actividades de IVC a los Operadores Logísticos de Tecnologías en Salud y/o Gestores Farmacéuticos de su jurisdicción</v>
      </c>
      <c r="CM53" s="376" t="str">
        <f t="shared" si="8"/>
        <v>Número de actividades de acompañamiento a las Direcciones Regionales en actividades de IVC a los Operadores Logísticos de Tecnologías en Salud y/o Gestores Farmacéuticos de su jurisdicción</v>
      </c>
      <c r="CN53" s="389">
        <f t="shared" si="9"/>
        <v>14</v>
      </c>
      <c r="CO53" s="389">
        <f t="shared" si="10"/>
        <v>14</v>
      </c>
      <c r="CP53" s="388">
        <f t="shared" si="13"/>
        <v>1</v>
      </c>
      <c r="CQ53" s="376">
        <f t="shared" si="11"/>
        <v>14</v>
      </c>
      <c r="CR53" s="377" t="str">
        <f t="shared" si="12"/>
        <v>CUMPLIO</v>
      </c>
      <c r="DB53" s="381"/>
      <c r="DC53" s="381"/>
      <c r="DD53" s="381"/>
      <c r="DE53" s="381"/>
      <c r="DF53" s="381"/>
      <c r="DG53" s="381"/>
    </row>
    <row r="54" spans="1:111" s="83" customFormat="1" ht="127.5" customHeight="1" thickTop="1" thickBot="1">
      <c r="A54" s="83" t="s">
        <v>223</v>
      </c>
      <c r="B54" s="75" t="s">
        <v>198</v>
      </c>
      <c r="C54" s="75" t="s">
        <v>856</v>
      </c>
      <c r="D54" s="75" t="s">
        <v>1106</v>
      </c>
      <c r="E54" s="76" t="s">
        <v>858</v>
      </c>
      <c r="F54" s="76" t="s">
        <v>859</v>
      </c>
      <c r="G54" s="76" t="s">
        <v>189</v>
      </c>
      <c r="H54" s="75" t="s">
        <v>904</v>
      </c>
      <c r="I54" s="76" t="s">
        <v>905</v>
      </c>
      <c r="J54" s="169" t="s">
        <v>906</v>
      </c>
      <c r="K54" s="76" t="s">
        <v>1099</v>
      </c>
      <c r="L54" s="77" t="s">
        <v>875</v>
      </c>
      <c r="M54" s="76" t="s">
        <v>455</v>
      </c>
      <c r="N54" s="76" t="s">
        <v>223</v>
      </c>
      <c r="O54" s="76" t="s">
        <v>456</v>
      </c>
      <c r="P54" s="76" t="s">
        <v>457</v>
      </c>
      <c r="Q54" s="76" t="s">
        <v>1120</v>
      </c>
      <c r="R54" s="77" t="s">
        <v>876</v>
      </c>
      <c r="S54" s="76" t="s">
        <v>1121</v>
      </c>
      <c r="T54" s="76" t="s">
        <v>870</v>
      </c>
      <c r="U54" s="76" t="s">
        <v>157</v>
      </c>
      <c r="V54" s="76" t="s">
        <v>914</v>
      </c>
      <c r="W54" s="81">
        <v>7</v>
      </c>
      <c r="X54" s="299">
        <v>8</v>
      </c>
      <c r="Y54" s="76"/>
      <c r="Z54" s="76">
        <v>1</v>
      </c>
      <c r="AA54" s="76">
        <v>1</v>
      </c>
      <c r="AB54" s="76"/>
      <c r="AC54" s="76">
        <v>1</v>
      </c>
      <c r="AD54" s="76"/>
      <c r="AE54" s="76">
        <v>1</v>
      </c>
      <c r="AF54" s="76">
        <v>1</v>
      </c>
      <c r="AG54" s="76">
        <v>1</v>
      </c>
      <c r="AH54" s="76">
        <v>1</v>
      </c>
      <c r="AI54" s="76">
        <v>1</v>
      </c>
      <c r="AJ54" s="76"/>
      <c r="AK54" s="86" t="s">
        <v>899</v>
      </c>
      <c r="AL54" s="77" t="s">
        <v>968</v>
      </c>
      <c r="AM54" s="77" t="s">
        <v>979</v>
      </c>
      <c r="AN54" s="87">
        <v>104318064</v>
      </c>
      <c r="AO54" s="76" t="s">
        <v>454</v>
      </c>
      <c r="AP54" s="82" t="s">
        <v>223</v>
      </c>
      <c r="AQ54" s="370">
        <f>+VLOOKUP(AP54,SharePoint!$BA$3:$BY$140,2,FALSE)</f>
        <v>0</v>
      </c>
      <c r="AR54" s="370">
        <f>+VLOOKUP(AP54,SharePoint!$BA$3:$BY$140,3,FALSE)</f>
        <v>1</v>
      </c>
      <c r="AS54" s="370">
        <f>+VLOOKUP(AP54,SharePoint!$BA$3:$BY$140,4,FALSE)</f>
        <v>1</v>
      </c>
      <c r="AT54" s="370">
        <f>+VLOOKUP(AP54,SharePoint!$BA$3:$BY$140,5,FALSE)</f>
        <v>0</v>
      </c>
      <c r="AU54" s="370">
        <f>+VLOOKUP(AP54,SharePoint!$BA$3:$BY$140,6,FALSE)</f>
        <v>1</v>
      </c>
      <c r="AV54" s="370">
        <f>+VLOOKUP(AP54,SharePoint!$BA$3:$BY$140,7,FALSE)</f>
        <v>0</v>
      </c>
      <c r="AW54" s="370">
        <f>+VLOOKUP(AP54,SharePoint!$BA$3:$BY$140,8,FALSE)</f>
        <v>1</v>
      </c>
      <c r="AX54" s="370">
        <f>+VLOOKUP(AP54,SharePoint!$BA$3:$BY$140,9,FALSE)</f>
        <v>1</v>
      </c>
      <c r="AY54" s="370">
        <f>+VLOOKUP(AP54,SharePoint!$BA$3:$BY$140,10,FALSE)</f>
        <v>1</v>
      </c>
      <c r="AZ54" s="370">
        <f>+VLOOKUP(AP54,SharePoint!$BA$3:$BY$140,11,FALSE)</f>
        <v>1</v>
      </c>
      <c r="BA54" s="370">
        <f>+VLOOKUP(AP54,SharePoint!$BA$3:$BY$140,12,FALSE)</f>
        <v>1</v>
      </c>
      <c r="BB54" s="370">
        <f>+VLOOKUP(AP54,SharePoint!$BA$3:$BY$140,13,FALSE)</f>
        <v>0</v>
      </c>
      <c r="BC54" s="226">
        <f>+VLOOKUP(AP54,SharePoint!$BA$3:$BY$140,14,FALSE)</f>
        <v>0</v>
      </c>
      <c r="BD54" s="226">
        <f>+VLOOKUP(AP54,SharePoint!$BA$3:$BY$140,15,FALSE)</f>
        <v>1</v>
      </c>
      <c r="BE54" s="226">
        <f>+VLOOKUP(AP54,SharePoint!$BA$3:$BY$140,16,FALSE)</f>
        <v>1</v>
      </c>
      <c r="BF54" s="226">
        <f>+VLOOKUP(AP54,SharePoint!$BA$3:$BY$140,17,FALSE)</f>
        <v>0</v>
      </c>
      <c r="BG54" s="226">
        <f>+VLOOKUP(AP54,SharePoint!$BA$3:$BY$140,18,FALSE)</f>
        <v>1</v>
      </c>
      <c r="BH54" s="226">
        <f>+VLOOKUP(AP54,SharePoint!$BA$3:$BY$140,19,FALSE)</f>
        <v>0</v>
      </c>
      <c r="BI54" s="226">
        <f>+VLOOKUP(AP54,SharePoint!$BA$3:$BY$140,20,FALSE)</f>
        <v>1</v>
      </c>
      <c r="BJ54" s="226">
        <f>+VLOOKUP(AP54,SharePoint!$BA$3:$BY$140,21,FALSE)</f>
        <v>1</v>
      </c>
      <c r="BK54" s="226">
        <f>+VLOOKUP(AP54,SharePoint!$BA$3:$BY$140,22,FALSE)</f>
        <v>1</v>
      </c>
      <c r="BL54" s="226">
        <f>+VLOOKUP(AP54,SharePoint!$BA$3:$BY$140,23,FALSE)</f>
        <v>1</v>
      </c>
      <c r="BM54" s="226">
        <f>+VLOOKUP(AP54,SharePoint!$BA$3:$BY$140,24,FALSE)</f>
        <v>1</v>
      </c>
      <c r="BN54" s="226">
        <f>+VLOOKUP(AP54,SharePoint!$BA$3:$BY$140,25,FALSE)</f>
        <v>0</v>
      </c>
      <c r="BO54" s="214" t="s">
        <v>873</v>
      </c>
      <c r="BP54" s="215" t="s">
        <v>458</v>
      </c>
      <c r="BQ54" s="215" t="s">
        <v>514</v>
      </c>
      <c r="BR54" s="214" t="s">
        <v>873</v>
      </c>
      <c r="BS54" s="215" t="s">
        <v>3056</v>
      </c>
      <c r="BT54" s="214" t="s">
        <v>873</v>
      </c>
      <c r="BU54" s="214" t="s">
        <v>2869</v>
      </c>
      <c r="BV54" s="214" t="s">
        <v>2874</v>
      </c>
      <c r="BW54" s="214" t="s">
        <v>2879</v>
      </c>
      <c r="BX54" s="214" t="s">
        <v>3211</v>
      </c>
      <c r="BY54" s="214" t="s">
        <v>875</v>
      </c>
      <c r="BZ54" s="214" t="s">
        <v>875</v>
      </c>
      <c r="CA54" s="449">
        <v>1</v>
      </c>
      <c r="CB54" s="373" t="s">
        <v>3444</v>
      </c>
      <c r="CC54" s="359">
        <f t="shared" si="0"/>
        <v>8</v>
      </c>
      <c r="CD54" s="359">
        <f t="shared" si="1"/>
        <v>8</v>
      </c>
      <c r="CE54" s="343">
        <f t="shared" si="2"/>
        <v>1</v>
      </c>
      <c r="CF54" s="381">
        <f t="shared" si="3"/>
        <v>8</v>
      </c>
      <c r="CG54" s="327" t="s">
        <v>3509</v>
      </c>
      <c r="CH54" s="327" t="str">
        <f t="shared" si="4"/>
        <v>Numérica</v>
      </c>
      <c r="CI54" s="327"/>
      <c r="CJ54" s="381">
        <v>3</v>
      </c>
      <c r="CK54" s="378" t="str">
        <f t="shared" si="6"/>
        <v>Delegatura para Operadores Logísticos de Tecnologías en Salud y Gestores Farmacéuticos</v>
      </c>
      <c r="CL54" s="378" t="str">
        <f t="shared" si="7"/>
        <v>Auditorías realizadas a los Operadores Logísticos de Tecnologías en Salud y/o Gestores Farmacéuticos</v>
      </c>
      <c r="CM54" s="378" t="str">
        <f t="shared" si="8"/>
        <v>Número de auditorías realizadas a los Operadores Logísticos de Tecnologías en Salud y/o Gestores Farmacéuticos</v>
      </c>
      <c r="CN54" s="390">
        <f t="shared" si="9"/>
        <v>8</v>
      </c>
      <c r="CO54" s="390">
        <f t="shared" si="10"/>
        <v>8</v>
      </c>
      <c r="CP54" s="387">
        <f t="shared" si="13"/>
        <v>1</v>
      </c>
      <c r="CQ54" s="378">
        <f t="shared" si="11"/>
        <v>8</v>
      </c>
      <c r="CR54" s="379" t="str">
        <f t="shared" si="12"/>
        <v>CUMPLIO</v>
      </c>
      <c r="DB54" s="381"/>
      <c r="DC54" s="381"/>
      <c r="DD54" s="381"/>
      <c r="DE54" s="381"/>
      <c r="DF54" s="381"/>
      <c r="DG54" s="381"/>
    </row>
    <row r="55" spans="1:111" s="83" customFormat="1" ht="127.5" customHeight="1" thickTop="1" thickBot="1">
      <c r="A55" s="83" t="s">
        <v>323</v>
      </c>
      <c r="B55" s="75" t="s">
        <v>198</v>
      </c>
      <c r="C55" s="75" t="s">
        <v>856</v>
      </c>
      <c r="D55" s="75" t="s">
        <v>903</v>
      </c>
      <c r="E55" s="76" t="s">
        <v>858</v>
      </c>
      <c r="F55" s="76" t="s">
        <v>859</v>
      </c>
      <c r="G55" s="76" t="s">
        <v>189</v>
      </c>
      <c r="H55" s="76" t="s">
        <v>904</v>
      </c>
      <c r="I55" s="76" t="s">
        <v>894</v>
      </c>
      <c r="J55" s="76" t="s">
        <v>895</v>
      </c>
      <c r="K55" s="76"/>
      <c r="L55" s="77" t="s">
        <v>875</v>
      </c>
      <c r="M55" s="84" t="s">
        <v>1122</v>
      </c>
      <c r="N55" s="76" t="s">
        <v>323</v>
      </c>
      <c r="O55" s="84" t="s">
        <v>350</v>
      </c>
      <c r="P55" s="77" t="s">
        <v>351</v>
      </c>
      <c r="Q55" s="77" t="s">
        <v>1123</v>
      </c>
      <c r="R55" s="77" t="s">
        <v>1124</v>
      </c>
      <c r="S55" s="77" t="s">
        <v>1125</v>
      </c>
      <c r="T55" s="76" t="s">
        <v>892</v>
      </c>
      <c r="U55" s="76" t="s">
        <v>871</v>
      </c>
      <c r="V55" s="76" t="s">
        <v>910</v>
      </c>
      <c r="W55" s="81">
        <v>0</v>
      </c>
      <c r="X55" s="302">
        <v>1</v>
      </c>
      <c r="Y55" s="76"/>
      <c r="Z55" s="76"/>
      <c r="AA55" s="79">
        <v>1</v>
      </c>
      <c r="AB55" s="76"/>
      <c r="AC55" s="76"/>
      <c r="AD55" s="79">
        <v>1</v>
      </c>
      <c r="AE55" s="76"/>
      <c r="AF55" s="76"/>
      <c r="AG55" s="76"/>
      <c r="AH55" s="76"/>
      <c r="AI55" s="76"/>
      <c r="AJ55" s="79">
        <v>1</v>
      </c>
      <c r="AK55" s="76" t="s">
        <v>873</v>
      </c>
      <c r="AL55" s="76" t="s">
        <v>873</v>
      </c>
      <c r="AM55" s="76" t="s">
        <v>873</v>
      </c>
      <c r="AN55" s="76" t="s">
        <v>873</v>
      </c>
      <c r="AO55" s="76" t="s">
        <v>348</v>
      </c>
      <c r="AP55" s="82" t="s">
        <v>323</v>
      </c>
      <c r="AQ55" s="370">
        <f>+VLOOKUP(AP55,SharePoint!$BA$3:$BY$140,2,FALSE)</f>
        <v>0</v>
      </c>
      <c r="AR55" s="370">
        <f>+VLOOKUP(AP55,SharePoint!$BA$3:$BY$140,3,FALSE)</f>
        <v>0</v>
      </c>
      <c r="AS55" s="370">
        <f>+VLOOKUP(AP55,SharePoint!$BA$3:$BY$140,4,FALSE)</f>
        <v>321</v>
      </c>
      <c r="AT55" s="370">
        <f>+VLOOKUP(AP55,SharePoint!$BA$3:$BY$140,5,FALSE)</f>
        <v>0</v>
      </c>
      <c r="AU55" s="370">
        <f>+VLOOKUP(AP55,SharePoint!$BA$3:$BY$140,6,FALSE)</f>
        <v>0</v>
      </c>
      <c r="AV55" s="370">
        <f>+VLOOKUP(AP55,SharePoint!$BA$3:$BY$140,7,FALSE)</f>
        <v>464</v>
      </c>
      <c r="AW55" s="370">
        <f>+VLOOKUP(AP55,SharePoint!$BA$3:$BY$140,8,FALSE)</f>
        <v>0</v>
      </c>
      <c r="AX55" s="370">
        <f>+VLOOKUP(AP55,SharePoint!$BA$3:$BY$140,9,FALSE)</f>
        <v>0</v>
      </c>
      <c r="AY55" s="370">
        <f>+VLOOKUP(AP55,SharePoint!$BA$3:$BY$140,10,FALSE)</f>
        <v>0</v>
      </c>
      <c r="AZ55" s="370">
        <f>+VLOOKUP(AP55,SharePoint!$BA$3:$BY$140,11,FALSE)</f>
        <v>0</v>
      </c>
      <c r="BA55" s="370">
        <f>+VLOOKUP(AP55,SharePoint!$BA$3:$BY$140,12,FALSE)</f>
        <v>0</v>
      </c>
      <c r="BB55" s="370">
        <f>+VLOOKUP(AP55,SharePoint!$BA$3:$BY$140,13,FALSE)</f>
        <v>644</v>
      </c>
      <c r="BC55" s="226">
        <f>+VLOOKUP(AP55,SharePoint!$BA$3:$BY$140,14,FALSE)</f>
        <v>0</v>
      </c>
      <c r="BD55" s="226">
        <f>+VLOOKUP(AP55,SharePoint!$BA$3:$BY$140,15,FALSE)</f>
        <v>0</v>
      </c>
      <c r="BE55" s="226">
        <f>+VLOOKUP(AP55,SharePoint!$BA$3:$BY$140,16,FALSE)</f>
        <v>124</v>
      </c>
      <c r="BF55" s="226">
        <f>+VLOOKUP(AP55,SharePoint!$BA$3:$BY$140,17,FALSE)</f>
        <v>0</v>
      </c>
      <c r="BG55" s="226">
        <f>+VLOOKUP(AP55,SharePoint!$BA$3:$BY$140,18,FALSE)</f>
        <v>0</v>
      </c>
      <c r="BH55" s="226">
        <f>+VLOOKUP(AP55,SharePoint!$BA$3:$BY$140,19,FALSE)</f>
        <v>65</v>
      </c>
      <c r="BI55" s="226">
        <f>+VLOOKUP(AP55,SharePoint!$BA$3:$BY$140,20,FALSE)</f>
        <v>0</v>
      </c>
      <c r="BJ55" s="226">
        <f>+VLOOKUP(AP55,SharePoint!$BA$3:$BY$140,21,FALSE)</f>
        <v>0</v>
      </c>
      <c r="BK55" s="226">
        <f>+VLOOKUP(AP55,SharePoint!$BA$3:$BY$140,22,FALSE)</f>
        <v>0</v>
      </c>
      <c r="BL55" s="226">
        <f>+VLOOKUP(AP55,SharePoint!$BA$3:$BY$140,23,FALSE)</f>
        <v>0</v>
      </c>
      <c r="BM55" s="226">
        <f>+VLOOKUP(AP55,SharePoint!$BA$3:$BY$140,24,FALSE)</f>
        <v>0</v>
      </c>
      <c r="BN55" s="226">
        <f>+VLOOKUP(AP55,SharePoint!$BA$3:$BY$140,25,FALSE)</f>
        <v>212</v>
      </c>
      <c r="BO55" s="214" t="s">
        <v>873</v>
      </c>
      <c r="BP55" s="214" t="s">
        <v>873</v>
      </c>
      <c r="BQ55" s="215" t="s">
        <v>352</v>
      </c>
      <c r="BR55" s="214" t="s">
        <v>873</v>
      </c>
      <c r="BS55" s="214" t="s">
        <v>873</v>
      </c>
      <c r="BT55" s="215" t="s">
        <v>3057</v>
      </c>
      <c r="BU55" s="214" t="s">
        <v>873</v>
      </c>
      <c r="BV55" s="214" t="s">
        <v>873</v>
      </c>
      <c r="BW55" s="214" t="s">
        <v>873</v>
      </c>
      <c r="BX55" s="214" t="s">
        <v>875</v>
      </c>
      <c r="BY55" s="214" t="s">
        <v>875</v>
      </c>
      <c r="BZ55" s="214" t="s">
        <v>3145</v>
      </c>
      <c r="CA55" s="449">
        <v>2</v>
      </c>
      <c r="CB55" s="373" t="s">
        <v>3555</v>
      </c>
      <c r="CC55" s="328">
        <v>1429</v>
      </c>
      <c r="CD55" s="328">
        <v>401</v>
      </c>
      <c r="CE55" s="382">
        <f t="shared" si="2"/>
        <v>3.5635910224438905</v>
      </c>
      <c r="CF55" s="382">
        <f t="shared" si="3"/>
        <v>1</v>
      </c>
      <c r="CG55" s="327" t="s">
        <v>3509</v>
      </c>
      <c r="CH55" s="327" t="str">
        <f t="shared" si="4"/>
        <v xml:space="preserve">Porcentual </v>
      </c>
      <c r="CI55" s="327"/>
      <c r="CJ55" s="381">
        <v>1</v>
      </c>
      <c r="CK55" s="376" t="str">
        <f t="shared" si="6"/>
        <v>Delegatura de Investigaciones Administrativas</v>
      </c>
      <c r="CL55" s="376" t="str">
        <f t="shared" si="7"/>
        <v>Porcentaje de actos administrativos expedidos</v>
      </c>
      <c r="CM55" s="376" t="str">
        <f t="shared" si="8"/>
        <v>(Número de actos administrativos expedidos) / Número de solicitudes de investigación aceptadas en el semestre de reporte)*100</v>
      </c>
      <c r="CN55" s="389">
        <f t="shared" si="9"/>
        <v>1429</v>
      </c>
      <c r="CO55" s="389">
        <f t="shared" si="10"/>
        <v>401</v>
      </c>
      <c r="CP55" s="388">
        <f t="shared" si="13"/>
        <v>3.5635910224438905</v>
      </c>
      <c r="CQ55" s="377">
        <f t="shared" si="11"/>
        <v>1</v>
      </c>
      <c r="CR55" s="377" t="str">
        <f t="shared" si="12"/>
        <v>CUMPLIO</v>
      </c>
      <c r="DB55" s="381"/>
      <c r="DC55" s="381"/>
      <c r="DD55" s="381"/>
      <c r="DE55" s="381"/>
      <c r="DF55" s="381"/>
      <c r="DG55" s="381"/>
    </row>
    <row r="56" spans="1:111" s="83" customFormat="1" ht="127.5" customHeight="1" thickTop="1" thickBot="1">
      <c r="A56" s="83" t="s">
        <v>329</v>
      </c>
      <c r="B56" s="75" t="s">
        <v>198</v>
      </c>
      <c r="C56" s="75" t="s">
        <v>856</v>
      </c>
      <c r="D56" s="75" t="s">
        <v>903</v>
      </c>
      <c r="E56" s="76" t="s">
        <v>858</v>
      </c>
      <c r="F56" s="76" t="s">
        <v>859</v>
      </c>
      <c r="G56" s="76" t="s">
        <v>189</v>
      </c>
      <c r="H56" s="76" t="s">
        <v>904</v>
      </c>
      <c r="I56" s="76" t="s">
        <v>894</v>
      </c>
      <c r="J56" s="76" t="s">
        <v>895</v>
      </c>
      <c r="K56" s="76"/>
      <c r="L56" s="77" t="s">
        <v>875</v>
      </c>
      <c r="M56" s="84" t="s">
        <v>748</v>
      </c>
      <c r="N56" s="76" t="s">
        <v>329</v>
      </c>
      <c r="O56" s="84" t="s">
        <v>749</v>
      </c>
      <c r="P56" s="84" t="s">
        <v>750</v>
      </c>
      <c r="Q56" s="84" t="s">
        <v>1126</v>
      </c>
      <c r="R56" s="84" t="s">
        <v>1127</v>
      </c>
      <c r="S56" s="84" t="s">
        <v>1128</v>
      </c>
      <c r="T56" s="76" t="s">
        <v>892</v>
      </c>
      <c r="U56" s="76" t="s">
        <v>871</v>
      </c>
      <c r="V56" s="76" t="s">
        <v>872</v>
      </c>
      <c r="W56" s="81">
        <v>0</v>
      </c>
      <c r="X56" s="302">
        <v>1</v>
      </c>
      <c r="Y56" s="76"/>
      <c r="Z56" s="76"/>
      <c r="AA56" s="79">
        <v>0.25</v>
      </c>
      <c r="AB56" s="76"/>
      <c r="AC56" s="76"/>
      <c r="AD56" s="79">
        <v>0.25</v>
      </c>
      <c r="AE56" s="76"/>
      <c r="AF56" s="76"/>
      <c r="AG56" s="79">
        <v>0.25</v>
      </c>
      <c r="AH56" s="76"/>
      <c r="AI56" s="76"/>
      <c r="AJ56" s="79">
        <v>0.25</v>
      </c>
      <c r="AK56" s="76" t="s">
        <v>873</v>
      </c>
      <c r="AL56" s="76" t="s">
        <v>873</v>
      </c>
      <c r="AM56" s="76" t="s">
        <v>873</v>
      </c>
      <c r="AN56" s="76" t="s">
        <v>873</v>
      </c>
      <c r="AO56" s="76" t="s">
        <v>348</v>
      </c>
      <c r="AP56" s="82" t="s">
        <v>329</v>
      </c>
      <c r="AQ56" s="370">
        <f>+VLOOKUP(AP56,SharePoint!$BA$3:$BY$140,2,FALSE)</f>
        <v>0</v>
      </c>
      <c r="AR56" s="370">
        <f>+VLOOKUP(AP56,SharePoint!$BA$3:$BY$140,3,FALSE)</f>
        <v>0</v>
      </c>
      <c r="AS56" s="370">
        <f>+VLOOKUP(AP56,SharePoint!$BA$3:$BY$140,4,FALSE)</f>
        <v>166</v>
      </c>
      <c r="AT56" s="370">
        <f>+VLOOKUP(AP56,SharePoint!$BA$3:$BY$140,5,FALSE)</f>
        <v>0</v>
      </c>
      <c r="AU56" s="370">
        <f>+VLOOKUP(AP56,SharePoint!$BA$3:$BY$140,6,FALSE)</f>
        <v>0</v>
      </c>
      <c r="AV56" s="370">
        <f>+VLOOKUP(AP56,SharePoint!$BA$3:$BY$140,7,FALSE)</f>
        <v>136</v>
      </c>
      <c r="AW56" s="370">
        <f>+VLOOKUP(AP56,SharePoint!$BA$3:$BY$140,8,FALSE)</f>
        <v>0</v>
      </c>
      <c r="AX56" s="370">
        <f>+VLOOKUP(AP56,SharePoint!$BA$3:$BY$140,9,FALSE)</f>
        <v>0</v>
      </c>
      <c r="AY56" s="370">
        <f>+VLOOKUP(AP56,SharePoint!$BA$3:$BY$140,10,FALSE)</f>
        <v>97</v>
      </c>
      <c r="AZ56" s="370">
        <f>+VLOOKUP(AP56,SharePoint!$BA$3:$BY$140,11,FALSE)</f>
        <v>0</v>
      </c>
      <c r="BA56" s="370">
        <f>+VLOOKUP(AP56,SharePoint!$BA$3:$BY$140,12,FALSE)</f>
        <v>0</v>
      </c>
      <c r="BB56" s="370">
        <f>+VLOOKUP(AP56,SharePoint!$BA$3:$BY$140,13,FALSE)</f>
        <v>41</v>
      </c>
      <c r="BC56" s="226">
        <f>+VLOOKUP(AP56,SharePoint!$BA$3:$BY$140,14,FALSE)</f>
        <v>0</v>
      </c>
      <c r="BD56" s="226">
        <f>+VLOOKUP(AP56,SharePoint!$BA$3:$BY$140,15,FALSE)</f>
        <v>0</v>
      </c>
      <c r="BE56" s="226">
        <f>+VLOOKUP(AP56,SharePoint!$BA$3:$BY$140,16,FALSE)</f>
        <v>441</v>
      </c>
      <c r="BF56" s="226">
        <f>+VLOOKUP(AP56,SharePoint!$BA$3:$BY$140,17,FALSE)</f>
        <v>0</v>
      </c>
      <c r="BG56" s="226">
        <f>+VLOOKUP(AP56,SharePoint!$BA$3:$BY$140,18,FALSE)</f>
        <v>0</v>
      </c>
      <c r="BH56" s="226">
        <f>+VLOOKUP(AP56,SharePoint!$BA$3:$BY$140,19,FALSE)</f>
        <v>441</v>
      </c>
      <c r="BI56" s="226">
        <f>+VLOOKUP(AP56,SharePoint!$BA$3:$BY$140,20,FALSE)</f>
        <v>0</v>
      </c>
      <c r="BJ56" s="226">
        <f>+VLOOKUP(AP56,SharePoint!$BA$3:$BY$140,21,FALSE)</f>
        <v>0</v>
      </c>
      <c r="BK56" s="226">
        <f>+VLOOKUP(AP56,SharePoint!$BA$3:$BY$140,22,FALSE)</f>
        <v>441</v>
      </c>
      <c r="BL56" s="226">
        <f>+VLOOKUP(AP56,SharePoint!$BA$3:$BY$140,23,FALSE)</f>
        <v>0</v>
      </c>
      <c r="BM56" s="226">
        <f>+VLOOKUP(AP56,SharePoint!$BA$3:$BY$140,24,FALSE)</f>
        <v>0</v>
      </c>
      <c r="BN56" s="226">
        <f>+VLOOKUP(AP56,SharePoint!$BA$3:$BY$140,25,FALSE)</f>
        <v>441</v>
      </c>
      <c r="BO56" s="214" t="s">
        <v>873</v>
      </c>
      <c r="BP56" s="214" t="s">
        <v>873</v>
      </c>
      <c r="BQ56" s="215" t="s">
        <v>357</v>
      </c>
      <c r="BR56" s="214" t="s">
        <v>873</v>
      </c>
      <c r="BS56" s="214" t="s">
        <v>873</v>
      </c>
      <c r="BT56" s="215" t="s">
        <v>3058</v>
      </c>
      <c r="BU56" s="214" t="s">
        <v>873</v>
      </c>
      <c r="BV56" s="214" t="s">
        <v>873</v>
      </c>
      <c r="BW56" s="214" t="s">
        <v>3142</v>
      </c>
      <c r="BX56" s="214" t="s">
        <v>875</v>
      </c>
      <c r="BY56" s="214" t="s">
        <v>875</v>
      </c>
      <c r="BZ56" s="214" t="s">
        <v>3354</v>
      </c>
      <c r="CA56" s="449">
        <v>2</v>
      </c>
      <c r="CB56" s="339" t="s">
        <v>3545</v>
      </c>
      <c r="CC56" s="359">
        <v>440</v>
      </c>
      <c r="CD56" s="359">
        <v>441</v>
      </c>
      <c r="CE56" s="416">
        <f t="shared" si="2"/>
        <v>0.99773242630385484</v>
      </c>
      <c r="CF56" s="382">
        <f t="shared" si="3"/>
        <v>1</v>
      </c>
      <c r="CG56" s="327" t="s">
        <v>3511</v>
      </c>
      <c r="CH56" s="327" t="str">
        <f t="shared" si="4"/>
        <v xml:space="preserve">Porcentual </v>
      </c>
      <c r="CI56" s="327"/>
      <c r="CJ56" s="381">
        <v>2</v>
      </c>
      <c r="CK56" s="378" t="str">
        <f t="shared" si="6"/>
        <v>Delegatura de Investigaciones Administrativas</v>
      </c>
      <c r="CL56" s="378" t="str">
        <f t="shared" si="7"/>
        <v>Porcentaje de  decisión de fondo de  las investigaciones administrativas con riesgo de caducidad 2025</v>
      </c>
      <c r="CM56" s="378" t="str">
        <f t="shared" si="8"/>
        <v>(Número de investigaciones administrativas con riesgo de caducidad 2025, que hayan sido objeto de decisión dentro del trimestre de reporte / Número de investigaciones con caducidad 2025)*100</v>
      </c>
      <c r="CN56" s="390">
        <f t="shared" si="9"/>
        <v>440</v>
      </c>
      <c r="CO56" s="390">
        <f t="shared" si="10"/>
        <v>441</v>
      </c>
      <c r="CP56" s="387">
        <f t="shared" si="13"/>
        <v>0.99773242630385484</v>
      </c>
      <c r="CQ56" s="379">
        <f t="shared" si="11"/>
        <v>1</v>
      </c>
      <c r="CR56" s="379" t="str">
        <f t="shared" si="12"/>
        <v>INCUMPLIO</v>
      </c>
      <c r="DB56" s="381"/>
      <c r="DC56" s="381"/>
      <c r="DD56" s="381"/>
      <c r="DE56" s="381"/>
      <c r="DF56" s="381"/>
      <c r="DG56" s="381"/>
    </row>
    <row r="57" spans="1:111" s="83" customFormat="1" ht="127.5" customHeight="1" thickTop="1" thickBot="1">
      <c r="A57" s="83" t="s">
        <v>422</v>
      </c>
      <c r="B57" s="75" t="s">
        <v>151</v>
      </c>
      <c r="C57" s="75" t="s">
        <v>856</v>
      </c>
      <c r="D57" s="75" t="s">
        <v>903</v>
      </c>
      <c r="E57" s="76" t="s">
        <v>858</v>
      </c>
      <c r="F57" s="76" t="s">
        <v>859</v>
      </c>
      <c r="G57" s="76" t="s">
        <v>189</v>
      </c>
      <c r="H57" s="76" t="s">
        <v>904</v>
      </c>
      <c r="I57" s="76" t="s">
        <v>1129</v>
      </c>
      <c r="J57" s="76" t="s">
        <v>1130</v>
      </c>
      <c r="K57" s="76" t="s">
        <v>1131</v>
      </c>
      <c r="L57" s="77" t="s">
        <v>875</v>
      </c>
      <c r="M57" s="77" t="s">
        <v>423</v>
      </c>
      <c r="N57" s="76" t="s">
        <v>422</v>
      </c>
      <c r="O57" s="77" t="s">
        <v>1132</v>
      </c>
      <c r="P57" s="77" t="s">
        <v>1133</v>
      </c>
      <c r="Q57" s="77" t="s">
        <v>1134</v>
      </c>
      <c r="R57" s="77" t="s">
        <v>1135</v>
      </c>
      <c r="S57" s="77" t="s">
        <v>1136</v>
      </c>
      <c r="T57" s="76" t="s">
        <v>884</v>
      </c>
      <c r="U57" s="76" t="s">
        <v>871</v>
      </c>
      <c r="V57" s="76" t="s">
        <v>872</v>
      </c>
      <c r="W57" s="81">
        <v>0</v>
      </c>
      <c r="X57" s="300">
        <v>1</v>
      </c>
      <c r="Y57" s="76"/>
      <c r="Z57" s="76"/>
      <c r="AA57" s="79">
        <v>0.25</v>
      </c>
      <c r="AB57" s="76"/>
      <c r="AC57" s="76"/>
      <c r="AD57" s="79">
        <v>0.25</v>
      </c>
      <c r="AE57" s="76"/>
      <c r="AF57" s="76"/>
      <c r="AG57" s="79">
        <v>0.25</v>
      </c>
      <c r="AH57" s="76"/>
      <c r="AI57" s="76"/>
      <c r="AJ57" s="79">
        <v>0.25</v>
      </c>
      <c r="AK57" s="86" t="s">
        <v>899</v>
      </c>
      <c r="AL57" s="97" t="s">
        <v>1137</v>
      </c>
      <c r="AM57" s="77" t="s">
        <v>901</v>
      </c>
      <c r="AN57" s="87">
        <v>731506000</v>
      </c>
      <c r="AO57" s="76" t="s">
        <v>348</v>
      </c>
      <c r="AP57" s="82" t="s">
        <v>422</v>
      </c>
      <c r="AQ57" s="370">
        <f>+VLOOKUP(AP57,SharePoint!$BA$3:$BY$140,2,FALSE)</f>
        <v>0</v>
      </c>
      <c r="AR57" s="370">
        <f>+VLOOKUP(AP57,SharePoint!$BA$3:$BY$140,3,FALSE)</f>
        <v>0</v>
      </c>
      <c r="AS57" s="370">
        <f>+VLOOKUP(AP57,SharePoint!$BA$3:$BY$140,4,FALSE)</f>
        <v>400000000</v>
      </c>
      <c r="AT57" s="370">
        <f>+VLOOKUP(AP57,SharePoint!$BA$3:$BY$140,5,FALSE)</f>
        <v>0</v>
      </c>
      <c r="AU57" s="370">
        <f>+VLOOKUP(AP57,SharePoint!$BA$3:$BY$140,6,FALSE)</f>
        <v>0</v>
      </c>
      <c r="AV57" s="370">
        <f>+VLOOKUP(AP57,SharePoint!$BA$3:$BY$140,7,FALSE)</f>
        <v>599023035</v>
      </c>
      <c r="AW57" s="370">
        <f>+VLOOKUP(AP57,SharePoint!$BA$3:$BY$140,8,FALSE)</f>
        <v>0</v>
      </c>
      <c r="AX57" s="370">
        <f>+VLOOKUP(AP57,SharePoint!$BA$3:$BY$140,9,FALSE)</f>
        <v>0</v>
      </c>
      <c r="AY57" s="370">
        <f>+VLOOKUP(AP57,SharePoint!$BA$3:$BY$140,10,FALSE)</f>
        <v>711860467</v>
      </c>
      <c r="AZ57" s="370">
        <f>+VLOOKUP(AP57,SharePoint!$BA$3:$BY$140,11,FALSE)</f>
        <v>0</v>
      </c>
      <c r="BA57" s="370">
        <f>+VLOOKUP(AP57,SharePoint!$BA$3:$BY$140,12,FALSE)</f>
        <v>0</v>
      </c>
      <c r="BB57" s="370">
        <f>+VLOOKUP(AP57,SharePoint!$BA$3:$BY$140,13,FALSE)</f>
        <v>724231179</v>
      </c>
      <c r="BC57" s="226">
        <f>+VLOOKUP(AP57,SharePoint!$BA$3:$BY$140,14,FALSE)</f>
        <v>0</v>
      </c>
      <c r="BD57" s="226">
        <f>+VLOOKUP(AP57,SharePoint!$BA$3:$BY$140,15,FALSE)</f>
        <v>0</v>
      </c>
      <c r="BE57" s="226">
        <f>+VLOOKUP(AP57,SharePoint!$BA$3:$BY$140,16,FALSE)</f>
        <v>731506000</v>
      </c>
      <c r="BF57" s="226">
        <f>+VLOOKUP(AP57,SharePoint!$BA$3:$BY$140,17,FALSE)</f>
        <v>0</v>
      </c>
      <c r="BG57" s="226">
        <f>+VLOOKUP(AP57,SharePoint!$BA$3:$BY$140,18,FALSE)</f>
        <v>0</v>
      </c>
      <c r="BH57" s="226">
        <f>+VLOOKUP(AP57,SharePoint!$BA$3:$BY$140,19,FALSE)</f>
        <v>731506000</v>
      </c>
      <c r="BI57" s="226">
        <f>+VLOOKUP(AP57,SharePoint!$BA$3:$BY$140,20,FALSE)</f>
        <v>0</v>
      </c>
      <c r="BJ57" s="226">
        <f>+VLOOKUP(AP57,SharePoint!$BA$3:$BY$140,21,FALSE)</f>
        <v>0</v>
      </c>
      <c r="BK57" s="226">
        <f>+VLOOKUP(AP57,SharePoint!$BA$3:$BY$140,22,FALSE)</f>
        <v>731506000</v>
      </c>
      <c r="BL57" s="226">
        <f>+VLOOKUP(AP57,SharePoint!$BA$3:$BY$140,23,FALSE)</f>
        <v>0</v>
      </c>
      <c r="BM57" s="226">
        <f>+VLOOKUP(AP57,SharePoint!$BA$3:$BY$140,24,FALSE)</f>
        <v>0</v>
      </c>
      <c r="BN57" s="226">
        <f>+VLOOKUP(AP57,SharePoint!$BA$3:$BY$140,25,FALSE)</f>
        <v>724431179</v>
      </c>
      <c r="BO57" s="214" t="s">
        <v>873</v>
      </c>
      <c r="BP57" s="214" t="s">
        <v>873</v>
      </c>
      <c r="BQ57" s="215" t="s">
        <v>426</v>
      </c>
      <c r="BR57" s="214" t="s">
        <v>873</v>
      </c>
      <c r="BS57" s="214" t="s">
        <v>873</v>
      </c>
      <c r="BT57" s="215" t="s">
        <v>3059</v>
      </c>
      <c r="BU57" s="214" t="s">
        <v>873</v>
      </c>
      <c r="BV57" s="214" t="s">
        <v>873</v>
      </c>
      <c r="BW57" s="214" t="s">
        <v>3122</v>
      </c>
      <c r="BX57" s="214" t="s">
        <v>875</v>
      </c>
      <c r="BY57" s="214" t="s">
        <v>875</v>
      </c>
      <c r="BZ57" s="214" t="s">
        <v>3368</v>
      </c>
      <c r="CA57" s="449">
        <v>1</v>
      </c>
      <c r="CB57" s="346" t="s">
        <v>3482</v>
      </c>
      <c r="CC57" s="359">
        <v>724231179</v>
      </c>
      <c r="CD57" s="359">
        <f>+MAX(AR57:BC57)</f>
        <v>724231179</v>
      </c>
      <c r="CE57" s="399">
        <f t="shared" si="2"/>
        <v>1</v>
      </c>
      <c r="CF57" s="382">
        <f t="shared" si="3"/>
        <v>1</v>
      </c>
      <c r="CG57" s="327" t="s">
        <v>3511</v>
      </c>
      <c r="CH57" s="327" t="str">
        <f t="shared" si="4"/>
        <v xml:space="preserve">Porcentual </v>
      </c>
      <c r="CI57" s="327"/>
      <c r="CJ57" s="381">
        <v>3</v>
      </c>
      <c r="CK57" s="376" t="str">
        <f t="shared" si="6"/>
        <v>Delegatura de Investigaciones Administrativas</v>
      </c>
      <c r="CL57" s="376" t="str">
        <f t="shared" si="7"/>
        <v>Ejecución presupuestal de recursos solicitados y asignados para el presupuesto para el Mejoramiento en la ejecución de las acciones de supervisión y control  frente a la gestión en el SGSSS de los vigilados de la Supersalud Nacional</v>
      </c>
      <c r="CM57" s="376" t="str">
        <f t="shared" si="8"/>
        <v xml:space="preserve">Obligaciones totales/ Apropiación total asignada </v>
      </c>
      <c r="CN57" s="389">
        <f t="shared" si="9"/>
        <v>724231179</v>
      </c>
      <c r="CO57" s="389">
        <f t="shared" si="10"/>
        <v>724231179</v>
      </c>
      <c r="CP57" s="406">
        <f>+CN57/CO57</f>
        <v>1</v>
      </c>
      <c r="CQ57" s="377">
        <f t="shared" si="11"/>
        <v>1</v>
      </c>
      <c r="CR57" s="377" t="str">
        <f t="shared" si="12"/>
        <v>INCUMPLIO</v>
      </c>
      <c r="DB57" s="414"/>
      <c r="DC57" s="414"/>
      <c r="DD57" s="414"/>
      <c r="DE57" s="414"/>
      <c r="DF57" s="414"/>
      <c r="DG57" s="414"/>
    </row>
    <row r="58" spans="1:111" s="83" customFormat="1" ht="127.5" customHeight="1" thickTop="1" thickBot="1">
      <c r="A58" s="83" t="s">
        <v>306</v>
      </c>
      <c r="B58" s="97" t="s">
        <v>151</v>
      </c>
      <c r="C58" s="97" t="s">
        <v>856</v>
      </c>
      <c r="D58" s="97" t="s">
        <v>903</v>
      </c>
      <c r="E58" s="77" t="s">
        <v>858</v>
      </c>
      <c r="F58" s="77" t="s">
        <v>859</v>
      </c>
      <c r="G58" s="77" t="s">
        <v>189</v>
      </c>
      <c r="H58" s="75" t="s">
        <v>860</v>
      </c>
      <c r="I58" s="77" t="s">
        <v>894</v>
      </c>
      <c r="J58" s="76" t="s">
        <v>895</v>
      </c>
      <c r="K58" s="77" t="s">
        <v>1131</v>
      </c>
      <c r="L58" s="77" t="s">
        <v>875</v>
      </c>
      <c r="M58" s="77" t="s">
        <v>1138</v>
      </c>
      <c r="N58" s="76" t="s">
        <v>306</v>
      </c>
      <c r="O58" s="77" t="s">
        <v>759</v>
      </c>
      <c r="P58" s="77" t="s">
        <v>760</v>
      </c>
      <c r="Q58" s="77" t="s">
        <v>1139</v>
      </c>
      <c r="R58" s="77" t="s">
        <v>1140</v>
      </c>
      <c r="S58" s="77" t="s">
        <v>1141</v>
      </c>
      <c r="T58" s="76" t="s">
        <v>892</v>
      </c>
      <c r="U58" s="76" t="s">
        <v>871</v>
      </c>
      <c r="V58" s="77" t="s">
        <v>988</v>
      </c>
      <c r="W58" s="77">
        <v>0</v>
      </c>
      <c r="X58" s="302">
        <v>1</v>
      </c>
      <c r="Y58" s="77" t="s">
        <v>1057</v>
      </c>
      <c r="Z58" s="77" t="s">
        <v>1057</v>
      </c>
      <c r="AA58" s="77" t="s">
        <v>1057</v>
      </c>
      <c r="AB58" s="77" t="s">
        <v>1057</v>
      </c>
      <c r="AC58" s="77" t="s">
        <v>1057</v>
      </c>
      <c r="AD58" s="78">
        <v>1</v>
      </c>
      <c r="AE58" s="77" t="s">
        <v>1057</v>
      </c>
      <c r="AF58" s="77" t="s">
        <v>1057</v>
      </c>
      <c r="AG58" s="77" t="s">
        <v>1057</v>
      </c>
      <c r="AH58" s="77" t="s">
        <v>1057</v>
      </c>
      <c r="AI58" s="76"/>
      <c r="AJ58" s="78">
        <v>1</v>
      </c>
      <c r="AK58" s="76" t="s">
        <v>873</v>
      </c>
      <c r="AL58" s="76" t="s">
        <v>873</v>
      </c>
      <c r="AM58" s="76" t="s">
        <v>873</v>
      </c>
      <c r="AN58" s="76" t="s">
        <v>873</v>
      </c>
      <c r="AO58" s="76" t="s">
        <v>348</v>
      </c>
      <c r="AP58" s="82" t="s">
        <v>306</v>
      </c>
      <c r="AQ58" s="370">
        <f>+VLOOKUP(AP58,SharePoint!$BA$3:$BY$140,2,FALSE)</f>
        <v>0</v>
      </c>
      <c r="AR58" s="370">
        <f>+VLOOKUP(AP58,SharePoint!$BA$3:$BY$140,3,FALSE)</f>
        <v>0</v>
      </c>
      <c r="AS58" s="370">
        <f>+VLOOKUP(AP58,SharePoint!$BA$3:$BY$140,4,FALSE)</f>
        <v>0</v>
      </c>
      <c r="AT58" s="370">
        <f>+VLOOKUP(AP58,SharePoint!$BA$3:$BY$140,5,FALSE)</f>
        <v>0</v>
      </c>
      <c r="AU58" s="370">
        <f>+VLOOKUP(AP58,SharePoint!$BA$3:$BY$140,6,FALSE)</f>
        <v>0</v>
      </c>
      <c r="AV58" s="370">
        <f>+VLOOKUP(AP58,SharePoint!$BA$3:$BY$140,7,FALSE)</f>
        <v>189</v>
      </c>
      <c r="AW58" s="370">
        <f>+VLOOKUP(AP58,SharePoint!$BA$3:$BY$140,8,FALSE)</f>
        <v>0</v>
      </c>
      <c r="AX58" s="370">
        <f>+VLOOKUP(AP58,SharePoint!$BA$3:$BY$140,9,FALSE)</f>
        <v>0</v>
      </c>
      <c r="AY58" s="370">
        <f>+VLOOKUP(AP58,SharePoint!$BA$3:$BY$140,10,FALSE)</f>
        <v>0</v>
      </c>
      <c r="AZ58" s="370">
        <f>+VLOOKUP(AP58,SharePoint!$BA$3:$BY$140,11,FALSE)</f>
        <v>0</v>
      </c>
      <c r="BA58" s="370">
        <f>+VLOOKUP(AP58,SharePoint!$BA$3:$BY$140,12,FALSE)</f>
        <v>0</v>
      </c>
      <c r="BB58" s="370">
        <f>+VLOOKUP(AP58,SharePoint!$BA$3:$BY$140,13,FALSE)</f>
        <v>143</v>
      </c>
      <c r="BC58" s="226">
        <f>+VLOOKUP(AP58,SharePoint!$BA$3:$BY$140,14,FALSE)</f>
        <v>0</v>
      </c>
      <c r="BD58" s="226">
        <f>+VLOOKUP(AP58,SharePoint!$BA$3:$BY$140,15,FALSE)</f>
        <v>0</v>
      </c>
      <c r="BE58" s="226">
        <f>+VLOOKUP(AP58,SharePoint!$BA$3:$BY$140,16,FALSE)</f>
        <v>0</v>
      </c>
      <c r="BF58" s="226">
        <f>+VLOOKUP(AP58,SharePoint!$BA$3:$BY$140,17,FALSE)</f>
        <v>0</v>
      </c>
      <c r="BG58" s="226">
        <f>+VLOOKUP(AP58,SharePoint!$BA$3:$BY$140,18,FALSE)</f>
        <v>0</v>
      </c>
      <c r="BH58" s="226">
        <f>+VLOOKUP(AP58,SharePoint!$BA$3:$BY$140,19,FALSE)</f>
        <v>376</v>
      </c>
      <c r="BI58" s="226">
        <f>+VLOOKUP(AP58,SharePoint!$BA$3:$BY$140,20,FALSE)</f>
        <v>0</v>
      </c>
      <c r="BJ58" s="226">
        <f>+VLOOKUP(AP58,SharePoint!$BA$3:$BY$140,21,FALSE)</f>
        <v>0</v>
      </c>
      <c r="BK58" s="226">
        <f>+VLOOKUP(AP58,SharePoint!$BA$3:$BY$140,22,FALSE)</f>
        <v>0</v>
      </c>
      <c r="BL58" s="226">
        <f>+VLOOKUP(AP58,SharePoint!$BA$3:$BY$140,23,FALSE)</f>
        <v>0</v>
      </c>
      <c r="BM58" s="226">
        <f>+VLOOKUP(AP58,SharePoint!$BA$3:$BY$140,24,FALSE)</f>
        <v>0</v>
      </c>
      <c r="BN58" s="226">
        <f>+VLOOKUP(AP58,SharePoint!$BA$3:$BY$140,25,FALSE)</f>
        <v>222</v>
      </c>
      <c r="BO58" s="214" t="s">
        <v>873</v>
      </c>
      <c r="BP58" s="214" t="s">
        <v>873</v>
      </c>
      <c r="BQ58" s="214" t="s">
        <v>873</v>
      </c>
      <c r="BR58" s="214" t="s">
        <v>873</v>
      </c>
      <c r="BS58" s="214" t="s">
        <v>873</v>
      </c>
      <c r="BT58" s="214" t="s">
        <v>3060</v>
      </c>
      <c r="BU58" s="214" t="s">
        <v>873</v>
      </c>
      <c r="BV58" s="214" t="s">
        <v>873</v>
      </c>
      <c r="BW58" s="214" t="s">
        <v>873</v>
      </c>
      <c r="BX58" s="214" t="s">
        <v>875</v>
      </c>
      <c r="BY58" s="214" t="s">
        <v>875</v>
      </c>
      <c r="BZ58" s="214" t="s">
        <v>3352</v>
      </c>
      <c r="CA58" s="449">
        <v>2</v>
      </c>
      <c r="CB58" s="339" t="s">
        <v>3529</v>
      </c>
      <c r="CC58" s="359">
        <f t="shared" si="0"/>
        <v>332</v>
      </c>
      <c r="CD58" s="359">
        <f t="shared" si="1"/>
        <v>598</v>
      </c>
      <c r="CE58" s="382">
        <f t="shared" si="2"/>
        <v>0.55518394648829428</v>
      </c>
      <c r="CF58" s="382">
        <f t="shared" si="3"/>
        <v>1</v>
      </c>
      <c r="CG58" s="327" t="s">
        <v>3511</v>
      </c>
      <c r="CH58" s="327" t="str">
        <f t="shared" si="4"/>
        <v xml:space="preserve">Porcentual </v>
      </c>
      <c r="CI58" s="327"/>
      <c r="CJ58" s="381">
        <v>4</v>
      </c>
      <c r="CK58" s="378" t="str">
        <f t="shared" si="6"/>
        <v>Delegatura de Investigaciones Administrativas</v>
      </c>
      <c r="CL58" s="378" t="str">
        <f t="shared" si="7"/>
        <v>Porcentaje de solicitudes de investigación aceptadas tras cumplir ANS</v>
      </c>
      <c r="CM58" s="378" t="str">
        <f t="shared" si="8"/>
        <v>(Número de solicitudes de investigación aceptadas) / Número de solicitudes de investigación recibidas  en el semestre de reporte)*100</v>
      </c>
      <c r="CN58" s="390">
        <f t="shared" si="9"/>
        <v>332</v>
      </c>
      <c r="CO58" s="390">
        <f t="shared" si="10"/>
        <v>598</v>
      </c>
      <c r="CP58" s="387">
        <f t="shared" si="13"/>
        <v>0.55518394648829428</v>
      </c>
      <c r="CQ58" s="379">
        <f t="shared" si="11"/>
        <v>1</v>
      </c>
      <c r="CR58" s="379" t="str">
        <f t="shared" si="12"/>
        <v>INCUMPLIO</v>
      </c>
      <c r="DB58" s="381"/>
      <c r="DC58" s="381"/>
      <c r="DD58" s="381"/>
      <c r="DE58" s="381"/>
      <c r="DF58" s="381"/>
      <c r="DG58" s="381"/>
    </row>
    <row r="59" spans="1:111" s="329" customFormat="1" ht="127.5" customHeight="1" thickTop="1" thickBot="1">
      <c r="A59" s="329" t="s">
        <v>316</v>
      </c>
      <c r="B59" s="330" t="s">
        <v>151</v>
      </c>
      <c r="C59" s="330" t="s">
        <v>856</v>
      </c>
      <c r="D59" s="330" t="s">
        <v>903</v>
      </c>
      <c r="E59" s="330" t="s">
        <v>858</v>
      </c>
      <c r="F59" s="330" t="s">
        <v>859</v>
      </c>
      <c r="G59" s="330" t="s">
        <v>189</v>
      </c>
      <c r="H59" s="331" t="s">
        <v>904</v>
      </c>
      <c r="I59" s="330" t="s">
        <v>894</v>
      </c>
      <c r="J59" s="330" t="s">
        <v>895</v>
      </c>
      <c r="K59" s="330" t="s">
        <v>1131</v>
      </c>
      <c r="L59" s="331" t="s">
        <v>1142</v>
      </c>
      <c r="M59" s="330" t="s">
        <v>427</v>
      </c>
      <c r="N59" s="330" t="s">
        <v>316</v>
      </c>
      <c r="O59" s="330" t="s">
        <v>1143</v>
      </c>
      <c r="P59" s="331" t="s">
        <v>1144</v>
      </c>
      <c r="Q59" s="331" t="s">
        <v>1145</v>
      </c>
      <c r="R59" s="331" t="s">
        <v>1146</v>
      </c>
      <c r="S59" s="331" t="s">
        <v>1147</v>
      </c>
      <c r="T59" s="330" t="s">
        <v>892</v>
      </c>
      <c r="U59" s="330" t="s">
        <v>871</v>
      </c>
      <c r="V59" s="330" t="s">
        <v>872</v>
      </c>
      <c r="W59" s="332">
        <v>0</v>
      </c>
      <c r="X59" s="333">
        <v>1</v>
      </c>
      <c r="Y59" s="330"/>
      <c r="Z59" s="330"/>
      <c r="AA59" s="334">
        <v>1</v>
      </c>
      <c r="AB59" s="330"/>
      <c r="AC59" s="330"/>
      <c r="AD59" s="334">
        <v>1</v>
      </c>
      <c r="AE59" s="330"/>
      <c r="AF59" s="330"/>
      <c r="AG59" s="334">
        <v>1</v>
      </c>
      <c r="AH59" s="330"/>
      <c r="AI59" s="330"/>
      <c r="AJ59" s="334">
        <v>1</v>
      </c>
      <c r="AK59" s="330" t="s">
        <v>873</v>
      </c>
      <c r="AL59" s="330" t="s">
        <v>873</v>
      </c>
      <c r="AM59" s="330" t="s">
        <v>873</v>
      </c>
      <c r="AN59" s="330" t="s">
        <v>873</v>
      </c>
      <c r="AO59" s="330" t="s">
        <v>348</v>
      </c>
      <c r="AP59" s="335" t="s">
        <v>316</v>
      </c>
      <c r="AQ59" s="371">
        <f>+VLOOKUP(AP59,SharePoint!$BA$3:$BY$140,2,FALSE)</f>
        <v>0</v>
      </c>
      <c r="AR59" s="371">
        <f>+VLOOKUP(AP59,SharePoint!$BA$3:$BY$140,3,FALSE)</f>
        <v>0</v>
      </c>
      <c r="AS59" s="371">
        <f>+VLOOKUP(AP59,SharePoint!$BA$3:$BY$140,4,FALSE)</f>
        <v>0</v>
      </c>
      <c r="AT59" s="371">
        <f>+VLOOKUP(AP59,SharePoint!$BA$3:$BY$140,5,FALSE)</f>
        <v>0</v>
      </c>
      <c r="AU59" s="371">
        <f>+VLOOKUP(AP59,SharePoint!$BA$3:$BY$140,6,FALSE)</f>
        <v>0</v>
      </c>
      <c r="AV59" s="371">
        <f>+VLOOKUP(AP59,SharePoint!$BA$3:$BY$140,7,FALSE)</f>
        <v>87</v>
      </c>
      <c r="AW59" s="371">
        <f>+VLOOKUP(AP59,SharePoint!$BA$3:$BY$140,8,FALSE)</f>
        <v>0</v>
      </c>
      <c r="AX59" s="371">
        <f>+VLOOKUP(AP59,SharePoint!$BA$3:$BY$140,9,FALSE)</f>
        <v>0</v>
      </c>
      <c r="AY59" s="371">
        <f>+VLOOKUP(AP59,SharePoint!$BA$3:$BY$140,10,FALSE)</f>
        <v>116</v>
      </c>
      <c r="AZ59" s="371">
        <f>+VLOOKUP(AP59,SharePoint!$BA$3:$BY$140,11,FALSE)</f>
        <v>0</v>
      </c>
      <c r="BA59" s="371">
        <f>+VLOOKUP(AP59,SharePoint!$BA$3:$BY$140,12,FALSE)</f>
        <v>0</v>
      </c>
      <c r="BB59" s="371">
        <f>+VLOOKUP(AP59,SharePoint!$BA$3:$BY$140,13,FALSE)</f>
        <v>0</v>
      </c>
      <c r="BC59" s="336">
        <f>+VLOOKUP(AP59,SharePoint!$BA$3:$BY$140,14,FALSE)</f>
        <v>0</v>
      </c>
      <c r="BD59" s="336">
        <f>+VLOOKUP(AP59,SharePoint!$BA$3:$BY$140,15,FALSE)</f>
        <v>0</v>
      </c>
      <c r="BE59" s="336">
        <f>+VLOOKUP(AP59,SharePoint!$BA$3:$BY$140,16,FALSE)</f>
        <v>1</v>
      </c>
      <c r="BF59" s="336">
        <f>+VLOOKUP(AP59,SharePoint!$BA$3:$BY$140,17,FALSE)</f>
        <v>0</v>
      </c>
      <c r="BG59" s="336">
        <f>+VLOOKUP(AP59,SharePoint!$BA$3:$BY$140,18,FALSE)</f>
        <v>0</v>
      </c>
      <c r="BH59" s="336">
        <f>+VLOOKUP(AP59,SharePoint!$BA$3:$BY$140,19,FALSE)</f>
        <v>1</v>
      </c>
      <c r="BI59" s="336">
        <f>+VLOOKUP(AP59,SharePoint!$BA$3:$BY$140,20,FALSE)</f>
        <v>0</v>
      </c>
      <c r="BJ59" s="336">
        <f>+VLOOKUP(AP59,SharePoint!$BA$3:$BY$140,21,FALSE)</f>
        <v>0</v>
      </c>
      <c r="BK59" s="336">
        <f>+VLOOKUP(AP59,SharePoint!$BA$3:$BY$140,22,FALSE)</f>
        <v>2</v>
      </c>
      <c r="BL59" s="336">
        <f>+VLOOKUP(AP59,SharePoint!$BA$3:$BY$140,23,FALSE)</f>
        <v>0</v>
      </c>
      <c r="BM59" s="336">
        <f>+VLOOKUP(AP59,SharePoint!$BA$3:$BY$140,24,FALSE)</f>
        <v>0</v>
      </c>
      <c r="BN59" s="336">
        <f>+VLOOKUP(AP59,SharePoint!$BA$3:$BY$140,25,FALSE)</f>
        <v>0</v>
      </c>
      <c r="BO59" s="337" t="s">
        <v>873</v>
      </c>
      <c r="BP59" s="337" t="s">
        <v>873</v>
      </c>
      <c r="BQ59" s="338" t="s">
        <v>430</v>
      </c>
      <c r="BR59" s="337" t="s">
        <v>873</v>
      </c>
      <c r="BS59" s="337" t="s">
        <v>873</v>
      </c>
      <c r="BT59" s="338" t="s">
        <v>3061</v>
      </c>
      <c r="BU59" s="337" t="s">
        <v>873</v>
      </c>
      <c r="BV59" s="337" t="s">
        <v>873</v>
      </c>
      <c r="BW59" s="337" t="s">
        <v>2833</v>
      </c>
      <c r="BX59" s="337" t="e">
        <v>#N/A</v>
      </c>
      <c r="BY59" s="337" t="e">
        <v>#N/A</v>
      </c>
      <c r="BZ59" s="337" t="e">
        <v>#N/A</v>
      </c>
      <c r="CA59" s="450">
        <v>2</v>
      </c>
      <c r="CB59" s="339"/>
      <c r="CC59" s="360"/>
      <c r="CD59" s="360"/>
      <c r="CE59" s="383"/>
      <c r="CF59" s="383"/>
      <c r="CG59" s="327" t="s">
        <v>876</v>
      </c>
      <c r="CH59" s="327" t="str">
        <f t="shared" si="4"/>
        <v xml:space="preserve">Porcentual </v>
      </c>
      <c r="CI59" s="327"/>
      <c r="CJ59" s="381">
        <v>5</v>
      </c>
      <c r="CK59" s="376" t="str">
        <f t="shared" si="6"/>
        <v>Delegatura de Investigaciones Administrativas</v>
      </c>
      <c r="CL59" s="376" t="str">
        <f t="shared" si="7"/>
        <v xml:space="preserve">Porcentaje de procesos con aplicación de la politica sancionatoria reformulada a metodologia desarrollada para la priorizacion de casos de relevancia nacional, sobre el total de expedientes </v>
      </c>
      <c r="CM59" s="376" t="str">
        <f t="shared" si="8"/>
        <v>(Numero de procesos iniciados con aplicación de la política sancionatoria y priorización de casos  / Total de expedientes tramitados en el semestre)*100</v>
      </c>
      <c r="CN59" s="389">
        <f t="shared" si="9"/>
        <v>0</v>
      </c>
      <c r="CO59" s="389">
        <f t="shared" si="10"/>
        <v>0</v>
      </c>
      <c r="CP59" s="388" t="e">
        <f t="shared" si="13"/>
        <v>#DIV/0!</v>
      </c>
      <c r="CQ59" s="377">
        <f t="shared" si="11"/>
        <v>0</v>
      </c>
      <c r="CR59" s="377" t="str">
        <f t="shared" si="12"/>
        <v>-</v>
      </c>
      <c r="DB59" s="381"/>
      <c r="DC59" s="381"/>
      <c r="DD59" s="381"/>
      <c r="DE59" s="381"/>
      <c r="DF59" s="381"/>
      <c r="DG59" s="381"/>
    </row>
    <row r="60" spans="1:111" s="83" customFormat="1" ht="127.5" customHeight="1" thickTop="1" thickBot="1">
      <c r="A60" s="83" t="s">
        <v>534</v>
      </c>
      <c r="B60" s="75" t="s">
        <v>151</v>
      </c>
      <c r="C60" s="75" t="s">
        <v>856</v>
      </c>
      <c r="D60" s="75" t="s">
        <v>903</v>
      </c>
      <c r="E60" s="76" t="s">
        <v>858</v>
      </c>
      <c r="F60" s="76" t="s">
        <v>859</v>
      </c>
      <c r="G60" s="76" t="s">
        <v>150</v>
      </c>
      <c r="H60" s="75" t="s">
        <v>860</v>
      </c>
      <c r="I60" s="76" t="s">
        <v>1148</v>
      </c>
      <c r="J60" s="76" t="s">
        <v>1149</v>
      </c>
      <c r="K60" s="77" t="s">
        <v>1150</v>
      </c>
      <c r="L60" s="77" t="s">
        <v>1151</v>
      </c>
      <c r="M60" s="77" t="s">
        <v>1152</v>
      </c>
      <c r="N60" s="76" t="s">
        <v>534</v>
      </c>
      <c r="O60" s="77" t="s">
        <v>1153</v>
      </c>
      <c r="P60" s="77" t="s">
        <v>1154</v>
      </c>
      <c r="Q60" s="77" t="s">
        <v>1154</v>
      </c>
      <c r="R60" s="77" t="s">
        <v>876</v>
      </c>
      <c r="S60" s="77" t="s">
        <v>1155</v>
      </c>
      <c r="T60" s="76" t="s">
        <v>870</v>
      </c>
      <c r="U60" s="76" t="s">
        <v>157</v>
      </c>
      <c r="V60" s="76" t="s">
        <v>988</v>
      </c>
      <c r="W60" s="76">
        <v>16</v>
      </c>
      <c r="X60" s="299">
        <v>14</v>
      </c>
      <c r="Y60" s="76"/>
      <c r="Z60" s="76"/>
      <c r="AA60" s="76"/>
      <c r="AB60" s="76"/>
      <c r="AC60" s="76"/>
      <c r="AD60" s="76">
        <v>7</v>
      </c>
      <c r="AE60" s="76"/>
      <c r="AF60" s="76"/>
      <c r="AG60" s="76"/>
      <c r="AH60" s="76"/>
      <c r="AI60" s="76"/>
      <c r="AJ60" s="76">
        <v>7</v>
      </c>
      <c r="AK60" s="77" t="s">
        <v>1156</v>
      </c>
      <c r="AL60" s="77" t="s">
        <v>1157</v>
      </c>
      <c r="AM60" s="77" t="s">
        <v>1158</v>
      </c>
      <c r="AN60" s="105">
        <v>127891657</v>
      </c>
      <c r="AO60" s="76" t="s">
        <v>152</v>
      </c>
      <c r="AP60" s="82" t="s">
        <v>534</v>
      </c>
      <c r="AQ60" s="370">
        <f>+VLOOKUP(AP60,SharePoint!$BA$3:$BY$140,2,FALSE)</f>
        <v>0</v>
      </c>
      <c r="AR60" s="370">
        <f>+VLOOKUP(AP60,SharePoint!$BA$3:$BY$140,3,FALSE)</f>
        <v>0</v>
      </c>
      <c r="AS60" s="370">
        <f>+VLOOKUP(AP60,SharePoint!$BA$3:$BY$140,4,FALSE)</f>
        <v>0</v>
      </c>
      <c r="AT60" s="370">
        <f>+VLOOKUP(AP60,SharePoint!$BA$3:$BY$140,5,FALSE)</f>
        <v>0</v>
      </c>
      <c r="AU60" s="370">
        <f>+VLOOKUP(AP60,SharePoint!$BA$3:$BY$140,6,FALSE)</f>
        <v>0</v>
      </c>
      <c r="AV60" s="370">
        <f>+VLOOKUP(AP60,SharePoint!$BA$3:$BY$140,7,FALSE)</f>
        <v>7</v>
      </c>
      <c r="AW60" s="370">
        <f>+VLOOKUP(AP60,SharePoint!$BA$3:$BY$140,8,FALSE)</f>
        <v>0</v>
      </c>
      <c r="AX60" s="370">
        <f>+VLOOKUP(AP60,SharePoint!$BA$3:$BY$140,9,FALSE)</f>
        <v>0</v>
      </c>
      <c r="AY60" s="370">
        <f>+VLOOKUP(AP60,SharePoint!$BA$3:$BY$140,10,FALSE)</f>
        <v>0</v>
      </c>
      <c r="AZ60" s="370">
        <f>+VLOOKUP(AP60,SharePoint!$BA$3:$BY$140,11,FALSE)</f>
        <v>0</v>
      </c>
      <c r="BA60" s="370">
        <f>+VLOOKUP(AP60,SharePoint!$BA$3:$BY$140,12,FALSE)</f>
        <v>0</v>
      </c>
      <c r="BB60" s="370">
        <f>+VLOOKUP(AP60,SharePoint!$BA$3:$BY$140,13,FALSE)</f>
        <v>7</v>
      </c>
      <c r="BC60" s="226">
        <f>+VLOOKUP(AP60,SharePoint!$BA$3:$BY$140,14,FALSE)</f>
        <v>0</v>
      </c>
      <c r="BD60" s="226">
        <f>+VLOOKUP(AP60,SharePoint!$BA$3:$BY$140,15,FALSE)</f>
        <v>0</v>
      </c>
      <c r="BE60" s="226">
        <f>+VLOOKUP(AP60,SharePoint!$BA$3:$BY$140,16,FALSE)</f>
        <v>0</v>
      </c>
      <c r="BF60" s="226">
        <f>+VLOOKUP(AP60,SharePoint!$BA$3:$BY$140,17,FALSE)</f>
        <v>0</v>
      </c>
      <c r="BG60" s="226">
        <f>+VLOOKUP(AP60,SharePoint!$BA$3:$BY$140,18,FALSE)</f>
        <v>0</v>
      </c>
      <c r="BH60" s="226">
        <f>+VLOOKUP(AP60,SharePoint!$BA$3:$BY$140,19,FALSE)</f>
        <v>7</v>
      </c>
      <c r="BI60" s="226">
        <f>+VLOOKUP(AP60,SharePoint!$BA$3:$BY$140,20,FALSE)</f>
        <v>0</v>
      </c>
      <c r="BJ60" s="226">
        <f>+VLOOKUP(AP60,SharePoint!$BA$3:$BY$140,21,FALSE)</f>
        <v>0</v>
      </c>
      <c r="BK60" s="226">
        <f>+VLOOKUP(AP60,SharePoint!$BA$3:$BY$140,22,FALSE)</f>
        <v>0</v>
      </c>
      <c r="BL60" s="226">
        <f>+VLOOKUP(AP60,SharePoint!$BA$3:$BY$140,23,FALSE)</f>
        <v>0</v>
      </c>
      <c r="BM60" s="226">
        <f>+VLOOKUP(AP60,SharePoint!$BA$3:$BY$140,24,FALSE)</f>
        <v>0</v>
      </c>
      <c r="BN60" s="226">
        <f>+VLOOKUP(AP60,SharePoint!$BA$3:$BY$140,25,FALSE)</f>
        <v>7</v>
      </c>
      <c r="BO60" s="214" t="s">
        <v>873</v>
      </c>
      <c r="BP60" s="214" t="s">
        <v>873</v>
      </c>
      <c r="BQ60" s="214" t="s">
        <v>873</v>
      </c>
      <c r="BR60" s="214" t="s">
        <v>873</v>
      </c>
      <c r="BS60" s="214" t="s">
        <v>873</v>
      </c>
      <c r="BT60" s="215" t="s">
        <v>2802</v>
      </c>
      <c r="BU60" s="214" t="s">
        <v>873</v>
      </c>
      <c r="BV60" s="214" t="s">
        <v>873</v>
      </c>
      <c r="BW60" s="214" t="s">
        <v>873</v>
      </c>
      <c r="BX60" s="214" t="s">
        <v>875</v>
      </c>
      <c r="BY60" s="214" t="s">
        <v>875</v>
      </c>
      <c r="BZ60" s="214" t="s">
        <v>3153</v>
      </c>
      <c r="CA60" s="449">
        <v>1</v>
      </c>
      <c r="CB60" s="373" t="s">
        <v>3523</v>
      </c>
      <c r="CC60" s="328">
        <v>14</v>
      </c>
      <c r="CD60" s="328">
        <v>14</v>
      </c>
      <c r="CE60" s="343">
        <f t="shared" si="2"/>
        <v>1</v>
      </c>
      <c r="CF60" s="381">
        <f t="shared" si="3"/>
        <v>14</v>
      </c>
      <c r="CG60" s="327" t="s">
        <v>3509</v>
      </c>
      <c r="CH60" s="327" t="str">
        <f t="shared" si="4"/>
        <v>Numérica</v>
      </c>
      <c r="CI60" s="327"/>
      <c r="CJ60" s="381">
        <v>1</v>
      </c>
      <c r="CK60" s="378" t="str">
        <f t="shared" si="6"/>
        <v>Delegatura Función Jurisdiccional y de Conciliación</v>
      </c>
      <c r="CL60" s="378" t="str">
        <f t="shared" si="7"/>
        <v xml:space="preserve">Pre jornadas  de la función de conciliación con informes de resultados </v>
      </c>
      <c r="CM60" s="378" t="str">
        <f t="shared" si="8"/>
        <v xml:space="preserve">Número de Pre jornadas  de la función de conciliación con informes de resultados </v>
      </c>
      <c r="CN60" s="390">
        <f t="shared" si="9"/>
        <v>14</v>
      </c>
      <c r="CO60" s="390">
        <f t="shared" si="10"/>
        <v>14</v>
      </c>
      <c r="CP60" s="387">
        <f t="shared" si="13"/>
        <v>1</v>
      </c>
      <c r="CQ60" s="378">
        <f t="shared" si="11"/>
        <v>14</v>
      </c>
      <c r="CR60" s="379" t="str">
        <f t="shared" si="12"/>
        <v>CUMPLIO</v>
      </c>
      <c r="DB60" s="381"/>
      <c r="DC60" s="381"/>
      <c r="DD60" s="381"/>
      <c r="DE60" s="381"/>
      <c r="DF60" s="381"/>
      <c r="DG60" s="381"/>
    </row>
    <row r="61" spans="1:111" s="83" customFormat="1" ht="127.5" customHeight="1" thickTop="1" thickBot="1">
      <c r="A61" s="83" t="s">
        <v>536</v>
      </c>
      <c r="B61" s="75" t="s">
        <v>151</v>
      </c>
      <c r="C61" s="75" t="s">
        <v>856</v>
      </c>
      <c r="D61" s="75" t="s">
        <v>903</v>
      </c>
      <c r="E61" s="76" t="s">
        <v>858</v>
      </c>
      <c r="F61" s="76" t="s">
        <v>859</v>
      </c>
      <c r="G61" s="76" t="s">
        <v>150</v>
      </c>
      <c r="H61" s="75" t="s">
        <v>860</v>
      </c>
      <c r="I61" s="76" t="s">
        <v>1148</v>
      </c>
      <c r="J61" s="76" t="s">
        <v>1149</v>
      </c>
      <c r="K61" s="77" t="s">
        <v>1150</v>
      </c>
      <c r="L61" s="77" t="s">
        <v>1151</v>
      </c>
      <c r="M61" s="77" t="s">
        <v>1159</v>
      </c>
      <c r="N61" s="76" t="s">
        <v>536</v>
      </c>
      <c r="O61" s="77" t="s">
        <v>1160</v>
      </c>
      <c r="P61" s="77" t="s">
        <v>1161</v>
      </c>
      <c r="Q61" s="77" t="s">
        <v>1161</v>
      </c>
      <c r="R61" s="77" t="s">
        <v>876</v>
      </c>
      <c r="S61" s="77" t="s">
        <v>1162</v>
      </c>
      <c r="T61" s="76" t="s">
        <v>870</v>
      </c>
      <c r="U61" s="76" t="s">
        <v>157</v>
      </c>
      <c r="V61" s="76" t="s">
        <v>988</v>
      </c>
      <c r="W61" s="76">
        <v>16</v>
      </c>
      <c r="X61" s="299">
        <v>14</v>
      </c>
      <c r="Y61" s="76"/>
      <c r="Z61" s="76"/>
      <c r="AA61" s="76"/>
      <c r="AB61" s="76"/>
      <c r="AC61" s="76"/>
      <c r="AD61" s="76">
        <v>7</v>
      </c>
      <c r="AE61" s="76"/>
      <c r="AF61" s="76"/>
      <c r="AG61" s="76"/>
      <c r="AH61" s="76"/>
      <c r="AI61" s="76"/>
      <c r="AJ61" s="76">
        <v>7</v>
      </c>
      <c r="AK61" s="77" t="s">
        <v>1156</v>
      </c>
      <c r="AL61" s="77" t="s">
        <v>1163</v>
      </c>
      <c r="AM61" s="77" t="s">
        <v>1158</v>
      </c>
      <c r="AN61" s="105">
        <v>473041388</v>
      </c>
      <c r="AO61" s="76" t="s">
        <v>152</v>
      </c>
      <c r="AP61" s="82" t="s">
        <v>536</v>
      </c>
      <c r="AQ61" s="370">
        <f>+VLOOKUP(AP61,SharePoint!$BA$3:$BY$140,2,FALSE)</f>
        <v>0</v>
      </c>
      <c r="AR61" s="370">
        <f>+VLOOKUP(AP61,SharePoint!$BA$3:$BY$140,3,FALSE)</f>
        <v>0</v>
      </c>
      <c r="AS61" s="370">
        <f>+VLOOKUP(AP61,SharePoint!$BA$3:$BY$140,4,FALSE)</f>
        <v>0</v>
      </c>
      <c r="AT61" s="370">
        <f>+VLOOKUP(AP61,SharePoint!$BA$3:$BY$140,5,FALSE)</f>
        <v>0</v>
      </c>
      <c r="AU61" s="370">
        <f>+VLOOKUP(AP61,SharePoint!$BA$3:$BY$140,6,FALSE)</f>
        <v>0</v>
      </c>
      <c r="AV61" s="370">
        <f>+VLOOKUP(AP61,SharePoint!$BA$3:$BY$140,7,FALSE)</f>
        <v>7</v>
      </c>
      <c r="AW61" s="370">
        <f>+VLOOKUP(AP61,SharePoint!$BA$3:$BY$140,8,FALSE)</f>
        <v>0</v>
      </c>
      <c r="AX61" s="370">
        <f>+VLOOKUP(AP61,SharePoint!$BA$3:$BY$140,9,FALSE)</f>
        <v>0</v>
      </c>
      <c r="AY61" s="370">
        <f>+VLOOKUP(AP61,SharePoint!$BA$3:$BY$140,10,FALSE)</f>
        <v>0</v>
      </c>
      <c r="AZ61" s="370">
        <f>+VLOOKUP(AP61,SharePoint!$BA$3:$BY$140,11,FALSE)</f>
        <v>0</v>
      </c>
      <c r="BA61" s="370">
        <f>+VLOOKUP(AP61,SharePoint!$BA$3:$BY$140,12,FALSE)</f>
        <v>0</v>
      </c>
      <c r="BB61" s="370">
        <f>+VLOOKUP(AP61,SharePoint!$BA$3:$BY$140,13,FALSE)</f>
        <v>7</v>
      </c>
      <c r="BC61" s="226">
        <f>+VLOOKUP(AP61,SharePoint!$BA$3:$BY$140,14,FALSE)</f>
        <v>0</v>
      </c>
      <c r="BD61" s="226">
        <f>+VLOOKUP(AP61,SharePoint!$BA$3:$BY$140,15,FALSE)</f>
        <v>0</v>
      </c>
      <c r="BE61" s="226">
        <f>+VLOOKUP(AP61,SharePoint!$BA$3:$BY$140,16,FALSE)</f>
        <v>0</v>
      </c>
      <c r="BF61" s="226">
        <f>+VLOOKUP(AP61,SharePoint!$BA$3:$BY$140,17,FALSE)</f>
        <v>0</v>
      </c>
      <c r="BG61" s="226">
        <f>+VLOOKUP(AP61,SharePoint!$BA$3:$BY$140,18,FALSE)</f>
        <v>0</v>
      </c>
      <c r="BH61" s="226">
        <f>+VLOOKUP(AP61,SharePoint!$BA$3:$BY$140,19,FALSE)</f>
        <v>7</v>
      </c>
      <c r="BI61" s="226">
        <f>+VLOOKUP(AP61,SharePoint!$BA$3:$BY$140,20,FALSE)</f>
        <v>0</v>
      </c>
      <c r="BJ61" s="226">
        <f>+VLOOKUP(AP61,SharePoint!$BA$3:$BY$140,21,FALSE)</f>
        <v>0</v>
      </c>
      <c r="BK61" s="226">
        <f>+VLOOKUP(AP61,SharePoint!$BA$3:$BY$140,22,FALSE)</f>
        <v>0</v>
      </c>
      <c r="BL61" s="226">
        <f>+VLOOKUP(AP61,SharePoint!$BA$3:$BY$140,23,FALSE)</f>
        <v>0</v>
      </c>
      <c r="BM61" s="226">
        <f>+VLOOKUP(AP61,SharePoint!$BA$3:$BY$140,24,FALSE)</f>
        <v>0</v>
      </c>
      <c r="BN61" s="226">
        <f>+VLOOKUP(AP61,SharePoint!$BA$3:$BY$140,25,FALSE)</f>
        <v>7</v>
      </c>
      <c r="BO61" s="214" t="s">
        <v>873</v>
      </c>
      <c r="BP61" s="214" t="s">
        <v>873</v>
      </c>
      <c r="BQ61" s="214" t="s">
        <v>873</v>
      </c>
      <c r="BR61" s="214" t="s">
        <v>873</v>
      </c>
      <c r="BS61" s="214" t="s">
        <v>873</v>
      </c>
      <c r="BT61" s="215" t="s">
        <v>2803</v>
      </c>
      <c r="BU61" s="214" t="s">
        <v>873</v>
      </c>
      <c r="BV61" s="214" t="s">
        <v>873</v>
      </c>
      <c r="BW61" s="214" t="s">
        <v>873</v>
      </c>
      <c r="BX61" s="214" t="s">
        <v>875</v>
      </c>
      <c r="BY61" s="214" t="s">
        <v>875</v>
      </c>
      <c r="BZ61" s="214" t="s">
        <v>3154</v>
      </c>
      <c r="CA61" s="449">
        <v>1</v>
      </c>
      <c r="CB61" s="373" t="s">
        <v>3445</v>
      </c>
      <c r="CC61" s="328">
        <v>14</v>
      </c>
      <c r="CD61" s="328">
        <v>14</v>
      </c>
      <c r="CE61" s="343">
        <f t="shared" si="2"/>
        <v>1</v>
      </c>
      <c r="CF61" s="381">
        <f t="shared" si="3"/>
        <v>14</v>
      </c>
      <c r="CG61" s="327" t="s">
        <v>3509</v>
      </c>
      <c r="CH61" s="327" t="str">
        <f t="shared" si="4"/>
        <v>Numérica</v>
      </c>
      <c r="CI61" s="327"/>
      <c r="CJ61" s="381">
        <v>2</v>
      </c>
      <c r="CK61" s="376" t="str">
        <f t="shared" si="6"/>
        <v>Delegatura Función Jurisdiccional y de Conciliación</v>
      </c>
      <c r="CL61" s="376" t="str">
        <f t="shared" si="7"/>
        <v xml:space="preserve">Jornadas  de la función de conciliación con informes de resultados </v>
      </c>
      <c r="CM61" s="376" t="str">
        <f t="shared" si="8"/>
        <v xml:space="preserve">Numero de jornadas  de la función de conciliación con informes de resultados </v>
      </c>
      <c r="CN61" s="389">
        <f t="shared" si="9"/>
        <v>14</v>
      </c>
      <c r="CO61" s="389">
        <f t="shared" si="10"/>
        <v>14</v>
      </c>
      <c r="CP61" s="388">
        <f t="shared" si="13"/>
        <v>1</v>
      </c>
      <c r="CQ61" s="376">
        <f t="shared" si="11"/>
        <v>14</v>
      </c>
      <c r="CR61" s="377" t="str">
        <f t="shared" si="12"/>
        <v>CUMPLIO</v>
      </c>
      <c r="DB61" s="381"/>
      <c r="DC61" s="381"/>
      <c r="DD61" s="381"/>
      <c r="DE61" s="381"/>
      <c r="DF61" s="381"/>
      <c r="DG61" s="381"/>
    </row>
    <row r="62" spans="1:111" s="83" customFormat="1" ht="127.5" customHeight="1" thickTop="1" thickBot="1">
      <c r="A62" s="83" t="s">
        <v>174</v>
      </c>
      <c r="B62" s="75" t="s">
        <v>151</v>
      </c>
      <c r="C62" s="75" t="s">
        <v>856</v>
      </c>
      <c r="D62" s="75" t="s">
        <v>903</v>
      </c>
      <c r="E62" s="76" t="s">
        <v>858</v>
      </c>
      <c r="F62" s="76" t="s">
        <v>859</v>
      </c>
      <c r="G62" s="76" t="s">
        <v>150</v>
      </c>
      <c r="H62" s="75" t="s">
        <v>860</v>
      </c>
      <c r="I62" s="76" t="s">
        <v>1148</v>
      </c>
      <c r="J62" s="76" t="s">
        <v>1149</v>
      </c>
      <c r="K62" s="77" t="s">
        <v>1150</v>
      </c>
      <c r="L62" s="77" t="s">
        <v>875</v>
      </c>
      <c r="M62" s="77" t="s">
        <v>1164</v>
      </c>
      <c r="N62" s="76" t="s">
        <v>174</v>
      </c>
      <c r="O62" s="77" t="s">
        <v>1165</v>
      </c>
      <c r="P62" s="77" t="s">
        <v>177</v>
      </c>
      <c r="Q62" s="77" t="s">
        <v>1166</v>
      </c>
      <c r="R62" s="77" t="s">
        <v>1167</v>
      </c>
      <c r="S62" s="77" t="s">
        <v>1155</v>
      </c>
      <c r="T62" s="76" t="s">
        <v>892</v>
      </c>
      <c r="U62" s="76" t="s">
        <v>871</v>
      </c>
      <c r="V62" s="76" t="s">
        <v>872</v>
      </c>
      <c r="W62" s="78">
        <v>1</v>
      </c>
      <c r="X62" s="304">
        <v>1</v>
      </c>
      <c r="Y62" s="76"/>
      <c r="Z62" s="76"/>
      <c r="AA62" s="79">
        <v>1</v>
      </c>
      <c r="AB62" s="76"/>
      <c r="AC62" s="76"/>
      <c r="AD62" s="79">
        <v>1</v>
      </c>
      <c r="AE62" s="76"/>
      <c r="AF62" s="76"/>
      <c r="AG62" s="79">
        <v>1</v>
      </c>
      <c r="AH62" s="76"/>
      <c r="AI62" s="76"/>
      <c r="AJ62" s="79">
        <v>1</v>
      </c>
      <c r="AK62" s="76" t="s">
        <v>873</v>
      </c>
      <c r="AL62" s="76" t="s">
        <v>873</v>
      </c>
      <c r="AM62" s="76" t="s">
        <v>873</v>
      </c>
      <c r="AN62" s="76" t="s">
        <v>873</v>
      </c>
      <c r="AO62" s="76" t="s">
        <v>152</v>
      </c>
      <c r="AP62" s="82" t="s">
        <v>174</v>
      </c>
      <c r="AQ62" s="370">
        <f>+VLOOKUP(AP62,SharePoint!$BA$3:$BY$140,2,FALSE)</f>
        <v>0</v>
      </c>
      <c r="AR62" s="370">
        <f>+VLOOKUP(AP62,SharePoint!$BA$3:$BY$140,3,FALSE)</f>
        <v>0</v>
      </c>
      <c r="AS62" s="370">
        <f>+VLOOKUP(AP62,SharePoint!$BA$3:$BY$140,4,FALSE)</f>
        <v>2195</v>
      </c>
      <c r="AT62" s="370">
        <f>+VLOOKUP(AP62,SharePoint!$BA$3:$BY$140,5,FALSE)</f>
        <v>0</v>
      </c>
      <c r="AU62" s="370">
        <f>+VLOOKUP(AP62,SharePoint!$BA$3:$BY$140,6,FALSE)</f>
        <v>0</v>
      </c>
      <c r="AV62" s="370">
        <f>+VLOOKUP(AP62,SharePoint!$BA$3:$BY$140,7,FALSE)</f>
        <v>2125</v>
      </c>
      <c r="AW62" s="370">
        <f>+VLOOKUP(AP62,SharePoint!$BA$3:$BY$140,8,FALSE)</f>
        <v>0</v>
      </c>
      <c r="AX62" s="370">
        <f>+VLOOKUP(AP62,SharePoint!$BA$3:$BY$140,9,FALSE)</f>
        <v>0</v>
      </c>
      <c r="AY62" s="370">
        <f>+VLOOKUP(AP62,SharePoint!$BA$3:$BY$140,10,FALSE)</f>
        <v>166</v>
      </c>
      <c r="AZ62" s="370">
        <f>+VLOOKUP(AP62,SharePoint!$BA$3:$BY$140,11,FALSE)</f>
        <v>0</v>
      </c>
      <c r="BA62" s="370">
        <f>+VLOOKUP(AP62,SharePoint!$BA$3:$BY$140,12,FALSE)</f>
        <v>0</v>
      </c>
      <c r="BB62" s="370">
        <f>+VLOOKUP(AP62,SharePoint!$BA$3:$BY$140,13,FALSE)</f>
        <v>2737</v>
      </c>
      <c r="BC62" s="226">
        <f>+VLOOKUP(AP62,SharePoint!$BA$3:$BY$140,14,FALSE)</f>
        <v>0</v>
      </c>
      <c r="BD62" s="226">
        <f>+VLOOKUP(AP62,SharePoint!$BA$3:$BY$140,15,FALSE)</f>
        <v>0</v>
      </c>
      <c r="BE62" s="226">
        <f>+VLOOKUP(AP62,SharePoint!$BA$3:$BY$140,16,FALSE)</f>
        <v>2195</v>
      </c>
      <c r="BF62" s="226">
        <f>+VLOOKUP(AP62,SharePoint!$BA$3:$BY$140,17,FALSE)</f>
        <v>0</v>
      </c>
      <c r="BG62" s="226">
        <f>+VLOOKUP(AP62,SharePoint!$BA$3:$BY$140,18,FALSE)</f>
        <v>0</v>
      </c>
      <c r="BH62" s="226">
        <f>+VLOOKUP(AP62,SharePoint!$BA$3:$BY$140,19,FALSE)</f>
        <v>2125</v>
      </c>
      <c r="BI62" s="226">
        <f>+VLOOKUP(AP62,SharePoint!$BA$3:$BY$140,20,FALSE)</f>
        <v>0</v>
      </c>
      <c r="BJ62" s="226">
        <f>+VLOOKUP(AP62,SharePoint!$BA$3:$BY$140,21,FALSE)</f>
        <v>0</v>
      </c>
      <c r="BK62" s="226">
        <f>+VLOOKUP(AP62,SharePoint!$BA$3:$BY$140,22,FALSE)</f>
        <v>166</v>
      </c>
      <c r="BL62" s="226">
        <f>+VLOOKUP(AP62,SharePoint!$BA$3:$BY$140,23,FALSE)</f>
        <v>0</v>
      </c>
      <c r="BM62" s="226">
        <f>+VLOOKUP(AP62,SharePoint!$BA$3:$BY$140,24,FALSE)</f>
        <v>0</v>
      </c>
      <c r="BN62" s="226">
        <f>+VLOOKUP(AP62,SharePoint!$BA$3:$BY$140,25,FALSE)</f>
        <v>2737</v>
      </c>
      <c r="BO62" s="214" t="s">
        <v>873</v>
      </c>
      <c r="BP62" s="214" t="s">
        <v>873</v>
      </c>
      <c r="BQ62" s="215" t="s">
        <v>179</v>
      </c>
      <c r="BR62" s="214" t="s">
        <v>873</v>
      </c>
      <c r="BS62" s="214" t="s">
        <v>873</v>
      </c>
      <c r="BT62" s="215" t="s">
        <v>2804</v>
      </c>
      <c r="BU62" s="214" t="s">
        <v>873</v>
      </c>
      <c r="BV62" s="214" t="s">
        <v>873</v>
      </c>
      <c r="BW62" s="214" t="s">
        <v>2839</v>
      </c>
      <c r="BX62" s="214" t="s">
        <v>875</v>
      </c>
      <c r="BY62" s="214" t="s">
        <v>875</v>
      </c>
      <c r="BZ62" s="214" t="s">
        <v>3155</v>
      </c>
      <c r="CA62" s="449">
        <v>1</v>
      </c>
      <c r="CB62" s="373" t="s">
        <v>3446</v>
      </c>
      <c r="CC62" s="359">
        <f t="shared" si="0"/>
        <v>7223</v>
      </c>
      <c r="CD62" s="359">
        <f t="shared" si="1"/>
        <v>7223</v>
      </c>
      <c r="CE62" s="382">
        <f t="shared" si="2"/>
        <v>1</v>
      </c>
      <c r="CF62" s="382">
        <f t="shared" si="3"/>
        <v>1</v>
      </c>
      <c r="CG62" s="327" t="s">
        <v>3509</v>
      </c>
      <c r="CH62" s="327" t="str">
        <f t="shared" si="4"/>
        <v xml:space="preserve">Porcentual </v>
      </c>
      <c r="CI62" s="327"/>
      <c r="CJ62" s="381">
        <v>3</v>
      </c>
      <c r="CK62" s="378" t="str">
        <f t="shared" si="6"/>
        <v>Delegatura Función Jurisdiccional y de Conciliación</v>
      </c>
      <c r="CL62" s="378" t="str">
        <f t="shared" si="7"/>
        <v xml:space="preserve">Porcentaje de Audiencias de Conciliación de la función de conciliación </v>
      </c>
      <c r="CM62" s="378" t="str">
        <f t="shared" si="8"/>
        <v>Número de audiencias de conciliación realizadas en el período / Total de solicitudes de conciliación a petición de parte admitidas</v>
      </c>
      <c r="CN62" s="390">
        <f t="shared" si="9"/>
        <v>7223</v>
      </c>
      <c r="CO62" s="390">
        <f t="shared" si="10"/>
        <v>7223</v>
      </c>
      <c r="CP62" s="387">
        <f t="shared" si="13"/>
        <v>1</v>
      </c>
      <c r="CQ62" s="379">
        <f t="shared" si="11"/>
        <v>1</v>
      </c>
      <c r="CR62" s="379" t="str">
        <f t="shared" si="12"/>
        <v>CUMPLIO</v>
      </c>
      <c r="DB62" s="381"/>
      <c r="DC62" s="381"/>
      <c r="DD62" s="381"/>
      <c r="DE62" s="381"/>
      <c r="DF62" s="381"/>
      <c r="DG62" s="381"/>
    </row>
    <row r="63" spans="1:111" s="83" customFormat="1" ht="127.5" customHeight="1" thickTop="1" thickBot="1">
      <c r="A63" s="83" t="s">
        <v>183</v>
      </c>
      <c r="B63" s="75" t="s">
        <v>151</v>
      </c>
      <c r="C63" s="75" t="s">
        <v>856</v>
      </c>
      <c r="D63" s="75" t="s">
        <v>903</v>
      </c>
      <c r="E63" s="76" t="s">
        <v>858</v>
      </c>
      <c r="F63" s="76" t="s">
        <v>859</v>
      </c>
      <c r="G63" s="76" t="s">
        <v>150</v>
      </c>
      <c r="H63" s="75" t="s">
        <v>860</v>
      </c>
      <c r="I63" s="76" t="s">
        <v>1148</v>
      </c>
      <c r="J63" s="76" t="s">
        <v>1149</v>
      </c>
      <c r="K63" s="77" t="s">
        <v>1150</v>
      </c>
      <c r="L63" s="77" t="s">
        <v>1151</v>
      </c>
      <c r="M63" s="77" t="s">
        <v>184</v>
      </c>
      <c r="N63" s="76" t="s">
        <v>183</v>
      </c>
      <c r="O63" s="77" t="s">
        <v>1168</v>
      </c>
      <c r="P63" s="77" t="s">
        <v>1169</v>
      </c>
      <c r="Q63" s="77" t="s">
        <v>1170</v>
      </c>
      <c r="R63" s="77" t="s">
        <v>1171</v>
      </c>
      <c r="S63" s="77" t="s">
        <v>1155</v>
      </c>
      <c r="T63" s="76" t="s">
        <v>892</v>
      </c>
      <c r="U63" s="76" t="s">
        <v>871</v>
      </c>
      <c r="V63" s="76" t="s">
        <v>872</v>
      </c>
      <c r="W63" s="106" t="s">
        <v>1172</v>
      </c>
      <c r="X63" s="304">
        <v>1</v>
      </c>
      <c r="Y63" s="76"/>
      <c r="Z63" s="76"/>
      <c r="AA63" s="79">
        <v>1</v>
      </c>
      <c r="AB63" s="76"/>
      <c r="AC63" s="76"/>
      <c r="AD63" s="79">
        <v>1</v>
      </c>
      <c r="AE63" s="76"/>
      <c r="AF63" s="76"/>
      <c r="AG63" s="79">
        <v>1</v>
      </c>
      <c r="AH63" s="76"/>
      <c r="AI63" s="76"/>
      <c r="AJ63" s="79">
        <v>1</v>
      </c>
      <c r="AK63" s="76" t="s">
        <v>873</v>
      </c>
      <c r="AL63" s="76" t="s">
        <v>873</v>
      </c>
      <c r="AM63" s="76" t="s">
        <v>873</v>
      </c>
      <c r="AN63" s="76" t="s">
        <v>873</v>
      </c>
      <c r="AO63" s="76" t="s">
        <v>152</v>
      </c>
      <c r="AP63" s="82" t="s">
        <v>183</v>
      </c>
      <c r="AQ63" s="370">
        <f>+VLOOKUP(AP63,SharePoint!$BA$3:$BY$140,2,FALSE)</f>
        <v>0</v>
      </c>
      <c r="AR63" s="370">
        <f>+VLOOKUP(AP63,SharePoint!$BA$3:$BY$140,3,FALSE)</f>
        <v>0</v>
      </c>
      <c r="AS63" s="370">
        <f>+VLOOKUP(AP63,SharePoint!$BA$3:$BY$140,4,FALSE)</f>
        <v>377</v>
      </c>
      <c r="AT63" s="370">
        <f>+VLOOKUP(AP63,SharePoint!$BA$3:$BY$140,5,FALSE)</f>
        <v>0</v>
      </c>
      <c r="AU63" s="370">
        <f>+VLOOKUP(AP63,SharePoint!$BA$3:$BY$140,6,FALSE)</f>
        <v>0</v>
      </c>
      <c r="AV63" s="370">
        <f>+VLOOKUP(AP63,SharePoint!$BA$3:$BY$140,7,FALSE)</f>
        <v>87</v>
      </c>
      <c r="AW63" s="370">
        <f>+VLOOKUP(AP63,SharePoint!$BA$3:$BY$140,8,FALSE)</f>
        <v>0</v>
      </c>
      <c r="AX63" s="370">
        <f>+VLOOKUP(AP63,SharePoint!$BA$3:$BY$140,9,FALSE)</f>
        <v>0</v>
      </c>
      <c r="AY63" s="370">
        <f>+VLOOKUP(AP63,SharePoint!$BA$3:$BY$140,10,FALSE)</f>
        <v>166</v>
      </c>
      <c r="AZ63" s="370">
        <f>+VLOOKUP(AP63,SharePoint!$BA$3:$BY$140,11,FALSE)</f>
        <v>0</v>
      </c>
      <c r="BA63" s="370">
        <f>+VLOOKUP(AP63,SharePoint!$BA$3:$BY$140,12,FALSE)</f>
        <v>0</v>
      </c>
      <c r="BB63" s="370">
        <f>+VLOOKUP(AP63,SharePoint!$BA$3:$BY$140,13,FALSE)</f>
        <v>0</v>
      </c>
      <c r="BC63" s="226">
        <f>+VLOOKUP(AP63,SharePoint!$BA$3:$BY$140,14,FALSE)</f>
        <v>0</v>
      </c>
      <c r="BD63" s="226">
        <f>+VLOOKUP(AP63,SharePoint!$BA$3:$BY$140,15,FALSE)</f>
        <v>0</v>
      </c>
      <c r="BE63" s="226">
        <f>+VLOOKUP(AP63,SharePoint!$BA$3:$BY$140,16,FALSE)</f>
        <v>377</v>
      </c>
      <c r="BF63" s="226">
        <f>+VLOOKUP(AP63,SharePoint!$BA$3:$BY$140,17,FALSE)</f>
        <v>0</v>
      </c>
      <c r="BG63" s="226">
        <f>+VLOOKUP(AP63,SharePoint!$BA$3:$BY$140,18,FALSE)</f>
        <v>0</v>
      </c>
      <c r="BH63" s="226">
        <f>+VLOOKUP(AP63,SharePoint!$BA$3:$BY$140,19,FALSE)</f>
        <v>87</v>
      </c>
      <c r="BI63" s="226">
        <f>+VLOOKUP(AP63,SharePoint!$BA$3:$BY$140,20,FALSE)</f>
        <v>0</v>
      </c>
      <c r="BJ63" s="226">
        <f>+VLOOKUP(AP63,SharePoint!$BA$3:$BY$140,21,FALSE)</f>
        <v>0</v>
      </c>
      <c r="BK63" s="226">
        <f>+VLOOKUP(AP63,SharePoint!$BA$3:$BY$140,22,FALSE)</f>
        <v>166</v>
      </c>
      <c r="BL63" s="226">
        <f>+VLOOKUP(AP63,SharePoint!$BA$3:$BY$140,23,FALSE)</f>
        <v>0</v>
      </c>
      <c r="BM63" s="226">
        <f>+VLOOKUP(AP63,SharePoint!$BA$3:$BY$140,24,FALSE)</f>
        <v>0</v>
      </c>
      <c r="BN63" s="341">
        <f>+VLOOKUP(AP63,SharePoint!$BA$3:$BY$140,25,FALSE)</f>
        <v>0</v>
      </c>
      <c r="BO63" s="214" t="s">
        <v>873</v>
      </c>
      <c r="BP63" s="214" t="s">
        <v>873</v>
      </c>
      <c r="BQ63" s="215" t="s">
        <v>187</v>
      </c>
      <c r="BR63" s="214" t="s">
        <v>873</v>
      </c>
      <c r="BS63" s="214" t="s">
        <v>873</v>
      </c>
      <c r="BT63" s="214" t="s">
        <v>3062</v>
      </c>
      <c r="BU63" s="214" t="s">
        <v>873</v>
      </c>
      <c r="BV63" s="214" t="s">
        <v>873</v>
      </c>
      <c r="BW63" s="214" t="s">
        <v>3123</v>
      </c>
      <c r="BX63" s="214" t="s">
        <v>875</v>
      </c>
      <c r="BY63" s="214" t="s">
        <v>875</v>
      </c>
      <c r="BZ63" s="214" t="s">
        <v>3156</v>
      </c>
      <c r="CA63" s="449">
        <v>1</v>
      </c>
      <c r="CB63" s="374" t="s">
        <v>3452</v>
      </c>
      <c r="CC63" s="328">
        <v>630</v>
      </c>
      <c r="CD63" s="328">
        <v>630</v>
      </c>
      <c r="CE63" s="382">
        <f t="shared" si="2"/>
        <v>1</v>
      </c>
      <c r="CF63" s="382">
        <f t="shared" si="3"/>
        <v>1</v>
      </c>
      <c r="CG63" s="327" t="s">
        <v>3509</v>
      </c>
      <c r="CH63" s="327" t="str">
        <f t="shared" si="4"/>
        <v xml:space="preserve">Porcentual </v>
      </c>
      <c r="CI63" s="327"/>
      <c r="CJ63" s="381">
        <v>4</v>
      </c>
      <c r="CK63" s="376" t="str">
        <f t="shared" si="6"/>
        <v>Delegatura Función Jurisdiccional y de Conciliación</v>
      </c>
      <c r="CL63" s="376" t="str">
        <f t="shared" si="7"/>
        <v xml:space="preserve">Porcentaje de acuerdos de conciliación con seguimiento que sean exigibles </v>
      </c>
      <c r="CM63" s="376" t="str">
        <f t="shared" si="8"/>
        <v xml:space="preserve">Número de acuerdos conciliatorios  con seguimientos realizados / Número de  acuerdos conciliatorios suscritos que sean exigibles </v>
      </c>
      <c r="CN63" s="389">
        <f t="shared" si="9"/>
        <v>630</v>
      </c>
      <c r="CO63" s="389">
        <f t="shared" si="10"/>
        <v>630</v>
      </c>
      <c r="CP63" s="388">
        <f t="shared" si="13"/>
        <v>1</v>
      </c>
      <c r="CQ63" s="377">
        <f t="shared" si="11"/>
        <v>1</v>
      </c>
      <c r="CR63" s="377" t="str">
        <f t="shared" si="12"/>
        <v>CUMPLIO</v>
      </c>
      <c r="DB63" s="381"/>
      <c r="DC63" s="381"/>
      <c r="DD63" s="381"/>
      <c r="DE63" s="381"/>
      <c r="DF63" s="381"/>
      <c r="DG63" s="381"/>
    </row>
    <row r="64" spans="1:111" s="83" customFormat="1" ht="127.5" customHeight="1" thickTop="1" thickBot="1">
      <c r="A64" s="83" t="s">
        <v>153</v>
      </c>
      <c r="B64" s="75" t="s">
        <v>151</v>
      </c>
      <c r="C64" s="75" t="s">
        <v>856</v>
      </c>
      <c r="D64" s="75" t="s">
        <v>903</v>
      </c>
      <c r="E64" s="76" t="s">
        <v>858</v>
      </c>
      <c r="F64" s="76" t="s">
        <v>859</v>
      </c>
      <c r="G64" s="76" t="s">
        <v>150</v>
      </c>
      <c r="H64" s="75" t="s">
        <v>860</v>
      </c>
      <c r="I64" s="76" t="s">
        <v>1148</v>
      </c>
      <c r="J64" s="76" t="s">
        <v>1149</v>
      </c>
      <c r="K64" s="77" t="s">
        <v>1150</v>
      </c>
      <c r="L64" s="77" t="s">
        <v>1173</v>
      </c>
      <c r="M64" s="77" t="s">
        <v>154</v>
      </c>
      <c r="N64" s="76" t="s">
        <v>153</v>
      </c>
      <c r="O64" s="77" t="s">
        <v>155</v>
      </c>
      <c r="P64" s="77" t="s">
        <v>156</v>
      </c>
      <c r="Q64" s="77" t="s">
        <v>156</v>
      </c>
      <c r="R64" s="77" t="s">
        <v>876</v>
      </c>
      <c r="S64" s="77" t="s">
        <v>1174</v>
      </c>
      <c r="T64" s="76" t="s">
        <v>870</v>
      </c>
      <c r="U64" s="76" t="s">
        <v>157</v>
      </c>
      <c r="V64" s="76" t="s">
        <v>872</v>
      </c>
      <c r="W64" s="76">
        <v>30</v>
      </c>
      <c r="X64" s="299">
        <v>150</v>
      </c>
      <c r="Y64" s="76"/>
      <c r="Z64" s="76"/>
      <c r="AA64" s="76">
        <v>30</v>
      </c>
      <c r="AB64" s="76"/>
      <c r="AC64" s="76"/>
      <c r="AD64" s="76">
        <v>45</v>
      </c>
      <c r="AE64" s="76"/>
      <c r="AF64" s="76"/>
      <c r="AG64" s="76">
        <v>45</v>
      </c>
      <c r="AH64" s="76"/>
      <c r="AI64" s="76"/>
      <c r="AJ64" s="76">
        <v>30</v>
      </c>
      <c r="AK64" s="76" t="s">
        <v>873</v>
      </c>
      <c r="AL64" s="76" t="s">
        <v>873</v>
      </c>
      <c r="AM64" s="76" t="s">
        <v>873</v>
      </c>
      <c r="AN64" s="76" t="s">
        <v>873</v>
      </c>
      <c r="AO64" s="76" t="s">
        <v>152</v>
      </c>
      <c r="AP64" s="82" t="s">
        <v>153</v>
      </c>
      <c r="AQ64" s="370">
        <f>+VLOOKUP(AP64,SharePoint!$BA$3:$BY$140,2,FALSE)</f>
        <v>0</v>
      </c>
      <c r="AR64" s="370">
        <f>+VLOOKUP(AP64,SharePoint!$BA$3:$BY$140,3,FALSE)</f>
        <v>0</v>
      </c>
      <c r="AS64" s="370">
        <f>+VLOOKUP(AP64,SharePoint!$BA$3:$BY$140,4,FALSE)</f>
        <v>44</v>
      </c>
      <c r="AT64" s="370">
        <f>+VLOOKUP(AP64,SharePoint!$BA$3:$BY$140,5,FALSE)</f>
        <v>0</v>
      </c>
      <c r="AU64" s="370">
        <f>+VLOOKUP(AP64,SharePoint!$BA$3:$BY$140,6,FALSE)</f>
        <v>0</v>
      </c>
      <c r="AV64" s="370">
        <f>+VLOOKUP(AP64,SharePoint!$BA$3:$BY$140,7,FALSE)</f>
        <v>45</v>
      </c>
      <c r="AW64" s="370">
        <f>+VLOOKUP(AP64,SharePoint!$BA$3:$BY$140,8,FALSE)</f>
        <v>0</v>
      </c>
      <c r="AX64" s="370">
        <f>+VLOOKUP(AP64,SharePoint!$BA$3:$BY$140,9,FALSE)</f>
        <v>0</v>
      </c>
      <c r="AY64" s="370">
        <f>+VLOOKUP(AP64,SharePoint!$BA$3:$BY$140,10,FALSE)</f>
        <v>54</v>
      </c>
      <c r="AZ64" s="370">
        <f>+VLOOKUP(AP64,SharePoint!$BA$3:$BY$140,11,FALSE)</f>
        <v>0</v>
      </c>
      <c r="BA64" s="370">
        <f>+VLOOKUP(AP64,SharePoint!$BA$3:$BY$140,12,FALSE)</f>
        <v>0</v>
      </c>
      <c r="BB64" s="370">
        <f>+VLOOKUP(AP64,SharePoint!$BA$3:$BY$140,13,FALSE)</f>
        <v>30</v>
      </c>
      <c r="BC64" s="226">
        <f>+VLOOKUP(AP64,SharePoint!$BA$3:$BY$140,14,FALSE)</f>
        <v>0</v>
      </c>
      <c r="BD64" s="226">
        <f>+VLOOKUP(AP64,SharePoint!$BA$3:$BY$140,15,FALSE)</f>
        <v>0</v>
      </c>
      <c r="BE64" s="226">
        <f>+VLOOKUP(AP64,SharePoint!$BA$3:$BY$140,16,FALSE)</f>
        <v>44</v>
      </c>
      <c r="BF64" s="226">
        <f>+VLOOKUP(AP64,SharePoint!$BA$3:$BY$140,17,FALSE)</f>
        <v>0</v>
      </c>
      <c r="BG64" s="226">
        <f>+VLOOKUP(AP64,SharePoint!$BA$3:$BY$140,18,FALSE)</f>
        <v>0</v>
      </c>
      <c r="BH64" s="226">
        <f>+VLOOKUP(AP64,SharePoint!$BA$3:$BY$140,19,FALSE)</f>
        <v>45</v>
      </c>
      <c r="BI64" s="226">
        <f>+VLOOKUP(AP64,SharePoint!$BA$3:$BY$140,20,FALSE)</f>
        <v>0</v>
      </c>
      <c r="BJ64" s="226">
        <f>+VLOOKUP(AP64,SharePoint!$BA$3:$BY$140,21,FALSE)</f>
        <v>0</v>
      </c>
      <c r="BK64" s="226">
        <f>+VLOOKUP(AP64,SharePoint!$BA$3:$BY$140,22,FALSE)</f>
        <v>54</v>
      </c>
      <c r="BL64" s="226">
        <f>+VLOOKUP(AP64,SharePoint!$BA$3:$BY$140,23,FALSE)</f>
        <v>0</v>
      </c>
      <c r="BM64" s="226">
        <f>+VLOOKUP(AP64,SharePoint!$BA$3:$BY$140,24,FALSE)</f>
        <v>0</v>
      </c>
      <c r="BN64" s="226">
        <f>+VLOOKUP(AP64,SharePoint!$BA$3:$BY$140,25,FALSE)</f>
        <v>30</v>
      </c>
      <c r="BO64" s="214" t="s">
        <v>873</v>
      </c>
      <c r="BP64" s="214" t="s">
        <v>873</v>
      </c>
      <c r="BQ64" s="215" t="s">
        <v>158</v>
      </c>
      <c r="BR64" s="214" t="s">
        <v>873</v>
      </c>
      <c r="BS64" s="214" t="s">
        <v>873</v>
      </c>
      <c r="BT64" s="214" t="s">
        <v>2813</v>
      </c>
      <c r="BU64" s="214" t="s">
        <v>873</v>
      </c>
      <c r="BV64" s="214" t="s">
        <v>873</v>
      </c>
      <c r="BW64" s="214" t="s">
        <v>2840</v>
      </c>
      <c r="BX64" s="214" t="s">
        <v>875</v>
      </c>
      <c r="BY64" s="214" t="s">
        <v>875</v>
      </c>
      <c r="BZ64" s="214" t="s">
        <v>3157</v>
      </c>
      <c r="CA64" s="449">
        <v>2</v>
      </c>
      <c r="CB64" s="420" t="s">
        <v>3449</v>
      </c>
      <c r="CC64" s="359">
        <f t="shared" si="0"/>
        <v>173</v>
      </c>
      <c r="CD64" s="359">
        <f t="shared" si="1"/>
        <v>173</v>
      </c>
      <c r="CE64" s="343">
        <f>+CC64/CF64</f>
        <v>1.1533333333333333</v>
      </c>
      <c r="CF64" s="381">
        <f t="shared" si="3"/>
        <v>150</v>
      </c>
      <c r="CG64" s="327" t="s">
        <v>3510</v>
      </c>
      <c r="CH64" s="327" t="str">
        <f t="shared" si="4"/>
        <v>Numérica</v>
      </c>
      <c r="CI64" s="327"/>
      <c r="CJ64" s="381">
        <v>5</v>
      </c>
      <c r="CK64" s="378" t="str">
        <f t="shared" si="6"/>
        <v>Delegatura Función Jurisdiccional y de Conciliación</v>
      </c>
      <c r="CL64" s="378" t="str">
        <f t="shared" si="7"/>
        <v>Providencias Jurisdiccionales de Glosas y Devoluciones gestionados</v>
      </c>
      <c r="CM64" s="378" t="str">
        <f t="shared" si="8"/>
        <v>Número de autos y sentencias Jurisdiccionales de Glosas y Recobros gestionados en el periodo de reporte</v>
      </c>
      <c r="CN64" s="390">
        <f t="shared" si="9"/>
        <v>173</v>
      </c>
      <c r="CO64" s="390">
        <v>150</v>
      </c>
      <c r="CP64" s="387">
        <f t="shared" si="13"/>
        <v>1.1533333333333333</v>
      </c>
      <c r="CQ64" s="378">
        <f t="shared" si="11"/>
        <v>150</v>
      </c>
      <c r="CR64" s="379" t="str">
        <f t="shared" si="12"/>
        <v>SOBRECUMPLIO</v>
      </c>
      <c r="DB64" s="381"/>
      <c r="DC64" s="381"/>
      <c r="DD64" s="381"/>
      <c r="DE64" s="381"/>
      <c r="DF64" s="381"/>
      <c r="DG64" s="381"/>
    </row>
    <row r="65" spans="1:111" s="83" customFormat="1" ht="127.5" customHeight="1" thickTop="1" thickBot="1">
      <c r="A65" s="83" t="s">
        <v>165</v>
      </c>
      <c r="B65" s="75" t="s">
        <v>151</v>
      </c>
      <c r="C65" s="75" t="s">
        <v>856</v>
      </c>
      <c r="D65" s="75" t="s">
        <v>903</v>
      </c>
      <c r="E65" s="76" t="s">
        <v>858</v>
      </c>
      <c r="F65" s="76" t="s">
        <v>859</v>
      </c>
      <c r="G65" s="76" t="s">
        <v>150</v>
      </c>
      <c r="H65" s="75" t="s">
        <v>860</v>
      </c>
      <c r="I65" s="76" t="s">
        <v>1148</v>
      </c>
      <c r="J65" s="76" t="s">
        <v>1149</v>
      </c>
      <c r="K65" s="77" t="s">
        <v>1150</v>
      </c>
      <c r="L65" s="77" t="s">
        <v>1173</v>
      </c>
      <c r="M65" s="77" t="s">
        <v>166</v>
      </c>
      <c r="N65" s="76" t="s">
        <v>165</v>
      </c>
      <c r="O65" s="77" t="s">
        <v>167</v>
      </c>
      <c r="P65" s="77" t="s">
        <v>168</v>
      </c>
      <c r="Q65" s="77" t="s">
        <v>168</v>
      </c>
      <c r="R65" s="77" t="s">
        <v>876</v>
      </c>
      <c r="S65" s="77" t="s">
        <v>1175</v>
      </c>
      <c r="T65" s="76" t="s">
        <v>870</v>
      </c>
      <c r="U65" s="76" t="s">
        <v>157</v>
      </c>
      <c r="V65" s="76" t="s">
        <v>872</v>
      </c>
      <c r="W65" s="76">
        <v>130</v>
      </c>
      <c r="X65" s="299">
        <v>520</v>
      </c>
      <c r="Y65" s="76"/>
      <c r="Z65" s="76"/>
      <c r="AA65" s="76">
        <v>120</v>
      </c>
      <c r="AB65" s="76"/>
      <c r="AC65" s="76"/>
      <c r="AD65" s="76">
        <v>140</v>
      </c>
      <c r="AE65" s="76"/>
      <c r="AF65" s="76"/>
      <c r="AG65" s="76">
        <v>140</v>
      </c>
      <c r="AH65" s="76"/>
      <c r="AI65" s="76"/>
      <c r="AJ65" s="76">
        <v>120</v>
      </c>
      <c r="AK65" s="76" t="s">
        <v>873</v>
      </c>
      <c r="AL65" s="76" t="s">
        <v>873</v>
      </c>
      <c r="AM65" s="76" t="s">
        <v>873</v>
      </c>
      <c r="AN65" s="76" t="s">
        <v>873</v>
      </c>
      <c r="AO65" s="76" t="s">
        <v>152</v>
      </c>
      <c r="AP65" s="82" t="s">
        <v>165</v>
      </c>
      <c r="AQ65" s="370">
        <f>+VLOOKUP(AP65,SharePoint!$BA$3:$BY$140,2,FALSE)</f>
        <v>0</v>
      </c>
      <c r="AR65" s="370">
        <f>+VLOOKUP(AP65,SharePoint!$BA$3:$BY$140,3,FALSE)</f>
        <v>0</v>
      </c>
      <c r="AS65" s="370">
        <f>+VLOOKUP(AP65,SharePoint!$BA$3:$BY$140,4,FALSE)</f>
        <v>120</v>
      </c>
      <c r="AT65" s="370">
        <f>+VLOOKUP(AP65,SharePoint!$BA$3:$BY$140,5,FALSE)</f>
        <v>0</v>
      </c>
      <c r="AU65" s="370">
        <f>+VLOOKUP(AP65,SharePoint!$BA$3:$BY$140,6,FALSE)</f>
        <v>0</v>
      </c>
      <c r="AV65" s="370">
        <f>+VLOOKUP(AP65,SharePoint!$BA$3:$BY$140,7,FALSE)</f>
        <v>140</v>
      </c>
      <c r="AW65" s="370">
        <f>+VLOOKUP(AP65,SharePoint!$BA$3:$BY$140,8,FALSE)</f>
        <v>0</v>
      </c>
      <c r="AX65" s="370">
        <f>+VLOOKUP(AP65,SharePoint!$BA$3:$BY$140,9,FALSE)</f>
        <v>0</v>
      </c>
      <c r="AY65" s="370">
        <f>+VLOOKUP(AP65,SharePoint!$BA$3:$BY$140,10,FALSE)</f>
        <v>140</v>
      </c>
      <c r="AZ65" s="370">
        <f>+VLOOKUP(AP65,SharePoint!$BA$3:$BY$140,11,FALSE)</f>
        <v>0</v>
      </c>
      <c r="BA65" s="370">
        <f>+VLOOKUP(AP65,SharePoint!$BA$3:$BY$140,12,FALSE)</f>
        <v>0</v>
      </c>
      <c r="BB65" s="370">
        <f>+VLOOKUP(AP65,SharePoint!$BA$3:$BY$140,13,FALSE)</f>
        <v>120</v>
      </c>
      <c r="BC65" s="226">
        <f>+VLOOKUP(AP65,SharePoint!$BA$3:$BY$140,14,FALSE)</f>
        <v>0</v>
      </c>
      <c r="BD65" s="226">
        <f>+VLOOKUP(AP65,SharePoint!$BA$3:$BY$140,15,FALSE)</f>
        <v>0</v>
      </c>
      <c r="BE65" s="226">
        <f>+VLOOKUP(AP65,SharePoint!$BA$3:$BY$140,16,FALSE)</f>
        <v>120</v>
      </c>
      <c r="BF65" s="226">
        <f>+VLOOKUP(AP65,SharePoint!$BA$3:$BY$140,17,FALSE)</f>
        <v>0</v>
      </c>
      <c r="BG65" s="226">
        <f>+VLOOKUP(AP65,SharePoint!$BA$3:$BY$140,18,FALSE)</f>
        <v>0</v>
      </c>
      <c r="BH65" s="226">
        <f>+VLOOKUP(AP65,SharePoint!$BA$3:$BY$140,19,FALSE)</f>
        <v>140</v>
      </c>
      <c r="BI65" s="226">
        <f>+VLOOKUP(AP65,SharePoint!$BA$3:$BY$140,20,FALSE)</f>
        <v>0</v>
      </c>
      <c r="BJ65" s="226">
        <f>+VLOOKUP(AP65,SharePoint!$BA$3:$BY$140,21,FALSE)</f>
        <v>0</v>
      </c>
      <c r="BK65" s="226">
        <f>+VLOOKUP(AP65,SharePoint!$BA$3:$BY$140,22,FALSE)</f>
        <v>140</v>
      </c>
      <c r="BL65" s="226">
        <f>+VLOOKUP(AP65,SharePoint!$BA$3:$BY$140,23,FALSE)</f>
        <v>0</v>
      </c>
      <c r="BM65" s="226">
        <f>+VLOOKUP(AP65,SharePoint!$BA$3:$BY$140,24,FALSE)</f>
        <v>0</v>
      </c>
      <c r="BN65" s="226">
        <f>+VLOOKUP(AP65,SharePoint!$BA$3:$BY$140,25,FALSE)</f>
        <v>120</v>
      </c>
      <c r="BO65" s="214" t="s">
        <v>873</v>
      </c>
      <c r="BP65" s="214" t="s">
        <v>873</v>
      </c>
      <c r="BQ65" s="215" t="s">
        <v>169</v>
      </c>
      <c r="BR65" s="214" t="s">
        <v>873</v>
      </c>
      <c r="BS65" s="214" t="s">
        <v>873</v>
      </c>
      <c r="BT65" s="215" t="s">
        <v>650</v>
      </c>
      <c r="BU65" s="214" t="s">
        <v>873</v>
      </c>
      <c r="BV65" s="214" t="s">
        <v>873</v>
      </c>
      <c r="BW65" s="214" t="s">
        <v>2841</v>
      </c>
      <c r="BX65" s="214" t="s">
        <v>875</v>
      </c>
      <c r="BY65" s="214" t="s">
        <v>875</v>
      </c>
      <c r="BZ65" s="214" t="s">
        <v>3158</v>
      </c>
      <c r="CA65" s="449">
        <v>2</v>
      </c>
      <c r="CB65" s="373" t="s">
        <v>3447</v>
      </c>
      <c r="CC65" s="359">
        <f t="shared" si="0"/>
        <v>520</v>
      </c>
      <c r="CD65" s="359">
        <f t="shared" si="1"/>
        <v>520</v>
      </c>
      <c r="CE65" s="343">
        <f t="shared" si="2"/>
        <v>1</v>
      </c>
      <c r="CF65" s="381">
        <f t="shared" si="3"/>
        <v>520</v>
      </c>
      <c r="CG65" s="327" t="s">
        <v>3509</v>
      </c>
      <c r="CH65" s="327" t="str">
        <f t="shared" si="4"/>
        <v>Numérica</v>
      </c>
      <c r="CI65" s="327"/>
      <c r="CJ65" s="381">
        <v>1</v>
      </c>
      <c r="CK65" s="376" t="str">
        <f t="shared" si="6"/>
        <v>Delegatura Función Jurisdiccional y de Conciliación</v>
      </c>
      <c r="CL65" s="376" t="str">
        <f t="shared" si="7"/>
        <v>Procesos Jurisdiccionales de reconocimiento economico gestionados</v>
      </c>
      <c r="CM65" s="376" t="str">
        <f t="shared" si="8"/>
        <v>Número de procesos Jurisdiccionales de Reconocimiento Económico gestionados.</v>
      </c>
      <c r="CN65" s="389">
        <f t="shared" si="9"/>
        <v>520</v>
      </c>
      <c r="CO65" s="389">
        <f t="shared" si="10"/>
        <v>520</v>
      </c>
      <c r="CP65" s="388">
        <f t="shared" si="13"/>
        <v>1</v>
      </c>
      <c r="CQ65" s="376">
        <f t="shared" si="11"/>
        <v>520</v>
      </c>
      <c r="CR65" s="377" t="str">
        <f t="shared" si="12"/>
        <v>CUMPLIO</v>
      </c>
      <c r="DB65" s="381"/>
      <c r="DC65" s="381"/>
      <c r="DD65" s="381"/>
      <c r="DE65" s="381"/>
      <c r="DF65" s="381"/>
      <c r="DG65" s="381"/>
    </row>
    <row r="66" spans="1:111" s="83" customFormat="1" ht="127.5" customHeight="1" thickTop="1" thickBot="1">
      <c r="A66" s="83" t="s">
        <v>551</v>
      </c>
      <c r="B66" s="75" t="s">
        <v>151</v>
      </c>
      <c r="C66" s="75" t="s">
        <v>856</v>
      </c>
      <c r="D66" s="75" t="s">
        <v>903</v>
      </c>
      <c r="E66" s="76" t="s">
        <v>858</v>
      </c>
      <c r="F66" s="76" t="s">
        <v>859</v>
      </c>
      <c r="G66" s="76" t="s">
        <v>150</v>
      </c>
      <c r="H66" s="75" t="s">
        <v>860</v>
      </c>
      <c r="I66" s="76" t="s">
        <v>1148</v>
      </c>
      <c r="J66" s="76" t="s">
        <v>1149</v>
      </c>
      <c r="K66" s="77" t="s">
        <v>1150</v>
      </c>
      <c r="L66" s="77" t="s">
        <v>1173</v>
      </c>
      <c r="M66" s="77" t="s">
        <v>652</v>
      </c>
      <c r="N66" s="76" t="s">
        <v>551</v>
      </c>
      <c r="O66" s="77" t="s">
        <v>1176</v>
      </c>
      <c r="P66" s="77" t="s">
        <v>654</v>
      </c>
      <c r="Q66" s="77" t="s">
        <v>1177</v>
      </c>
      <c r="R66" s="77" t="s">
        <v>1178</v>
      </c>
      <c r="S66" s="77" t="s">
        <v>1179</v>
      </c>
      <c r="T66" s="76" t="s">
        <v>892</v>
      </c>
      <c r="U66" s="76" t="s">
        <v>871</v>
      </c>
      <c r="V66" s="76" t="s">
        <v>988</v>
      </c>
      <c r="W66" s="79">
        <v>1</v>
      </c>
      <c r="X66" s="304">
        <v>1</v>
      </c>
      <c r="Y66" s="76"/>
      <c r="Z66" s="76"/>
      <c r="AA66" s="76"/>
      <c r="AB66" s="76"/>
      <c r="AC66" s="76"/>
      <c r="AD66" s="80">
        <v>1</v>
      </c>
      <c r="AE66" s="76"/>
      <c r="AF66" s="76"/>
      <c r="AG66" s="76"/>
      <c r="AH66" s="76"/>
      <c r="AI66" s="76"/>
      <c r="AJ66" s="80">
        <v>1</v>
      </c>
      <c r="AK66" s="76" t="s">
        <v>873</v>
      </c>
      <c r="AL66" s="76" t="s">
        <v>873</v>
      </c>
      <c r="AM66" s="76" t="s">
        <v>873</v>
      </c>
      <c r="AN66" s="76" t="s">
        <v>873</v>
      </c>
      <c r="AO66" s="76" t="s">
        <v>152</v>
      </c>
      <c r="AP66" s="82" t="s">
        <v>551</v>
      </c>
      <c r="AQ66" s="370">
        <f>+VLOOKUP(AP66,SharePoint!$BA$3:$BY$140,2,FALSE)</f>
        <v>0</v>
      </c>
      <c r="AR66" s="370">
        <f>+VLOOKUP(AP66,SharePoint!$BA$3:$BY$140,3,FALSE)</f>
        <v>0</v>
      </c>
      <c r="AS66" s="370">
        <f>+VLOOKUP(AP66,SharePoint!$BA$3:$BY$140,4,FALSE)</f>
        <v>0</v>
      </c>
      <c r="AT66" s="370">
        <f>+VLOOKUP(AP66,SharePoint!$BA$3:$BY$140,5,FALSE)</f>
        <v>0</v>
      </c>
      <c r="AU66" s="370">
        <f>+VLOOKUP(AP66,SharePoint!$BA$3:$BY$140,6,FALSE)</f>
        <v>0</v>
      </c>
      <c r="AV66" s="370">
        <f>+VLOOKUP(AP66,SharePoint!$BA$3:$BY$140,7,FALSE)</f>
        <v>643</v>
      </c>
      <c r="AW66" s="370">
        <f>+VLOOKUP(AP66,SharePoint!$BA$3:$BY$140,8,FALSE)</f>
        <v>0</v>
      </c>
      <c r="AX66" s="370">
        <f>+VLOOKUP(AP66,SharePoint!$BA$3:$BY$140,9,FALSE)</f>
        <v>0</v>
      </c>
      <c r="AY66" s="370">
        <f>+VLOOKUP(AP66,SharePoint!$BA$3:$BY$140,10,FALSE)</f>
        <v>0</v>
      </c>
      <c r="AZ66" s="370">
        <f>+VLOOKUP(AP66,SharePoint!$BA$3:$BY$140,11,FALSE)</f>
        <v>0</v>
      </c>
      <c r="BA66" s="370">
        <f>+VLOOKUP(AP66,SharePoint!$BA$3:$BY$140,12,FALSE)</f>
        <v>0</v>
      </c>
      <c r="BB66" s="370">
        <f>+VLOOKUP(AP66,SharePoint!$BA$3:$BY$140,13,FALSE)</f>
        <v>531</v>
      </c>
      <c r="BC66" s="226">
        <f>+VLOOKUP(AP66,SharePoint!$BA$3:$BY$140,14,FALSE)</f>
        <v>0</v>
      </c>
      <c r="BD66" s="226">
        <f>+VLOOKUP(AP66,SharePoint!$BA$3:$BY$140,15,FALSE)</f>
        <v>0</v>
      </c>
      <c r="BE66" s="226">
        <f>+VLOOKUP(AP66,SharePoint!$BA$3:$BY$140,16,FALSE)</f>
        <v>0</v>
      </c>
      <c r="BF66" s="226">
        <f>+VLOOKUP(AP66,SharePoint!$BA$3:$BY$140,17,FALSE)</f>
        <v>0</v>
      </c>
      <c r="BG66" s="226">
        <f>+VLOOKUP(AP66,SharePoint!$BA$3:$BY$140,18,FALSE)</f>
        <v>0</v>
      </c>
      <c r="BH66" s="226">
        <f>+VLOOKUP(AP66,SharePoint!$BA$3:$BY$140,19,FALSE)</f>
        <v>643</v>
      </c>
      <c r="BI66" s="226">
        <f>+VLOOKUP(AP66,SharePoint!$BA$3:$BY$140,20,FALSE)</f>
        <v>0</v>
      </c>
      <c r="BJ66" s="226">
        <f>+VLOOKUP(AP66,SharePoint!$BA$3:$BY$140,21,FALSE)</f>
        <v>0</v>
      </c>
      <c r="BK66" s="226">
        <f>+VLOOKUP(AP66,SharePoint!$BA$3:$BY$140,22,FALSE)</f>
        <v>0</v>
      </c>
      <c r="BL66" s="226">
        <f>+VLOOKUP(AP66,SharePoint!$BA$3:$BY$140,23,FALSE)</f>
        <v>0</v>
      </c>
      <c r="BM66" s="226">
        <f>+VLOOKUP(AP66,SharePoint!$BA$3:$BY$140,24,FALSE)</f>
        <v>0</v>
      </c>
      <c r="BN66" s="226">
        <f>+VLOOKUP(AP66,SharePoint!$BA$3:$BY$140,25,FALSE)</f>
        <v>531</v>
      </c>
      <c r="BO66" s="214" t="s">
        <v>873</v>
      </c>
      <c r="BP66" s="214" t="s">
        <v>873</v>
      </c>
      <c r="BQ66" s="214" t="s">
        <v>873</v>
      </c>
      <c r="BR66" s="214" t="s">
        <v>873</v>
      </c>
      <c r="BS66" s="214" t="s">
        <v>873</v>
      </c>
      <c r="BT66" s="215" t="s">
        <v>655</v>
      </c>
      <c r="BU66" s="214" t="s">
        <v>873</v>
      </c>
      <c r="BV66" s="214" t="s">
        <v>873</v>
      </c>
      <c r="BW66" s="214" t="s">
        <v>873</v>
      </c>
      <c r="BX66" s="214" t="s">
        <v>875</v>
      </c>
      <c r="BY66" s="214" t="s">
        <v>875</v>
      </c>
      <c r="BZ66" s="214" t="s">
        <v>3159</v>
      </c>
      <c r="CA66" s="449">
        <v>2</v>
      </c>
      <c r="CB66" s="373" t="s">
        <v>3453</v>
      </c>
      <c r="CC66" s="359">
        <f t="shared" si="0"/>
        <v>1174</v>
      </c>
      <c r="CD66" s="359">
        <f t="shared" si="1"/>
        <v>1174</v>
      </c>
      <c r="CE66" s="382">
        <f t="shared" si="2"/>
        <v>1</v>
      </c>
      <c r="CF66" s="382">
        <f t="shared" si="3"/>
        <v>1</v>
      </c>
      <c r="CG66" s="327" t="s">
        <v>3509</v>
      </c>
      <c r="CH66" s="327" t="str">
        <f t="shared" si="4"/>
        <v xml:space="preserve">Porcentual </v>
      </c>
      <c r="CI66" s="327"/>
      <c r="CJ66" s="381">
        <v>2</v>
      </c>
      <c r="CK66" s="378" t="str">
        <f t="shared" si="6"/>
        <v>Delegatura Función Jurisdiccional y de Conciliación</v>
      </c>
      <c r="CL66" s="378" t="str">
        <f t="shared" si="7"/>
        <v xml:space="preserve">Porcentaje de demandas gestionadas en el semestre </v>
      </c>
      <c r="CM66" s="378" t="str">
        <f t="shared" si="8"/>
        <v>Número de demandas gestionadas en el semestre / Totalidad de las demandas radicadas en igual período</v>
      </c>
      <c r="CN66" s="390">
        <f t="shared" si="9"/>
        <v>1174</v>
      </c>
      <c r="CO66" s="390">
        <f t="shared" si="10"/>
        <v>1174</v>
      </c>
      <c r="CP66" s="387">
        <f t="shared" si="13"/>
        <v>1</v>
      </c>
      <c r="CQ66" s="379">
        <f t="shared" si="11"/>
        <v>1</v>
      </c>
      <c r="CR66" s="379" t="str">
        <f t="shared" si="12"/>
        <v>CUMPLIO</v>
      </c>
      <c r="DB66" s="381"/>
      <c r="DC66" s="381"/>
      <c r="DD66" s="381"/>
      <c r="DE66" s="381"/>
      <c r="DF66" s="381"/>
      <c r="DG66" s="381"/>
    </row>
    <row r="67" spans="1:111" s="83" customFormat="1" ht="127.5" customHeight="1" thickTop="1" thickBot="1">
      <c r="A67" s="83" t="s">
        <v>556</v>
      </c>
      <c r="B67" s="75" t="s">
        <v>151</v>
      </c>
      <c r="C67" s="75" t="s">
        <v>856</v>
      </c>
      <c r="D67" s="75" t="s">
        <v>903</v>
      </c>
      <c r="E67" s="76" t="s">
        <v>858</v>
      </c>
      <c r="F67" s="76" t="s">
        <v>859</v>
      </c>
      <c r="G67" s="76" t="s">
        <v>150</v>
      </c>
      <c r="H67" s="75" t="s">
        <v>860</v>
      </c>
      <c r="I67" s="76" t="s">
        <v>1148</v>
      </c>
      <c r="J67" s="76" t="s">
        <v>1149</v>
      </c>
      <c r="K67" s="77" t="s">
        <v>1150</v>
      </c>
      <c r="L67" s="77" t="s">
        <v>1173</v>
      </c>
      <c r="M67" s="77" t="s">
        <v>668</v>
      </c>
      <c r="N67" s="76" t="s">
        <v>556</v>
      </c>
      <c r="O67" s="77" t="s">
        <v>669</v>
      </c>
      <c r="P67" s="77" t="s">
        <v>670</v>
      </c>
      <c r="Q67" s="77" t="s">
        <v>670</v>
      </c>
      <c r="R67" s="77" t="s">
        <v>876</v>
      </c>
      <c r="S67" s="77" t="s">
        <v>1180</v>
      </c>
      <c r="T67" s="76" t="s">
        <v>870</v>
      </c>
      <c r="U67" s="76" t="s">
        <v>157</v>
      </c>
      <c r="V67" s="76" t="s">
        <v>988</v>
      </c>
      <c r="W67" s="92">
        <v>16</v>
      </c>
      <c r="X67" s="299">
        <v>14</v>
      </c>
      <c r="Y67" s="76"/>
      <c r="Z67" s="76"/>
      <c r="AA67" s="79"/>
      <c r="AB67" s="76"/>
      <c r="AC67" s="76"/>
      <c r="AD67" s="76">
        <v>7</v>
      </c>
      <c r="AE67" s="76"/>
      <c r="AF67" s="76"/>
      <c r="AG67" s="76"/>
      <c r="AH67" s="76"/>
      <c r="AI67" s="103"/>
      <c r="AJ67" s="76">
        <v>7</v>
      </c>
      <c r="AK67" s="76" t="s">
        <v>873</v>
      </c>
      <c r="AL67" s="76" t="s">
        <v>873</v>
      </c>
      <c r="AM67" s="76" t="s">
        <v>873</v>
      </c>
      <c r="AN67" s="76" t="s">
        <v>873</v>
      </c>
      <c r="AO67" s="76" t="s">
        <v>152</v>
      </c>
      <c r="AP67" s="82" t="s">
        <v>556</v>
      </c>
      <c r="AQ67" s="370">
        <f>+VLOOKUP(AP67,SharePoint!$BA$3:$BY$140,2,FALSE)</f>
        <v>0</v>
      </c>
      <c r="AR67" s="370">
        <f>+VLOOKUP(AP67,SharePoint!$BA$3:$BY$140,3,FALSE)</f>
        <v>0</v>
      </c>
      <c r="AS67" s="370">
        <f>+VLOOKUP(AP67,SharePoint!$BA$3:$BY$140,4,FALSE)</f>
        <v>0</v>
      </c>
      <c r="AT67" s="370">
        <f>+VLOOKUP(AP67,SharePoint!$BA$3:$BY$140,5,FALSE)</f>
        <v>0</v>
      </c>
      <c r="AU67" s="370">
        <f>+VLOOKUP(AP67,SharePoint!$BA$3:$BY$140,6,FALSE)</f>
        <v>0</v>
      </c>
      <c r="AV67" s="370">
        <f>+VLOOKUP(AP67,SharePoint!$BA$3:$BY$140,7,FALSE)</f>
        <v>7</v>
      </c>
      <c r="AW67" s="370">
        <f>+VLOOKUP(AP67,SharePoint!$BA$3:$BY$140,8,FALSE)</f>
        <v>0</v>
      </c>
      <c r="AX67" s="370">
        <f>+VLOOKUP(AP67,SharePoint!$BA$3:$BY$140,9,FALSE)</f>
        <v>0</v>
      </c>
      <c r="AY67" s="370">
        <f>+VLOOKUP(AP67,SharePoint!$BA$3:$BY$140,10,FALSE)</f>
        <v>0</v>
      </c>
      <c r="AZ67" s="370">
        <f>+VLOOKUP(AP67,SharePoint!$BA$3:$BY$140,11,FALSE)</f>
        <v>0</v>
      </c>
      <c r="BA67" s="370">
        <f>+VLOOKUP(AP67,SharePoint!$BA$3:$BY$140,12,FALSE)</f>
        <v>0</v>
      </c>
      <c r="BB67" s="370">
        <f>+VLOOKUP(AP67,SharePoint!$BA$3:$BY$140,13,FALSE)</f>
        <v>7</v>
      </c>
      <c r="BC67" s="226">
        <f>+VLOOKUP(AP67,SharePoint!$BA$3:$BY$140,14,FALSE)</f>
        <v>0</v>
      </c>
      <c r="BD67" s="226">
        <f>+VLOOKUP(AP67,SharePoint!$BA$3:$BY$140,15,FALSE)</f>
        <v>0</v>
      </c>
      <c r="BE67" s="226">
        <f>+VLOOKUP(AP67,SharePoint!$BA$3:$BY$140,16,FALSE)</f>
        <v>0</v>
      </c>
      <c r="BF67" s="226">
        <f>+VLOOKUP(AP67,SharePoint!$BA$3:$BY$140,17,FALSE)</f>
        <v>0</v>
      </c>
      <c r="BG67" s="226">
        <f>+VLOOKUP(AP67,SharePoint!$BA$3:$BY$140,18,FALSE)</f>
        <v>0</v>
      </c>
      <c r="BH67" s="226">
        <f>+VLOOKUP(AP67,SharePoint!$BA$3:$BY$140,19,FALSE)</f>
        <v>7</v>
      </c>
      <c r="BI67" s="226">
        <f>+VLOOKUP(AP67,SharePoint!$BA$3:$BY$140,20,FALSE)</f>
        <v>0</v>
      </c>
      <c r="BJ67" s="226">
        <f>+VLOOKUP(AP67,SharePoint!$BA$3:$BY$140,21,FALSE)</f>
        <v>0</v>
      </c>
      <c r="BK67" s="226">
        <f>+VLOOKUP(AP67,SharePoint!$BA$3:$BY$140,22,FALSE)</f>
        <v>0</v>
      </c>
      <c r="BL67" s="226">
        <f>+VLOOKUP(AP67,SharePoint!$BA$3:$BY$140,23,FALSE)</f>
        <v>0</v>
      </c>
      <c r="BM67" s="226">
        <f>+VLOOKUP(AP67,SharePoint!$BA$3:$BY$140,24,FALSE)</f>
        <v>0</v>
      </c>
      <c r="BN67" s="226">
        <f>+VLOOKUP(AP67,SharePoint!$BA$3:$BY$140,25,FALSE)</f>
        <v>7</v>
      </c>
      <c r="BO67" s="214" t="s">
        <v>873</v>
      </c>
      <c r="BP67" s="214" t="s">
        <v>873</v>
      </c>
      <c r="BQ67" s="214" t="s">
        <v>873</v>
      </c>
      <c r="BR67" s="214" t="s">
        <v>873</v>
      </c>
      <c r="BS67" s="214" t="s">
        <v>873</v>
      </c>
      <c r="BT67" s="215" t="s">
        <v>671</v>
      </c>
      <c r="BU67" s="214" t="s">
        <v>873</v>
      </c>
      <c r="BV67" s="214" t="s">
        <v>873</v>
      </c>
      <c r="BW67" s="214" t="s">
        <v>873</v>
      </c>
      <c r="BX67" s="214" t="s">
        <v>875</v>
      </c>
      <c r="BY67" s="214" t="s">
        <v>875</v>
      </c>
      <c r="BZ67" s="214" t="s">
        <v>3373</v>
      </c>
      <c r="CA67" s="449">
        <v>1</v>
      </c>
      <c r="CB67" s="373" t="s">
        <v>3448</v>
      </c>
      <c r="CC67" s="359">
        <f t="shared" si="0"/>
        <v>14</v>
      </c>
      <c r="CD67" s="359">
        <f t="shared" si="1"/>
        <v>14</v>
      </c>
      <c r="CE67" s="343">
        <f t="shared" si="2"/>
        <v>1</v>
      </c>
      <c r="CF67" s="381">
        <f t="shared" si="3"/>
        <v>14</v>
      </c>
      <c r="CG67" s="327" t="s">
        <v>3509</v>
      </c>
      <c r="CH67" s="327" t="str">
        <f t="shared" si="4"/>
        <v>Numérica</v>
      </c>
      <c r="CI67" s="327"/>
      <c r="CJ67" s="381">
        <v>3</v>
      </c>
      <c r="CK67" s="376" t="str">
        <f t="shared" si="6"/>
        <v>Delegatura Función Jurisdiccional y de Conciliación</v>
      </c>
      <c r="CL67" s="376" t="str">
        <f t="shared" si="7"/>
        <v>Socialización de las funciones jurisdiccional y de conciliación a los usuarios y actores del S.G.S.S.S.</v>
      </c>
      <c r="CM67" s="376" t="str">
        <f t="shared" si="8"/>
        <v>Numero de socializaciones de las funciones jurisdiccional y de conciliación a los usuarios y actores del S.G.S.S.S.</v>
      </c>
      <c r="CN67" s="389">
        <f t="shared" si="9"/>
        <v>14</v>
      </c>
      <c r="CO67" s="389">
        <f t="shared" si="10"/>
        <v>14</v>
      </c>
      <c r="CP67" s="388">
        <f t="shared" si="13"/>
        <v>1</v>
      </c>
      <c r="CQ67" s="376">
        <f t="shared" si="11"/>
        <v>14</v>
      </c>
      <c r="CR67" s="377" t="str">
        <f t="shared" si="12"/>
        <v>CUMPLIO</v>
      </c>
      <c r="DB67" s="381"/>
      <c r="DC67" s="381"/>
      <c r="DD67" s="381"/>
      <c r="DE67" s="381"/>
      <c r="DF67" s="381"/>
      <c r="DG67" s="381"/>
    </row>
    <row r="68" spans="1:111" s="83" customFormat="1" ht="127.5" customHeight="1" thickTop="1" thickBot="1">
      <c r="A68" s="83" t="s">
        <v>288</v>
      </c>
      <c r="B68" s="75" t="s">
        <v>198</v>
      </c>
      <c r="C68" s="75" t="s">
        <v>938</v>
      </c>
      <c r="D68" s="75" t="s">
        <v>903</v>
      </c>
      <c r="E68" s="76" t="s">
        <v>858</v>
      </c>
      <c r="F68" s="76" t="s">
        <v>859</v>
      </c>
      <c r="G68" s="76" t="s">
        <v>591</v>
      </c>
      <c r="H68" s="76" t="s">
        <v>904</v>
      </c>
      <c r="I68" s="76" t="s">
        <v>894</v>
      </c>
      <c r="J68" s="76" t="s">
        <v>895</v>
      </c>
      <c r="K68" s="76" t="s">
        <v>1181</v>
      </c>
      <c r="L68" s="77" t="s">
        <v>875</v>
      </c>
      <c r="M68" s="77" t="s">
        <v>1182</v>
      </c>
      <c r="N68" s="76" t="s">
        <v>288</v>
      </c>
      <c r="O68" s="77" t="s">
        <v>1183</v>
      </c>
      <c r="P68" s="77" t="s">
        <v>1184</v>
      </c>
      <c r="Q68" s="77" t="s">
        <v>1184</v>
      </c>
      <c r="R68" s="77" t="s">
        <v>876</v>
      </c>
      <c r="S68" s="77" t="s">
        <v>1185</v>
      </c>
      <c r="T68" s="76" t="s">
        <v>870</v>
      </c>
      <c r="U68" s="76" t="s">
        <v>157</v>
      </c>
      <c r="V68" s="76" t="s">
        <v>988</v>
      </c>
      <c r="W68" s="92">
        <v>14</v>
      </c>
      <c r="X68" s="307">
        <v>10</v>
      </c>
      <c r="Y68" s="80"/>
      <c r="Z68" s="80"/>
      <c r="AA68" s="80"/>
      <c r="AB68" s="92">
        <v>1</v>
      </c>
      <c r="AC68" s="80"/>
      <c r="AD68" s="92"/>
      <c r="AE68" s="80"/>
      <c r="AF68" s="80"/>
      <c r="AG68" s="80"/>
      <c r="AH68" s="80"/>
      <c r="AI68" s="281">
        <v>9</v>
      </c>
      <c r="AJ68" s="92"/>
      <c r="AK68" s="86" t="s">
        <v>899</v>
      </c>
      <c r="AL68" s="77" t="s">
        <v>1186</v>
      </c>
      <c r="AM68" s="97" t="s">
        <v>1187</v>
      </c>
      <c r="AN68" s="100">
        <v>50000000</v>
      </c>
      <c r="AO68" s="76" t="s">
        <v>592</v>
      </c>
      <c r="AP68" s="82" t="s">
        <v>288</v>
      </c>
      <c r="AQ68" s="370">
        <f>+VLOOKUP(AP68,SharePoint!$BA$3:$BY$140,2,FALSE)</f>
        <v>0</v>
      </c>
      <c r="AR68" s="370">
        <f>+VLOOKUP(AP68,SharePoint!$BA$3:$BY$140,3,FALSE)</f>
        <v>0</v>
      </c>
      <c r="AS68" s="370">
        <f>+VLOOKUP(AP68,SharePoint!$BA$3:$BY$140,4,FALSE)</f>
        <v>0</v>
      </c>
      <c r="AT68" s="370">
        <f>+VLOOKUP(AP68,SharePoint!$BA$3:$BY$140,5,FALSE)</f>
        <v>1</v>
      </c>
      <c r="AU68" s="370">
        <f>+VLOOKUP(AP68,SharePoint!$BA$3:$BY$140,6,FALSE)</f>
        <v>0</v>
      </c>
      <c r="AV68" s="370">
        <f>+VLOOKUP(AP68,SharePoint!$BA$3:$BY$140,7,FALSE)</f>
        <v>0</v>
      </c>
      <c r="AW68" s="370">
        <f>+VLOOKUP(AP68,SharePoint!$BA$3:$BY$140,8,FALSE)</f>
        <v>0</v>
      </c>
      <c r="AX68" s="370">
        <f>+VLOOKUP(AP68,SharePoint!$BA$3:$BY$140,9,FALSE)</f>
        <v>0</v>
      </c>
      <c r="AY68" s="370">
        <f>+VLOOKUP(AP68,SharePoint!$BA$3:$BY$140,10,FALSE)</f>
        <v>0</v>
      </c>
      <c r="AZ68" s="370">
        <f>+VLOOKUP(AP68,SharePoint!$BA$3:$BY$140,11,FALSE)</f>
        <v>0</v>
      </c>
      <c r="BA68" s="370">
        <f>+VLOOKUP(AP68,SharePoint!$BA$3:$BY$140,12,FALSE)</f>
        <v>9</v>
      </c>
      <c r="BB68" s="370">
        <f>+VLOOKUP(AP68,SharePoint!$BA$3:$BY$140,13,FALSE)</f>
        <v>0</v>
      </c>
      <c r="BC68" s="226">
        <f>+VLOOKUP(AP68,SharePoint!$BA$3:$BY$140,14,FALSE)</f>
        <v>0</v>
      </c>
      <c r="BD68" s="226">
        <f>+VLOOKUP(AP68,SharePoint!$BA$3:$BY$140,15,FALSE)</f>
        <v>0</v>
      </c>
      <c r="BE68" s="226">
        <f>+VLOOKUP(AP68,SharePoint!$BA$3:$BY$140,16,FALSE)</f>
        <v>0</v>
      </c>
      <c r="BF68" s="226">
        <f>+VLOOKUP(AP68,SharePoint!$BA$3:$BY$140,17,FALSE)</f>
        <v>1</v>
      </c>
      <c r="BG68" s="226">
        <f>+VLOOKUP(AP68,SharePoint!$BA$3:$BY$140,18,FALSE)</f>
        <v>0</v>
      </c>
      <c r="BH68" s="226">
        <f>+VLOOKUP(AP68,SharePoint!$BA$3:$BY$140,19,FALSE)</f>
        <v>0</v>
      </c>
      <c r="BI68" s="226">
        <f>+VLOOKUP(AP68,SharePoint!$BA$3:$BY$140,20,FALSE)</f>
        <v>0</v>
      </c>
      <c r="BJ68" s="226">
        <f>+VLOOKUP(AP68,SharePoint!$BA$3:$BY$140,21,FALSE)</f>
        <v>0</v>
      </c>
      <c r="BK68" s="226">
        <f>+VLOOKUP(AP68,SharePoint!$BA$3:$BY$140,22,FALSE)</f>
        <v>0</v>
      </c>
      <c r="BL68" s="226">
        <f>+VLOOKUP(AP68,SharePoint!$BA$3:$BY$140,23,FALSE)</f>
        <v>0</v>
      </c>
      <c r="BM68" s="226">
        <f>+VLOOKUP(AP68,SharePoint!$BA$3:$BY$140,24,FALSE)</f>
        <v>9</v>
      </c>
      <c r="BN68" s="226">
        <f>+VLOOKUP(AP68,SharePoint!$BA$3:$BY$140,25,FALSE)</f>
        <v>0</v>
      </c>
      <c r="BO68" s="214" t="s">
        <v>873</v>
      </c>
      <c r="BP68" s="214" t="s">
        <v>873</v>
      </c>
      <c r="BQ68" s="214" t="s">
        <v>873</v>
      </c>
      <c r="BR68" s="215" t="s">
        <v>596</v>
      </c>
      <c r="BS68" s="214" t="s">
        <v>873</v>
      </c>
      <c r="BT68" s="214" t="s">
        <v>873</v>
      </c>
      <c r="BU68" s="214" t="s">
        <v>873</v>
      </c>
      <c r="BV68" s="214" t="s">
        <v>873</v>
      </c>
      <c r="BW68" s="214" t="s">
        <v>873</v>
      </c>
      <c r="BX68" s="214" t="s">
        <v>875</v>
      </c>
      <c r="BY68" s="214" t="s">
        <v>3292</v>
      </c>
      <c r="BZ68" s="214" t="s">
        <v>875</v>
      </c>
      <c r="CA68" s="449">
        <v>2</v>
      </c>
      <c r="CB68" s="374" t="s">
        <v>3516</v>
      </c>
      <c r="CC68" s="359">
        <f t="shared" si="0"/>
        <v>10</v>
      </c>
      <c r="CD68" s="359">
        <f t="shared" si="1"/>
        <v>10</v>
      </c>
      <c r="CE68" s="343">
        <f>+CD68/CF68</f>
        <v>1</v>
      </c>
      <c r="CF68" s="381">
        <f t="shared" si="3"/>
        <v>10</v>
      </c>
      <c r="CG68" s="327" t="s">
        <v>3509</v>
      </c>
      <c r="CH68" s="327" t="str">
        <f t="shared" si="4"/>
        <v>Numérica</v>
      </c>
      <c r="CI68" s="327"/>
      <c r="CJ68" s="381">
        <v>1</v>
      </c>
      <c r="CK68" s="378" t="str">
        <f t="shared" si="6"/>
        <v>Oficina de Liquidaciones</v>
      </c>
      <c r="CL68" s="378" t="str">
        <f t="shared" si="7"/>
        <v xml:space="preserve">Visitas de seguimiento de las liquidaciones Ordenadas por la Superintendencia Nacional de Salud </v>
      </c>
      <c r="CM68" s="378" t="str">
        <f t="shared" si="8"/>
        <v>Número de visitas generadas por la adopción, seguimiento y monitoreo a vigilados en proceso de liquidación  en el periodo</v>
      </c>
      <c r="CN68" s="390">
        <f t="shared" si="9"/>
        <v>10</v>
      </c>
      <c r="CO68" s="390">
        <f t="shared" si="10"/>
        <v>10</v>
      </c>
      <c r="CP68" s="387">
        <f t="shared" si="13"/>
        <v>1</v>
      </c>
      <c r="CQ68" s="378">
        <f t="shared" si="11"/>
        <v>10</v>
      </c>
      <c r="CR68" s="379" t="str">
        <f t="shared" si="12"/>
        <v>CUMPLIO</v>
      </c>
      <c r="DB68" s="381"/>
      <c r="DC68" s="381"/>
      <c r="DD68" s="381"/>
      <c r="DE68" s="381"/>
      <c r="DF68" s="381"/>
      <c r="DG68" s="381"/>
    </row>
    <row r="69" spans="1:111" s="83" customFormat="1" ht="127.5" customHeight="1" thickTop="1" thickBot="1">
      <c r="A69" s="83" t="s">
        <v>611</v>
      </c>
      <c r="B69" s="75" t="s">
        <v>198</v>
      </c>
      <c r="C69" s="75" t="s">
        <v>938</v>
      </c>
      <c r="D69" s="75" t="s">
        <v>903</v>
      </c>
      <c r="E69" s="76" t="s">
        <v>858</v>
      </c>
      <c r="F69" s="76" t="s">
        <v>859</v>
      </c>
      <c r="G69" s="76" t="s">
        <v>591</v>
      </c>
      <c r="H69" s="76" t="s">
        <v>904</v>
      </c>
      <c r="I69" s="76" t="s">
        <v>861</v>
      </c>
      <c r="J69" s="76" t="s">
        <v>862</v>
      </c>
      <c r="K69" s="76" t="s">
        <v>1181</v>
      </c>
      <c r="L69" s="77" t="s">
        <v>875</v>
      </c>
      <c r="M69" s="77" t="s">
        <v>1188</v>
      </c>
      <c r="N69" s="76" t="s">
        <v>611</v>
      </c>
      <c r="O69" s="77" t="s">
        <v>1189</v>
      </c>
      <c r="P69" s="77" t="s">
        <v>1184</v>
      </c>
      <c r="Q69" s="77" t="s">
        <v>1184</v>
      </c>
      <c r="R69" s="77" t="s">
        <v>876</v>
      </c>
      <c r="S69" s="77" t="s">
        <v>1190</v>
      </c>
      <c r="T69" s="76" t="s">
        <v>870</v>
      </c>
      <c r="U69" s="76" t="s">
        <v>157</v>
      </c>
      <c r="V69" s="76" t="s">
        <v>988</v>
      </c>
      <c r="W69" s="92">
        <v>10</v>
      </c>
      <c r="X69" s="308">
        <v>3</v>
      </c>
      <c r="Y69" s="76"/>
      <c r="Z69" s="76"/>
      <c r="AA69" s="79"/>
      <c r="AB69" s="76"/>
      <c r="AC69" s="76"/>
      <c r="AD69" s="92">
        <v>1</v>
      </c>
      <c r="AE69" s="76"/>
      <c r="AF69" s="76"/>
      <c r="AG69" s="79"/>
      <c r="AH69" s="76"/>
      <c r="AI69" s="281">
        <v>2</v>
      </c>
      <c r="AK69" s="86" t="s">
        <v>899</v>
      </c>
      <c r="AL69" s="77" t="s">
        <v>968</v>
      </c>
      <c r="AM69" s="97" t="s">
        <v>1191</v>
      </c>
      <c r="AN69" s="100">
        <v>10000000</v>
      </c>
      <c r="AO69" s="76" t="s">
        <v>592</v>
      </c>
      <c r="AP69" s="82" t="s">
        <v>611</v>
      </c>
      <c r="AQ69" s="370">
        <f>+VLOOKUP(AP69,SharePoint!$BA$3:$BY$140,2,FALSE)</f>
        <v>0</v>
      </c>
      <c r="AR69" s="370">
        <f>+VLOOKUP(AP69,SharePoint!$BA$3:$BY$140,3,FALSE)</f>
        <v>0</v>
      </c>
      <c r="AS69" s="370">
        <f>+VLOOKUP(AP69,SharePoint!$BA$3:$BY$140,4,FALSE)</f>
        <v>0</v>
      </c>
      <c r="AT69" s="370">
        <f>+VLOOKUP(AP69,SharePoint!$BA$3:$BY$140,5,FALSE)</f>
        <v>0</v>
      </c>
      <c r="AU69" s="370">
        <f>+VLOOKUP(AP69,SharePoint!$BA$3:$BY$140,6,FALSE)</f>
        <v>0</v>
      </c>
      <c r="AV69" s="370">
        <f>+VLOOKUP(AP69,SharePoint!$BA$3:$BY$140,7,FALSE)</f>
        <v>0</v>
      </c>
      <c r="AW69" s="370">
        <f>+VLOOKUP(AP69,SharePoint!$BA$3:$BY$140,8,FALSE)</f>
        <v>0</v>
      </c>
      <c r="AX69" s="370">
        <f>+VLOOKUP(AP69,SharePoint!$BA$3:$BY$140,9,FALSE)</f>
        <v>0</v>
      </c>
      <c r="AY69" s="370">
        <f>+VLOOKUP(AP69,SharePoint!$BA$3:$BY$140,10,FALSE)</f>
        <v>0</v>
      </c>
      <c r="AZ69" s="370">
        <f>+VLOOKUP(AP69,SharePoint!$BA$3:$BY$140,11,FALSE)</f>
        <v>0</v>
      </c>
      <c r="BA69" s="370">
        <f>+VLOOKUP(AP69,SharePoint!$BA$3:$BY$140,12,FALSE)</f>
        <v>3</v>
      </c>
      <c r="BB69" s="370">
        <f>+VLOOKUP(AP69,SharePoint!$BA$3:$BY$140,13,FALSE)</f>
        <v>0</v>
      </c>
      <c r="BC69" s="226">
        <f>+VLOOKUP(AP69,SharePoint!$BA$3:$BY$140,14,FALSE)</f>
        <v>0</v>
      </c>
      <c r="BD69" s="226">
        <f>+VLOOKUP(AP69,SharePoint!$BA$3:$BY$140,15,FALSE)</f>
        <v>0</v>
      </c>
      <c r="BE69" s="226">
        <f>+VLOOKUP(AP69,SharePoint!$BA$3:$BY$140,16,FALSE)</f>
        <v>0</v>
      </c>
      <c r="BF69" s="226">
        <f>+VLOOKUP(AP69,SharePoint!$BA$3:$BY$140,17,FALSE)</f>
        <v>0</v>
      </c>
      <c r="BG69" s="226">
        <f>+VLOOKUP(AP69,SharePoint!$BA$3:$BY$140,18,FALSE)</f>
        <v>0</v>
      </c>
      <c r="BH69" s="226">
        <f>+VLOOKUP(AP69,SharePoint!$BA$3:$BY$140,19,FALSE)</f>
        <v>0</v>
      </c>
      <c r="BI69" s="226">
        <f>+VLOOKUP(AP69,SharePoint!$BA$3:$BY$140,20,FALSE)</f>
        <v>0</v>
      </c>
      <c r="BJ69" s="226">
        <f>+VLOOKUP(AP69,SharePoint!$BA$3:$BY$140,21,FALSE)</f>
        <v>0</v>
      </c>
      <c r="BK69" s="226">
        <f>+VLOOKUP(AP69,SharePoint!$BA$3:$BY$140,22,FALSE)</f>
        <v>0</v>
      </c>
      <c r="BL69" s="226">
        <f>+VLOOKUP(AP69,SharePoint!$BA$3:$BY$140,23,FALSE)</f>
        <v>0</v>
      </c>
      <c r="BM69" s="226">
        <f>+VLOOKUP(AP69,SharePoint!$BA$3:$BY$140,24,FALSE)</f>
        <v>3</v>
      </c>
      <c r="BN69" s="226">
        <f>+VLOOKUP(AP69,SharePoint!$BA$3:$BY$140,25,FALSE)</f>
        <v>0</v>
      </c>
      <c r="BO69" s="214" t="s">
        <v>873</v>
      </c>
      <c r="BP69" s="214" t="s">
        <v>873</v>
      </c>
      <c r="BQ69" s="214" t="s">
        <v>873</v>
      </c>
      <c r="BR69" s="214" t="s">
        <v>873</v>
      </c>
      <c r="BS69" s="214" t="s">
        <v>873</v>
      </c>
      <c r="BT69" s="215" t="s">
        <v>685</v>
      </c>
      <c r="BU69" s="214" t="s">
        <v>873</v>
      </c>
      <c r="BV69" s="214" t="s">
        <v>873</v>
      </c>
      <c r="BW69" s="214" t="s">
        <v>873</v>
      </c>
      <c r="BX69" s="214" t="s">
        <v>875</v>
      </c>
      <c r="BY69" s="214" t="s">
        <v>3293</v>
      </c>
      <c r="BZ69" s="214" t="s">
        <v>875</v>
      </c>
      <c r="CA69" s="449">
        <v>2</v>
      </c>
      <c r="CB69" s="339" t="s">
        <v>3546</v>
      </c>
      <c r="CC69" s="328">
        <v>3</v>
      </c>
      <c r="CD69" s="328">
        <v>3</v>
      </c>
      <c r="CE69" s="343">
        <f t="shared" si="2"/>
        <v>1</v>
      </c>
      <c r="CF69" s="381">
        <f t="shared" ref="CF69:CF81" si="14">+X69</f>
        <v>3</v>
      </c>
      <c r="CG69" s="327" t="s">
        <v>3511</v>
      </c>
      <c r="CH69" s="327" t="str">
        <f t="shared" si="4"/>
        <v>Numérica</v>
      </c>
      <c r="CI69" s="327"/>
      <c r="CJ69" s="381">
        <v>2</v>
      </c>
      <c r="CK69" s="376" t="str">
        <f t="shared" si="6"/>
        <v>Oficina de Liquidaciones</v>
      </c>
      <c r="CL69" s="376" t="str">
        <f t="shared" si="7"/>
        <v xml:space="preserve">Visitas de seguimiento de las liquidaciones No Ordenadas por la Superintendencia Nacional de Salud.  </v>
      </c>
      <c r="CM69" s="376" t="str">
        <f t="shared" si="8"/>
        <v>Número de visitas generadas por la adopción, seguimiento y monitoreo a vigilados en proceso de liquidación  en el periodo</v>
      </c>
      <c r="CN69" s="389">
        <f t="shared" si="9"/>
        <v>3</v>
      </c>
      <c r="CO69" s="389">
        <f t="shared" si="10"/>
        <v>3</v>
      </c>
      <c r="CP69" s="388">
        <f t="shared" si="13"/>
        <v>1</v>
      </c>
      <c r="CQ69" s="376">
        <f t="shared" si="11"/>
        <v>3</v>
      </c>
      <c r="CR69" s="377" t="str">
        <f t="shared" si="12"/>
        <v>INCUMPLIO</v>
      </c>
      <c r="DB69" s="381"/>
      <c r="DC69" s="381"/>
      <c r="DD69" s="381"/>
      <c r="DE69" s="381"/>
      <c r="DF69" s="381"/>
      <c r="DG69" s="381"/>
    </row>
    <row r="70" spans="1:111" s="83" customFormat="1" ht="127.5" customHeight="1" thickTop="1" thickBot="1">
      <c r="A70" s="83" t="s">
        <v>646</v>
      </c>
      <c r="B70" s="75" t="s">
        <v>198</v>
      </c>
      <c r="C70" s="75" t="s">
        <v>938</v>
      </c>
      <c r="D70" s="75" t="s">
        <v>885</v>
      </c>
      <c r="E70" s="76" t="s">
        <v>858</v>
      </c>
      <c r="F70" s="76" t="s">
        <v>859</v>
      </c>
      <c r="G70" s="76" t="s">
        <v>591</v>
      </c>
      <c r="H70" s="76" t="s">
        <v>904</v>
      </c>
      <c r="I70" s="76" t="s">
        <v>861</v>
      </c>
      <c r="J70" s="76" t="s">
        <v>862</v>
      </c>
      <c r="K70" s="76" t="s">
        <v>1181</v>
      </c>
      <c r="L70" s="77" t="s">
        <v>875</v>
      </c>
      <c r="M70" s="77" t="s">
        <v>1006</v>
      </c>
      <c r="N70" s="76" t="s">
        <v>646</v>
      </c>
      <c r="O70" s="77" t="s">
        <v>1192</v>
      </c>
      <c r="P70" s="77" t="s">
        <v>1193</v>
      </c>
      <c r="Q70" s="77" t="s">
        <v>1193</v>
      </c>
      <c r="R70" s="77" t="s">
        <v>876</v>
      </c>
      <c r="S70" s="77" t="s">
        <v>1194</v>
      </c>
      <c r="T70" s="76" t="s">
        <v>870</v>
      </c>
      <c r="U70" s="76" t="s">
        <v>157</v>
      </c>
      <c r="V70" s="76" t="s">
        <v>988</v>
      </c>
      <c r="W70" s="92">
        <v>500</v>
      </c>
      <c r="X70" s="308">
        <v>1600</v>
      </c>
      <c r="Y70" s="76"/>
      <c r="Z70" s="76"/>
      <c r="AA70" s="79"/>
      <c r="AB70" s="76"/>
      <c r="AC70" s="76"/>
      <c r="AD70" s="92">
        <v>400</v>
      </c>
      <c r="AE70" s="76"/>
      <c r="AF70" s="76"/>
      <c r="AG70" s="79"/>
      <c r="AH70" s="76"/>
      <c r="AI70" s="76"/>
      <c r="AJ70" s="92">
        <v>1200</v>
      </c>
      <c r="AK70" s="86" t="s">
        <v>899</v>
      </c>
      <c r="AL70" s="77" t="s">
        <v>1195</v>
      </c>
      <c r="AM70" s="88" t="s">
        <v>901</v>
      </c>
      <c r="AN70" s="105">
        <v>310600000</v>
      </c>
      <c r="AO70" s="76" t="s">
        <v>592</v>
      </c>
      <c r="AP70" s="82" t="s">
        <v>646</v>
      </c>
      <c r="AQ70" s="370">
        <f>+VLOOKUP(AP70,SharePoint!$BA$3:$BY$140,2,FALSE)</f>
        <v>0</v>
      </c>
      <c r="AR70" s="370">
        <f>+VLOOKUP(AP70,SharePoint!$BA$3:$BY$140,3,FALSE)</f>
        <v>0</v>
      </c>
      <c r="AS70" s="370">
        <f>+VLOOKUP(AP70,SharePoint!$BA$3:$BY$140,4,FALSE)</f>
        <v>0</v>
      </c>
      <c r="AT70" s="370">
        <f>+VLOOKUP(AP70,SharePoint!$BA$3:$BY$140,5,FALSE)</f>
        <v>0</v>
      </c>
      <c r="AU70" s="370">
        <f>+VLOOKUP(AP70,SharePoint!$BA$3:$BY$140,6,FALSE)</f>
        <v>0</v>
      </c>
      <c r="AV70" s="370">
        <f>+VLOOKUP(AP70,SharePoint!$BA$3:$BY$140,7,FALSE)</f>
        <v>400</v>
      </c>
      <c r="AW70" s="370">
        <f>+VLOOKUP(AP70,SharePoint!$BA$3:$BY$140,8,FALSE)</f>
        <v>0</v>
      </c>
      <c r="AX70" s="370">
        <f>+VLOOKUP(AP70,SharePoint!$BA$3:$BY$140,9,FALSE)</f>
        <v>0</v>
      </c>
      <c r="AY70" s="370">
        <f>+VLOOKUP(AP70,SharePoint!$BA$3:$BY$140,10,FALSE)</f>
        <v>0</v>
      </c>
      <c r="AZ70" s="370">
        <f>+VLOOKUP(AP70,SharePoint!$BA$3:$BY$140,11,FALSE)</f>
        <v>0</v>
      </c>
      <c r="BA70" s="370">
        <f>+VLOOKUP(AP70,SharePoint!$BA$3:$BY$140,12,FALSE)</f>
        <v>0</v>
      </c>
      <c r="BB70" s="370">
        <f>+VLOOKUP(AP70,SharePoint!$BA$3:$BY$140,13,FALSE)</f>
        <v>1240</v>
      </c>
      <c r="BC70" s="226">
        <f>+VLOOKUP(AP70,SharePoint!$BA$3:$BY$140,14,FALSE)</f>
        <v>0</v>
      </c>
      <c r="BD70" s="226">
        <f>+VLOOKUP(AP70,SharePoint!$BA$3:$BY$140,15,FALSE)</f>
        <v>0</v>
      </c>
      <c r="BE70" s="226">
        <f>+VLOOKUP(AP70,SharePoint!$BA$3:$BY$140,16,FALSE)</f>
        <v>0</v>
      </c>
      <c r="BF70" s="226">
        <f>+VLOOKUP(AP70,SharePoint!$BA$3:$BY$140,17,FALSE)</f>
        <v>0</v>
      </c>
      <c r="BG70" s="226">
        <f>+VLOOKUP(AP70,SharePoint!$BA$3:$BY$140,18,FALSE)</f>
        <v>0</v>
      </c>
      <c r="BH70" s="226">
        <f>+VLOOKUP(AP70,SharePoint!$BA$3:$BY$140,19,FALSE)</f>
        <v>400</v>
      </c>
      <c r="BI70" s="226">
        <f>+VLOOKUP(AP70,SharePoint!$BA$3:$BY$140,20,FALSE)</f>
        <v>0</v>
      </c>
      <c r="BJ70" s="226">
        <f>+VLOOKUP(AP70,SharePoint!$BA$3:$BY$140,21,FALSE)</f>
        <v>0</v>
      </c>
      <c r="BK70" s="226">
        <f>+VLOOKUP(AP70,SharePoint!$BA$3:$BY$140,22,FALSE)</f>
        <v>0</v>
      </c>
      <c r="BL70" s="226">
        <f>+VLOOKUP(AP70,SharePoint!$BA$3:$BY$140,23,FALSE)</f>
        <v>0</v>
      </c>
      <c r="BM70" s="226">
        <f>+VLOOKUP(AP70,SharePoint!$BA$3:$BY$140,24,FALSE)</f>
        <v>0</v>
      </c>
      <c r="BN70" s="226">
        <f>+VLOOKUP(AP70,SharePoint!$BA$3:$BY$140,25,FALSE)</f>
        <v>1200</v>
      </c>
      <c r="BO70" s="214" t="s">
        <v>873</v>
      </c>
      <c r="BP70" s="214" t="s">
        <v>873</v>
      </c>
      <c r="BQ70" s="214" t="s">
        <v>873</v>
      </c>
      <c r="BR70" s="214" t="s">
        <v>873</v>
      </c>
      <c r="BS70" s="214" t="s">
        <v>873</v>
      </c>
      <c r="BT70" s="215" t="s">
        <v>689</v>
      </c>
      <c r="BU70" s="214" t="s">
        <v>873</v>
      </c>
      <c r="BV70" s="214" t="s">
        <v>873</v>
      </c>
      <c r="BW70" s="214" t="s">
        <v>873</v>
      </c>
      <c r="BX70" s="214" t="s">
        <v>875</v>
      </c>
      <c r="BY70" s="214" t="s">
        <v>875</v>
      </c>
      <c r="BZ70" s="214" t="s">
        <v>3294</v>
      </c>
      <c r="CA70" s="449">
        <v>1</v>
      </c>
      <c r="CB70" s="459" t="s">
        <v>3563</v>
      </c>
      <c r="CC70" s="359">
        <f t="shared" ref="CC70:CC132" si="15">+SUM(AQ70:BB70)</f>
        <v>1640</v>
      </c>
      <c r="CD70" s="359">
        <f t="shared" ref="CD70:CD132" si="16">+SUM(BC70:BN70)</f>
        <v>1600</v>
      </c>
      <c r="CE70" s="343">
        <f t="shared" ref="CE70:CE132" si="17">+CC70/CD70</f>
        <v>1.0249999999999999</v>
      </c>
      <c r="CF70" s="381">
        <f t="shared" si="14"/>
        <v>1600</v>
      </c>
      <c r="CG70" s="327" t="s">
        <v>3511</v>
      </c>
      <c r="CH70" s="327" t="str">
        <f t="shared" ref="CH70:CH133" si="18">+U70</f>
        <v>Numérica</v>
      </c>
      <c r="CI70" s="327"/>
      <c r="CJ70" s="381">
        <v>3</v>
      </c>
      <c r="CK70" s="378" t="str">
        <f t="shared" si="6"/>
        <v>Oficina de Liquidaciones</v>
      </c>
      <c r="CL70" s="378" t="str">
        <f t="shared" si="7"/>
        <v xml:space="preserve">Documentos radicados efectivos de salida en la herramienta Superargo  de los  procesos de respuesta a los usuarios o entidades del SGSSS y traslados a órganos de control  </v>
      </c>
      <c r="CM70" s="378" t="str">
        <f t="shared" si="8"/>
        <v xml:space="preserve">Número de documentos radicados de salida </v>
      </c>
      <c r="CN70" s="390">
        <f t="shared" si="9"/>
        <v>1640</v>
      </c>
      <c r="CO70" s="390">
        <f t="shared" si="10"/>
        <v>1600</v>
      </c>
      <c r="CP70" s="387">
        <f t="shared" si="13"/>
        <v>1.0249999999999999</v>
      </c>
      <c r="CQ70" s="378">
        <f t="shared" si="11"/>
        <v>1600</v>
      </c>
      <c r="CR70" s="379" t="str">
        <f t="shared" si="12"/>
        <v>INCUMPLIO</v>
      </c>
      <c r="DB70" s="381"/>
      <c r="DC70" s="381"/>
      <c r="DD70" s="381"/>
      <c r="DE70" s="381"/>
      <c r="DF70" s="381"/>
      <c r="DG70" s="381"/>
    </row>
    <row r="71" spans="1:111" s="83" customFormat="1" ht="127.5" customHeight="1" thickTop="1" thickBot="1">
      <c r="A71" s="83" t="s">
        <v>520</v>
      </c>
      <c r="B71" s="77" t="s">
        <v>151</v>
      </c>
      <c r="C71" s="77" t="s">
        <v>856</v>
      </c>
      <c r="D71" s="77" t="s">
        <v>903</v>
      </c>
      <c r="E71" s="76" t="s">
        <v>923</v>
      </c>
      <c r="F71" s="76" t="s">
        <v>924</v>
      </c>
      <c r="G71" s="77" t="s">
        <v>215</v>
      </c>
      <c r="H71" s="75" t="s">
        <v>860</v>
      </c>
      <c r="I71" s="77" t="s">
        <v>1196</v>
      </c>
      <c r="J71" s="77" t="s">
        <v>862</v>
      </c>
      <c r="K71" s="77" t="s">
        <v>1197</v>
      </c>
      <c r="L71" s="77" t="s">
        <v>875</v>
      </c>
      <c r="M71" s="77" t="s">
        <v>608</v>
      </c>
      <c r="N71" s="76" t="s">
        <v>520</v>
      </c>
      <c r="O71" s="77" t="s">
        <v>1198</v>
      </c>
      <c r="P71" s="77" t="s">
        <v>610</v>
      </c>
      <c r="Q71" s="77" t="s">
        <v>1199</v>
      </c>
      <c r="R71" s="77" t="s">
        <v>1200</v>
      </c>
      <c r="S71" s="77" t="s">
        <v>1201</v>
      </c>
      <c r="T71" s="77" t="s">
        <v>892</v>
      </c>
      <c r="U71" s="88" t="s">
        <v>871</v>
      </c>
      <c r="V71" s="88" t="s">
        <v>872</v>
      </c>
      <c r="W71" s="108">
        <v>0.97</v>
      </c>
      <c r="X71" s="320">
        <v>0.98</v>
      </c>
      <c r="Y71" s="88" t="s">
        <v>1057</v>
      </c>
      <c r="Z71" s="108">
        <v>0.98</v>
      </c>
      <c r="AA71" s="108"/>
      <c r="AB71" s="88" t="s">
        <v>1057</v>
      </c>
      <c r="AC71" s="108">
        <v>0.98</v>
      </c>
      <c r="AD71" s="108"/>
      <c r="AE71" s="88" t="s">
        <v>1057</v>
      </c>
      <c r="AF71" s="108">
        <v>0.98</v>
      </c>
      <c r="AG71" s="108"/>
      <c r="AH71" s="88" t="s">
        <v>1057</v>
      </c>
      <c r="AI71" s="108">
        <v>0.98</v>
      </c>
      <c r="AJ71" s="108"/>
      <c r="AK71" s="84" t="s">
        <v>1202</v>
      </c>
      <c r="AL71" s="75" t="s">
        <v>1203</v>
      </c>
      <c r="AM71" s="84" t="s">
        <v>1204</v>
      </c>
      <c r="AN71" s="107">
        <v>192450777</v>
      </c>
      <c r="AO71" s="76" t="s">
        <v>607</v>
      </c>
      <c r="AP71" s="230" t="s">
        <v>520</v>
      </c>
      <c r="AQ71" s="370">
        <f>+VLOOKUP(AP71,SharePoint!$BA$3:$BY$140,2,FALSE)</f>
        <v>0</v>
      </c>
      <c r="AR71" s="370">
        <f>+VLOOKUP(AP71,SharePoint!$BA$3:$BY$140,3,FALSE)</f>
        <v>0.97</v>
      </c>
      <c r="AS71" s="370">
        <f>+VLOOKUP(AP71,SharePoint!$BA$3:$BY$140,4,FALSE)</f>
        <v>0</v>
      </c>
      <c r="AT71" s="370">
        <f>+VLOOKUP(AP71,SharePoint!$BA$3:$BY$140,5,FALSE)</f>
        <v>0</v>
      </c>
      <c r="AU71" s="370">
        <f>+VLOOKUP(AP71,SharePoint!$BA$3:$BY$140,6,FALSE)</f>
        <v>0.97</v>
      </c>
      <c r="AV71" s="370">
        <f>+VLOOKUP(AP71,SharePoint!$BA$3:$BY$140,7,FALSE)</f>
        <v>0</v>
      </c>
      <c r="AW71" s="370">
        <f>+VLOOKUP(AP71,SharePoint!$BA$3:$BY$140,8,FALSE)</f>
        <v>0</v>
      </c>
      <c r="AX71" s="370">
        <f>+VLOOKUP(AP71,SharePoint!$BA$3:$BY$140,9,FALSE)</f>
        <v>0.98</v>
      </c>
      <c r="AY71" s="370">
        <f>+VLOOKUP(AP71,SharePoint!$BA$3:$BY$140,10,FALSE)</f>
        <v>0</v>
      </c>
      <c r="AZ71" s="370">
        <f>+VLOOKUP(AP71,SharePoint!$BA$3:$BY$140,11,FALSE)</f>
        <v>0</v>
      </c>
      <c r="BA71" s="370">
        <f>+VLOOKUP(AP71,SharePoint!$BA$3:$BY$140,12,FALSE)</f>
        <v>0.94399999999999995</v>
      </c>
      <c r="BB71" s="370">
        <f>+VLOOKUP(AP71,SharePoint!$BA$3:$BY$140,13,FALSE)</f>
        <v>0</v>
      </c>
      <c r="BC71" s="226">
        <f>+VLOOKUP(AP71,SharePoint!$BA$3:$BY$140,14,FALSE)</f>
        <v>0</v>
      </c>
      <c r="BD71" s="226">
        <f>+VLOOKUP(AP71,SharePoint!$BA$3:$BY$140,15,FALSE)</f>
        <v>1</v>
      </c>
      <c r="BE71" s="226">
        <f>+VLOOKUP(AP71,SharePoint!$BA$3:$BY$140,16,FALSE)</f>
        <v>0</v>
      </c>
      <c r="BF71" s="226">
        <f>+VLOOKUP(AP71,SharePoint!$BA$3:$BY$140,17,FALSE)</f>
        <v>0</v>
      </c>
      <c r="BG71" s="226">
        <f>+VLOOKUP(AP71,SharePoint!$BA$3:$BY$140,18,FALSE)</f>
        <v>1</v>
      </c>
      <c r="BH71" s="226">
        <f>+VLOOKUP(AP71,SharePoint!$BA$3:$BY$140,19,FALSE)</f>
        <v>0</v>
      </c>
      <c r="BI71" s="226">
        <f>+VLOOKUP(AP71,SharePoint!$BA$3:$BY$140,20,FALSE)</f>
        <v>0</v>
      </c>
      <c r="BJ71" s="226">
        <f>+VLOOKUP(AP71,SharePoint!$BA$3:$BY$140,21,FALSE)</f>
        <v>1</v>
      </c>
      <c r="BK71" s="226">
        <f>+VLOOKUP(AP71,SharePoint!$BA$3:$BY$140,22,FALSE)</f>
        <v>0</v>
      </c>
      <c r="BL71" s="226">
        <f>+VLOOKUP(AP71,SharePoint!$BA$3:$BY$140,23,FALSE)</f>
        <v>0</v>
      </c>
      <c r="BM71" s="226">
        <f>+VLOOKUP(AP71,SharePoint!$BA$3:$BY$140,24,FALSE)</f>
        <v>1</v>
      </c>
      <c r="BN71" s="226">
        <f>+VLOOKUP(AP71,SharePoint!$BA$3:$BY$140,25,FALSE)</f>
        <v>0</v>
      </c>
      <c r="BO71" s="214" t="s">
        <v>873</v>
      </c>
      <c r="BP71" s="215" t="s">
        <v>2819</v>
      </c>
      <c r="BQ71" s="214" t="s">
        <v>873</v>
      </c>
      <c r="BR71" s="214" t="s">
        <v>873</v>
      </c>
      <c r="BS71" s="215" t="s">
        <v>3063</v>
      </c>
      <c r="BT71" s="214" t="s">
        <v>873</v>
      </c>
      <c r="BU71" s="214" t="s">
        <v>873</v>
      </c>
      <c r="BV71" s="214" t="s">
        <v>2902</v>
      </c>
      <c r="BW71" s="214" t="s">
        <v>873</v>
      </c>
      <c r="BX71" s="214" t="s">
        <v>875</v>
      </c>
      <c r="BY71" s="214" t="s">
        <v>3371</v>
      </c>
      <c r="BZ71" s="214" t="s">
        <v>875</v>
      </c>
      <c r="CA71" s="449">
        <v>2</v>
      </c>
      <c r="CB71" s="422" t="s">
        <v>3547</v>
      </c>
      <c r="CC71" s="431">
        <v>0.98099999999999998</v>
      </c>
      <c r="CD71" s="431">
        <v>1</v>
      </c>
      <c r="CE71" s="427">
        <f t="shared" si="17"/>
        <v>0.98099999999999998</v>
      </c>
      <c r="CF71" s="418">
        <f t="shared" si="14"/>
        <v>0.98</v>
      </c>
      <c r="CG71" s="419" t="s">
        <v>3511</v>
      </c>
      <c r="CH71" s="327" t="str">
        <f t="shared" si="18"/>
        <v xml:space="preserve">Porcentual </v>
      </c>
      <c r="CI71" s="327"/>
      <c r="CJ71" s="381">
        <v>1</v>
      </c>
      <c r="CK71" s="376" t="str">
        <f t="shared" ref="CK71:CK133" si="19">+AO71</f>
        <v>Oficina Asesora de Planeación</v>
      </c>
      <c r="CL71" s="376" t="str">
        <f t="shared" ref="CL71:CL133" si="20">+O71</f>
        <v>Porcentaje de avance en el cumplimiento de actividades formuladas en PEI  y PAG</v>
      </c>
      <c r="CM71" s="376" t="str">
        <f t="shared" ref="CM71:CM133" si="21">+P71</f>
        <v>(Número de actividades realizadas / Número de actividades formuladas en los planes)*100</v>
      </c>
      <c r="CN71" s="389">
        <f t="shared" ref="CN71:CN133" si="22">+CC71</f>
        <v>0.98099999999999998</v>
      </c>
      <c r="CO71" s="389">
        <f t="shared" ref="CO71:CO133" si="23">+CD71</f>
        <v>1</v>
      </c>
      <c r="CP71" s="388">
        <f t="shared" si="13"/>
        <v>0.98099999999999998</v>
      </c>
      <c r="CQ71" s="377">
        <f t="shared" ref="CQ71:CQ133" si="24">+CF71</f>
        <v>0.98</v>
      </c>
      <c r="CR71" s="377" t="str">
        <f t="shared" ref="CR71:CR133" si="25">+CG71</f>
        <v>INCUMPLIO</v>
      </c>
      <c r="CT71" s="377" t="s">
        <v>3511</v>
      </c>
      <c r="CU71" s="83">
        <f>+COUNTIF(CR:CR,CT71)</f>
        <v>27</v>
      </c>
      <c r="DB71" s="381"/>
      <c r="DC71" s="381"/>
      <c r="DD71" s="381"/>
      <c r="DE71" s="381"/>
      <c r="DF71" s="381"/>
      <c r="DG71" s="381"/>
    </row>
    <row r="72" spans="1:111" s="83" customFormat="1" ht="127.5" customHeight="1" thickTop="1" thickBot="1">
      <c r="A72" s="83" t="s">
        <v>1205</v>
      </c>
      <c r="B72" s="77" t="s">
        <v>151</v>
      </c>
      <c r="C72" s="77" t="s">
        <v>856</v>
      </c>
      <c r="D72" s="77" t="s">
        <v>903</v>
      </c>
      <c r="E72" s="76" t="s">
        <v>923</v>
      </c>
      <c r="F72" s="76" t="s">
        <v>924</v>
      </c>
      <c r="G72" s="77" t="s">
        <v>215</v>
      </c>
      <c r="H72" s="75" t="s">
        <v>860</v>
      </c>
      <c r="I72" s="77" t="s">
        <v>1196</v>
      </c>
      <c r="J72" s="77" t="s">
        <v>862</v>
      </c>
      <c r="K72" s="77" t="s">
        <v>1197</v>
      </c>
      <c r="L72" s="77" t="s">
        <v>875</v>
      </c>
      <c r="M72" s="77" t="s">
        <v>1206</v>
      </c>
      <c r="N72" s="88" t="s">
        <v>1205</v>
      </c>
      <c r="O72" s="78" t="s">
        <v>1207</v>
      </c>
      <c r="P72" s="78" t="s">
        <v>1208</v>
      </c>
      <c r="Q72" s="78" t="s">
        <v>1209</v>
      </c>
      <c r="R72" s="78" t="s">
        <v>1210</v>
      </c>
      <c r="S72" s="78" t="s">
        <v>1211</v>
      </c>
      <c r="T72" s="77" t="s">
        <v>892</v>
      </c>
      <c r="U72" s="88" t="s">
        <v>871</v>
      </c>
      <c r="V72" s="88" t="s">
        <v>988</v>
      </c>
      <c r="W72" s="77">
        <v>0</v>
      </c>
      <c r="X72" s="297">
        <v>0.95</v>
      </c>
      <c r="Y72" s="77"/>
      <c r="Z72" s="77"/>
      <c r="AA72" s="78"/>
      <c r="AB72" s="77"/>
      <c r="AC72" s="77"/>
      <c r="AD72" s="78"/>
      <c r="AE72" s="77"/>
      <c r="AF72" s="77"/>
      <c r="AH72" s="292">
        <v>0.3</v>
      </c>
      <c r="AI72" s="77"/>
      <c r="AJ72" s="78">
        <v>1</v>
      </c>
      <c r="AK72" s="76" t="s">
        <v>873</v>
      </c>
      <c r="AL72" s="76" t="s">
        <v>873</v>
      </c>
      <c r="AM72" s="76" t="s">
        <v>873</v>
      </c>
      <c r="AN72" s="76" t="s">
        <v>873</v>
      </c>
      <c r="AO72" s="76" t="s">
        <v>607</v>
      </c>
      <c r="AP72" s="82" t="s">
        <v>1205</v>
      </c>
      <c r="AQ72" s="370">
        <f>+VLOOKUP(AP72,SharePoint!$BA$3:$BY$140,2,FALSE)</f>
        <v>0</v>
      </c>
      <c r="AR72" s="370">
        <f>+VLOOKUP(AP72,SharePoint!$BA$3:$BY$140,3,FALSE)</f>
        <v>0</v>
      </c>
      <c r="AS72" s="370">
        <f>+VLOOKUP(AP72,SharePoint!$BA$3:$BY$140,4,FALSE)</f>
        <v>0</v>
      </c>
      <c r="AT72" s="370">
        <f>+VLOOKUP(AP72,SharePoint!$BA$3:$BY$140,5,FALSE)</f>
        <v>0</v>
      </c>
      <c r="AU72" s="370">
        <f>+VLOOKUP(AP72,SharePoint!$BA$3:$BY$140,6,FALSE)</f>
        <v>0</v>
      </c>
      <c r="AV72" s="370">
        <f>+VLOOKUP(AP72,SharePoint!$BA$3:$BY$140,7,FALSE)</f>
        <v>0</v>
      </c>
      <c r="AW72" s="370">
        <f>+VLOOKUP(AP72,SharePoint!$BA$3:$BY$140,8,FALSE)</f>
        <v>0</v>
      </c>
      <c r="AX72" s="370">
        <f>+VLOOKUP(AP72,SharePoint!$BA$3:$BY$140,9,FALSE)</f>
        <v>0</v>
      </c>
      <c r="AY72" s="370">
        <f>+VLOOKUP(AP72,SharePoint!$BA$3:$BY$140,10,FALSE)</f>
        <v>0</v>
      </c>
      <c r="AZ72" s="370">
        <f>+VLOOKUP(AP72,SharePoint!$BA$3:$BY$140,11,FALSE)</f>
        <v>39</v>
      </c>
      <c r="BA72" s="370">
        <f>+VLOOKUP(AP72,SharePoint!$BA$3:$BY$140,12,FALSE)</f>
        <v>0</v>
      </c>
      <c r="BB72" s="370">
        <f>+VLOOKUP(AP72,SharePoint!$BA$3:$BY$140,13,FALSE)</f>
        <v>71</v>
      </c>
      <c r="BC72" s="226">
        <f>+VLOOKUP(AP72,SharePoint!$BA$3:$BY$140,14,FALSE)</f>
        <v>0</v>
      </c>
      <c r="BD72" s="226">
        <f>+VLOOKUP(AP72,SharePoint!$BA$3:$BY$140,15,FALSE)</f>
        <v>0</v>
      </c>
      <c r="BE72" s="226">
        <f>+VLOOKUP(AP72,SharePoint!$BA$3:$BY$140,16,FALSE)</f>
        <v>0</v>
      </c>
      <c r="BF72" s="226">
        <f>+VLOOKUP(AP72,SharePoint!$BA$3:$BY$140,17,FALSE)</f>
        <v>0</v>
      </c>
      <c r="BG72" s="226">
        <f>+VLOOKUP(AP72,SharePoint!$BA$3:$BY$140,18,FALSE)</f>
        <v>0</v>
      </c>
      <c r="BH72" s="226">
        <f>+VLOOKUP(AP72,SharePoint!$BA$3:$BY$140,19,FALSE)</f>
        <v>0</v>
      </c>
      <c r="BI72" s="226">
        <f>+VLOOKUP(AP72,SharePoint!$BA$3:$BY$140,20,FALSE)</f>
        <v>0</v>
      </c>
      <c r="BJ72" s="226">
        <f>+VLOOKUP(AP72,SharePoint!$BA$3:$BY$140,21,FALSE)</f>
        <v>0</v>
      </c>
      <c r="BK72" s="226">
        <f>+VLOOKUP(AP72,SharePoint!$BA$3:$BY$140,22,FALSE)</f>
        <v>0</v>
      </c>
      <c r="BL72" s="226">
        <f>+VLOOKUP(AP72,SharePoint!$BA$3:$BY$140,23,FALSE)</f>
        <v>73</v>
      </c>
      <c r="BM72" s="226">
        <f>+VLOOKUP(AP72,SharePoint!$BA$3:$BY$140,24,FALSE)</f>
        <v>0</v>
      </c>
      <c r="BN72" s="226">
        <f>+VLOOKUP(AP72,SharePoint!$BA$3:$BY$140,25,FALSE)</f>
        <v>73</v>
      </c>
      <c r="BO72" s="214" t="s">
        <v>873</v>
      </c>
      <c r="BP72" s="214" t="s">
        <v>873</v>
      </c>
      <c r="BQ72" s="214" t="s">
        <v>873</v>
      </c>
      <c r="BR72" s="214" t="s">
        <v>873</v>
      </c>
      <c r="BS72" s="214" t="s">
        <v>873</v>
      </c>
      <c r="BT72" s="214" t="s">
        <v>873</v>
      </c>
      <c r="BU72" s="214" t="s">
        <v>873</v>
      </c>
      <c r="BV72" s="214" t="s">
        <v>873</v>
      </c>
      <c r="BW72" s="214" t="s">
        <v>873</v>
      </c>
      <c r="BX72" s="214" t="s">
        <v>3285</v>
      </c>
      <c r="BY72" s="214" t="s">
        <v>875</v>
      </c>
      <c r="BZ72" s="214" t="s">
        <v>875</v>
      </c>
      <c r="CA72" s="449">
        <v>1</v>
      </c>
      <c r="CB72" s="374" t="s">
        <v>3556</v>
      </c>
      <c r="CC72" s="328">
        <v>71</v>
      </c>
      <c r="CD72" s="328">
        <v>73</v>
      </c>
      <c r="CE72" s="393">
        <f t="shared" si="17"/>
        <v>0.9726027397260274</v>
      </c>
      <c r="CF72" s="393">
        <f t="shared" si="14"/>
        <v>0.95</v>
      </c>
      <c r="CG72" s="391" t="s">
        <v>3509</v>
      </c>
      <c r="CH72" s="327" t="str">
        <f t="shared" si="18"/>
        <v xml:space="preserve">Porcentual </v>
      </c>
      <c r="CI72" s="327"/>
      <c r="CJ72" s="381">
        <v>2</v>
      </c>
      <c r="CK72" s="378" t="str">
        <f t="shared" si="19"/>
        <v>Oficina Asesora de Planeación</v>
      </c>
      <c r="CL72" s="378" t="str">
        <f t="shared" si="20"/>
        <v>Porcentaje de avance en la ejecución del Programa de Transaparencia y Etica Publica</v>
      </c>
      <c r="CM72" s="378" t="str">
        <f t="shared" si="21"/>
        <v>(Número de actividades ejecutadas en el periodo / Número de actividades programadas en el cronograma del Programa de Transaparencia y Etica Publica</v>
      </c>
      <c r="CN72" s="390">
        <f t="shared" si="22"/>
        <v>71</v>
      </c>
      <c r="CO72" s="390">
        <f t="shared" si="23"/>
        <v>73</v>
      </c>
      <c r="CP72" s="387">
        <f t="shared" ref="CP72:CP133" si="26">+CN72/CO72</f>
        <v>0.9726027397260274</v>
      </c>
      <c r="CQ72" s="379">
        <f t="shared" si="24"/>
        <v>0.95</v>
      </c>
      <c r="CR72" s="379" t="str">
        <f t="shared" si="25"/>
        <v>CUMPLIO</v>
      </c>
      <c r="CT72" s="379" t="s">
        <v>3509</v>
      </c>
      <c r="CU72" s="83">
        <f t="shared" ref="CU72:CU73" si="27">+COUNTIF(CR:CR,CT72)</f>
        <v>76</v>
      </c>
      <c r="DB72" s="381"/>
      <c r="DC72" s="381"/>
      <c r="DD72" s="381"/>
      <c r="DE72" s="381"/>
      <c r="DF72" s="381"/>
      <c r="DG72" s="381"/>
    </row>
    <row r="73" spans="1:111" s="83" customFormat="1" ht="127.5" customHeight="1" thickTop="1" thickBot="1">
      <c r="A73" s="83" t="s">
        <v>525</v>
      </c>
      <c r="B73" s="75" t="s">
        <v>151</v>
      </c>
      <c r="C73" s="75" t="s">
        <v>856</v>
      </c>
      <c r="D73" s="75" t="s">
        <v>903</v>
      </c>
      <c r="E73" s="76" t="s">
        <v>923</v>
      </c>
      <c r="F73" s="76" t="s">
        <v>924</v>
      </c>
      <c r="G73" s="76" t="s">
        <v>215</v>
      </c>
      <c r="H73" s="75" t="s">
        <v>860</v>
      </c>
      <c r="I73" s="76" t="s">
        <v>1196</v>
      </c>
      <c r="J73" s="77" t="s">
        <v>862</v>
      </c>
      <c r="K73" s="77" t="s">
        <v>1212</v>
      </c>
      <c r="L73" s="77" t="s">
        <v>875</v>
      </c>
      <c r="M73" s="77" t="s">
        <v>613</v>
      </c>
      <c r="N73" s="76" t="s">
        <v>525</v>
      </c>
      <c r="O73" s="77" t="s">
        <v>1213</v>
      </c>
      <c r="P73" s="77" t="s">
        <v>1214</v>
      </c>
      <c r="Q73" s="77" t="s">
        <v>1215</v>
      </c>
      <c r="R73" s="77" t="s">
        <v>1216</v>
      </c>
      <c r="S73" s="77" t="s">
        <v>1217</v>
      </c>
      <c r="T73" s="76" t="s">
        <v>892</v>
      </c>
      <c r="U73" s="76" t="s">
        <v>871</v>
      </c>
      <c r="V73" s="76" t="s">
        <v>872</v>
      </c>
      <c r="W73" s="81">
        <v>0</v>
      </c>
      <c r="X73" s="300">
        <v>0.85</v>
      </c>
      <c r="Y73" s="76"/>
      <c r="Z73" s="76"/>
      <c r="AA73" s="79"/>
      <c r="AB73" s="79">
        <v>0.1</v>
      </c>
      <c r="AC73" s="76"/>
      <c r="AD73" s="82"/>
      <c r="AE73" s="79"/>
      <c r="AF73" s="79">
        <v>0.5</v>
      </c>
      <c r="AG73" s="79"/>
      <c r="AH73" s="79"/>
      <c r="AI73" s="76"/>
      <c r="AJ73" s="79">
        <v>0.85</v>
      </c>
      <c r="AK73" s="76" t="s">
        <v>873</v>
      </c>
      <c r="AL73" s="76" t="s">
        <v>873</v>
      </c>
      <c r="AM73" s="76" t="s">
        <v>873</v>
      </c>
      <c r="AN73" s="76" t="s">
        <v>873</v>
      </c>
      <c r="AO73" s="76" t="s">
        <v>607</v>
      </c>
      <c r="AP73" s="82" t="s">
        <v>525</v>
      </c>
      <c r="AQ73" s="370">
        <f>+VLOOKUP(AP73,SharePoint!$BA$3:$BY$140,2,FALSE)</f>
        <v>0</v>
      </c>
      <c r="AR73" s="370">
        <f>+VLOOKUP(AP73,SharePoint!$BA$3:$BY$140,3,FALSE)</f>
        <v>0</v>
      </c>
      <c r="AS73" s="370">
        <f>+VLOOKUP(AP73,SharePoint!$BA$3:$BY$140,4,FALSE)</f>
        <v>0</v>
      </c>
      <c r="AT73" s="370">
        <f>+VLOOKUP(AP73,SharePoint!$BA$3:$BY$140,5,FALSE)</f>
        <v>9919710465</v>
      </c>
      <c r="AU73" s="370">
        <f>+VLOOKUP(AP73,SharePoint!$BA$3:$BY$140,6,FALSE)</f>
        <v>0</v>
      </c>
      <c r="AV73" s="370">
        <f>+VLOOKUP(AP73,SharePoint!$BA$3:$BY$140,7,FALSE)</f>
        <v>0</v>
      </c>
      <c r="AW73" s="370">
        <f>+VLOOKUP(AP73,SharePoint!$BA$3:$BY$140,8,FALSE)</f>
        <v>0</v>
      </c>
      <c r="AX73" s="370">
        <f>+VLOOKUP(AP73,SharePoint!$BA$3:$BY$140,9,FALSE)</f>
        <v>31860537928</v>
      </c>
      <c r="AY73" s="370">
        <f>+VLOOKUP(AP73,SharePoint!$BA$3:$BY$140,10,FALSE)</f>
        <v>0</v>
      </c>
      <c r="AZ73" s="370">
        <f>+VLOOKUP(AP73,SharePoint!$BA$3:$BY$140,11,FALSE)</f>
        <v>0</v>
      </c>
      <c r="BA73" s="370">
        <f>+VLOOKUP(AP73,SharePoint!$BA$3:$BY$140,12,FALSE)</f>
        <v>0</v>
      </c>
      <c r="BB73" s="370">
        <f>+VLOOKUP(AP73,SharePoint!$BA$3:$BY$140,13,FALSE)</f>
        <v>78459265382</v>
      </c>
      <c r="BC73" s="226">
        <f>+VLOOKUP(AP73,SharePoint!$BA$3:$BY$140,14,FALSE)</f>
        <v>0</v>
      </c>
      <c r="BD73" s="226">
        <f>+VLOOKUP(AP73,SharePoint!$BA$3:$BY$140,15,FALSE)</f>
        <v>0</v>
      </c>
      <c r="BE73" s="226">
        <f>+VLOOKUP(AP73,SharePoint!$BA$3:$BY$140,16,FALSE)</f>
        <v>0</v>
      </c>
      <c r="BF73" s="226">
        <f>+VLOOKUP(AP73,SharePoint!$BA$3:$BY$140,17,FALSE)</f>
        <v>87198844691</v>
      </c>
      <c r="BG73" s="226">
        <f>+VLOOKUP(AP73,SharePoint!$BA$3:$BY$140,18,FALSE)</f>
        <v>0</v>
      </c>
      <c r="BH73" s="226">
        <f>+VLOOKUP(AP73,SharePoint!$BA$3:$BY$140,19,FALSE)</f>
        <v>0</v>
      </c>
      <c r="BI73" s="226">
        <f>+VLOOKUP(AP73,SharePoint!$BA$3:$BY$140,20,FALSE)</f>
        <v>0</v>
      </c>
      <c r="BJ73" s="226">
        <f>+VLOOKUP(AP73,SharePoint!$BA$3:$BY$140,21,FALSE)</f>
        <v>87198844691</v>
      </c>
      <c r="BK73" s="226">
        <f>+VLOOKUP(AP73,SharePoint!$BA$3:$BY$140,22,FALSE)</f>
        <v>0</v>
      </c>
      <c r="BL73" s="226">
        <f>+VLOOKUP(AP73,SharePoint!$BA$3:$BY$140,23,FALSE)</f>
        <v>0</v>
      </c>
      <c r="BM73" s="226">
        <f>+VLOOKUP(AP73,SharePoint!$BA$3:$BY$140,24,FALSE)</f>
        <v>0</v>
      </c>
      <c r="BN73" s="226">
        <f>+VLOOKUP(AP73,SharePoint!$BA$3:$BY$140,25,FALSE)</f>
        <v>84527452102</v>
      </c>
      <c r="BO73" s="214" t="s">
        <v>873</v>
      </c>
      <c r="BP73" s="214" t="s">
        <v>873</v>
      </c>
      <c r="BQ73" s="214" t="s">
        <v>873</v>
      </c>
      <c r="BR73" s="215" t="s">
        <v>3064</v>
      </c>
      <c r="BS73" s="214" t="s">
        <v>873</v>
      </c>
      <c r="BT73" s="214" t="s">
        <v>873</v>
      </c>
      <c r="BU73" s="214" t="s">
        <v>873</v>
      </c>
      <c r="BV73" s="214" t="s">
        <v>3121</v>
      </c>
      <c r="BW73" s="214" t="s">
        <v>873</v>
      </c>
      <c r="BX73" s="214" t="s">
        <v>875</v>
      </c>
      <c r="BY73" s="214" t="s">
        <v>875</v>
      </c>
      <c r="BZ73" s="214" t="s">
        <v>3288</v>
      </c>
      <c r="CA73" s="449">
        <v>2</v>
      </c>
      <c r="CB73" s="420" t="s">
        <v>3498</v>
      </c>
      <c r="CC73" s="361">
        <v>78459265382</v>
      </c>
      <c r="CD73" s="361">
        <v>84527452102</v>
      </c>
      <c r="CE73" s="382">
        <f>+CC73/CD73</f>
        <v>0.92821046217414116</v>
      </c>
      <c r="CF73" s="382">
        <f t="shared" si="14"/>
        <v>0.85</v>
      </c>
      <c r="CG73" s="327" t="s">
        <v>3510</v>
      </c>
      <c r="CH73" s="327" t="str">
        <f t="shared" si="18"/>
        <v xml:space="preserve">Porcentual </v>
      </c>
      <c r="CI73" s="327"/>
      <c r="CJ73" s="381">
        <v>3</v>
      </c>
      <c r="CK73" s="376" t="str">
        <f t="shared" si="19"/>
        <v>Oficina Asesora de Planeación</v>
      </c>
      <c r="CL73" s="376" t="str">
        <f t="shared" si="20"/>
        <v xml:space="preserve">Porcentaje de cumplimiento de los recursos de inversión. </v>
      </c>
      <c r="CM73" s="376" t="str">
        <f t="shared" si="21"/>
        <v xml:space="preserve">(Recursos de inversión obligados / Recursos de inversión comprometidos)* 100% </v>
      </c>
      <c r="CN73" s="389">
        <f t="shared" si="22"/>
        <v>78459265382</v>
      </c>
      <c r="CO73" s="389">
        <f t="shared" si="23"/>
        <v>84527452102</v>
      </c>
      <c r="CP73" s="388">
        <f t="shared" si="26"/>
        <v>0.92821046217414116</v>
      </c>
      <c r="CQ73" s="377">
        <f t="shared" si="24"/>
        <v>0.85</v>
      </c>
      <c r="CR73" s="377" t="str">
        <f t="shared" si="25"/>
        <v>SOBRECUMPLIO</v>
      </c>
      <c r="CT73" s="377" t="s">
        <v>3510</v>
      </c>
      <c r="CU73" s="83">
        <f t="shared" si="27"/>
        <v>25</v>
      </c>
      <c r="DB73" s="381"/>
      <c r="DC73" s="381"/>
      <c r="DD73" s="381"/>
      <c r="DE73" s="381"/>
      <c r="DF73" s="381"/>
      <c r="DG73" s="381"/>
    </row>
    <row r="74" spans="1:111" s="83" customFormat="1" ht="127.5" customHeight="1" thickTop="1" thickBot="1">
      <c r="A74" s="83" t="s">
        <v>1218</v>
      </c>
      <c r="B74" s="75" t="s">
        <v>151</v>
      </c>
      <c r="C74" s="75" t="s">
        <v>856</v>
      </c>
      <c r="D74" s="75" t="s">
        <v>903</v>
      </c>
      <c r="E74" s="76" t="s">
        <v>858</v>
      </c>
      <c r="F74" s="76" t="s">
        <v>859</v>
      </c>
      <c r="G74" s="76" t="s">
        <v>215</v>
      </c>
      <c r="H74" s="75" t="s">
        <v>860</v>
      </c>
      <c r="I74" s="76" t="s">
        <v>1196</v>
      </c>
      <c r="J74" s="77" t="s">
        <v>862</v>
      </c>
      <c r="K74" s="77" t="s">
        <v>1212</v>
      </c>
      <c r="L74" s="77" t="s">
        <v>875</v>
      </c>
      <c r="M74" s="77" t="s">
        <v>1219</v>
      </c>
      <c r="N74" s="77" t="s">
        <v>1218</v>
      </c>
      <c r="O74" s="76" t="s">
        <v>1220</v>
      </c>
      <c r="P74" s="76" t="s">
        <v>1221</v>
      </c>
      <c r="Q74" s="76" t="s">
        <v>1222</v>
      </c>
      <c r="R74" s="76" t="s">
        <v>1223</v>
      </c>
      <c r="S74" s="76" t="s">
        <v>1224</v>
      </c>
      <c r="T74" s="76" t="s">
        <v>892</v>
      </c>
      <c r="U74" s="77" t="s">
        <v>871</v>
      </c>
      <c r="V74" s="76" t="s">
        <v>988</v>
      </c>
      <c r="W74" s="76">
        <v>0</v>
      </c>
      <c r="X74" s="309">
        <v>0.8</v>
      </c>
      <c r="Y74" s="88"/>
      <c r="Z74" s="88"/>
      <c r="AA74" s="88"/>
      <c r="AB74" s="88"/>
      <c r="AC74" s="88"/>
      <c r="AD74" s="88"/>
      <c r="AE74" s="88"/>
      <c r="AF74" s="88"/>
      <c r="AG74" s="108">
        <v>0.3</v>
      </c>
      <c r="AH74" s="88"/>
      <c r="AI74" s="88"/>
      <c r="AJ74" s="108">
        <v>0.8</v>
      </c>
      <c r="AK74" s="76" t="s">
        <v>873</v>
      </c>
      <c r="AL74" s="76" t="s">
        <v>873</v>
      </c>
      <c r="AM74" s="76" t="s">
        <v>873</v>
      </c>
      <c r="AN74" s="76" t="s">
        <v>873</v>
      </c>
      <c r="AO74" s="76" t="s">
        <v>607</v>
      </c>
      <c r="AP74" s="82" t="s">
        <v>1218</v>
      </c>
      <c r="AQ74" s="370">
        <f>+VLOOKUP(AP74,SharePoint!$BA$3:$BY$140,2,FALSE)</f>
        <v>0</v>
      </c>
      <c r="AR74" s="370">
        <f>+VLOOKUP(AP74,SharePoint!$BA$3:$BY$140,3,FALSE)</f>
        <v>0</v>
      </c>
      <c r="AS74" s="370">
        <f>+VLOOKUP(AP74,SharePoint!$BA$3:$BY$140,4,FALSE)</f>
        <v>0</v>
      </c>
      <c r="AT74" s="370">
        <f>+VLOOKUP(AP74,SharePoint!$BA$3:$BY$140,5,FALSE)</f>
        <v>0</v>
      </c>
      <c r="AU74" s="370">
        <f>+VLOOKUP(AP74,SharePoint!$BA$3:$BY$140,6,FALSE)</f>
        <v>0</v>
      </c>
      <c r="AV74" s="370">
        <f>+VLOOKUP(AP74,SharePoint!$BA$3:$BY$140,7,FALSE)</f>
        <v>0</v>
      </c>
      <c r="AW74" s="370">
        <f>+VLOOKUP(AP74,SharePoint!$BA$3:$BY$140,8,FALSE)</f>
        <v>0</v>
      </c>
      <c r="AX74" s="370">
        <f>+VLOOKUP(AP74,SharePoint!$BA$3:$BY$140,9,FALSE)</f>
        <v>0</v>
      </c>
      <c r="AY74" s="370">
        <f>+VLOOKUP(AP74,SharePoint!$BA$3:$BY$140,10,FALSE)</f>
        <v>13</v>
      </c>
      <c r="AZ74" s="370">
        <f>+VLOOKUP(AP74,SharePoint!$BA$3:$BY$140,11,FALSE)</f>
        <v>0</v>
      </c>
      <c r="BA74" s="370">
        <f>+VLOOKUP(AP74,SharePoint!$BA$3:$BY$140,12,FALSE)</f>
        <v>0</v>
      </c>
      <c r="BB74" s="370">
        <f>+VLOOKUP(AP74,SharePoint!$BA$3:$BY$140,13,FALSE)</f>
        <v>68</v>
      </c>
      <c r="BC74" s="226">
        <f>+VLOOKUP(AP74,SharePoint!$BA$3:$BY$140,14,FALSE)</f>
        <v>0</v>
      </c>
      <c r="BD74" s="226">
        <f>+VLOOKUP(AP74,SharePoint!$BA$3:$BY$140,15,FALSE)</f>
        <v>0</v>
      </c>
      <c r="BE74" s="226">
        <f>+VLOOKUP(AP74,SharePoint!$BA$3:$BY$140,16,FALSE)</f>
        <v>0</v>
      </c>
      <c r="BF74" s="226">
        <f>+VLOOKUP(AP74,SharePoint!$BA$3:$BY$140,17,FALSE)</f>
        <v>0</v>
      </c>
      <c r="BG74" s="226">
        <f>+VLOOKUP(AP74,SharePoint!$BA$3:$BY$140,18,FALSE)</f>
        <v>0</v>
      </c>
      <c r="BH74" s="226">
        <f>+VLOOKUP(AP74,SharePoint!$BA$3:$BY$140,19,FALSE)</f>
        <v>0</v>
      </c>
      <c r="BI74" s="226">
        <f>+VLOOKUP(AP74,SharePoint!$BA$3:$BY$140,20,FALSE)</f>
        <v>0</v>
      </c>
      <c r="BJ74" s="226">
        <f>+VLOOKUP(AP74,SharePoint!$BA$3:$BY$140,21,FALSE)</f>
        <v>0</v>
      </c>
      <c r="BK74" s="226">
        <f>+VLOOKUP(AP74,SharePoint!$BA$3:$BY$140,22,FALSE)</f>
        <v>77</v>
      </c>
      <c r="BL74" s="226">
        <f>+VLOOKUP(AP74,SharePoint!$BA$3:$BY$140,23,FALSE)</f>
        <v>0</v>
      </c>
      <c r="BM74" s="226">
        <f>+VLOOKUP(AP74,SharePoint!$BA$3:$BY$140,24,FALSE)</f>
        <v>0</v>
      </c>
      <c r="BN74" s="226">
        <f>+VLOOKUP(AP74,SharePoint!$BA$3:$BY$140,25,FALSE)</f>
        <v>77</v>
      </c>
      <c r="BO74" s="214" t="s">
        <v>873</v>
      </c>
      <c r="BP74" s="214" t="s">
        <v>873</v>
      </c>
      <c r="BQ74" s="214" t="s">
        <v>873</v>
      </c>
      <c r="BR74" s="214" t="s">
        <v>873</v>
      </c>
      <c r="BS74" s="214" t="s">
        <v>873</v>
      </c>
      <c r="BT74" s="214" t="s">
        <v>873</v>
      </c>
      <c r="BU74" s="214" t="s">
        <v>873</v>
      </c>
      <c r="BV74" s="214" t="s">
        <v>873</v>
      </c>
      <c r="BW74" s="214" t="s">
        <v>2937</v>
      </c>
      <c r="BX74" s="214" t="s">
        <v>875</v>
      </c>
      <c r="BY74" s="214" t="s">
        <v>875</v>
      </c>
      <c r="BZ74" s="214" t="s">
        <v>3289</v>
      </c>
      <c r="CA74" s="449">
        <v>1</v>
      </c>
      <c r="CB74" s="420" t="s">
        <v>3483</v>
      </c>
      <c r="CC74" s="328">
        <v>68</v>
      </c>
      <c r="CD74" s="328">
        <v>77</v>
      </c>
      <c r="CE74" s="393">
        <f t="shared" si="17"/>
        <v>0.88311688311688308</v>
      </c>
      <c r="CF74" s="393">
        <f t="shared" si="14"/>
        <v>0.8</v>
      </c>
      <c r="CG74" s="327" t="s">
        <v>3510</v>
      </c>
      <c r="CH74" s="327" t="str">
        <f t="shared" si="18"/>
        <v xml:space="preserve">Porcentual </v>
      </c>
      <c r="CI74" s="327"/>
      <c r="CJ74" s="381">
        <v>4</v>
      </c>
      <c r="CK74" s="378" t="str">
        <f t="shared" si="19"/>
        <v>Oficina Asesora de Planeación</v>
      </c>
      <c r="CL74" s="378" t="str">
        <f t="shared" si="20"/>
        <v>Porcentaje de cierre de brechas MIPG</v>
      </c>
      <c r="CM74" s="378" t="str">
        <f t="shared" si="21"/>
        <v>(Número de brechas cerradas/Total brechas identificadas para la vigencia)*100</v>
      </c>
      <c r="CN74" s="390">
        <f t="shared" si="22"/>
        <v>68</v>
      </c>
      <c r="CO74" s="390">
        <f t="shared" si="23"/>
        <v>77</v>
      </c>
      <c r="CP74" s="387">
        <f t="shared" si="26"/>
        <v>0.88311688311688308</v>
      </c>
      <c r="CQ74" s="379">
        <f t="shared" si="24"/>
        <v>0.8</v>
      </c>
      <c r="CR74" s="379" t="str">
        <f t="shared" si="25"/>
        <v>SOBRECUMPLIO</v>
      </c>
      <c r="CU74" s="83">
        <f>SUM(CU71:CU73)</f>
        <v>128</v>
      </c>
      <c r="DB74" s="381"/>
      <c r="DC74" s="381"/>
      <c r="DD74" s="381"/>
      <c r="DE74" s="381"/>
      <c r="DF74" s="381"/>
      <c r="DG74" s="381"/>
    </row>
    <row r="75" spans="1:111" s="83" customFormat="1" ht="127.5" customHeight="1" thickTop="1" thickBot="1">
      <c r="A75" s="83" t="s">
        <v>335</v>
      </c>
      <c r="B75" s="97" t="s">
        <v>151</v>
      </c>
      <c r="C75" s="97" t="s">
        <v>856</v>
      </c>
      <c r="D75" s="97" t="s">
        <v>903</v>
      </c>
      <c r="E75" s="76" t="s">
        <v>858</v>
      </c>
      <c r="F75" s="76" t="s">
        <v>859</v>
      </c>
      <c r="G75" s="77" t="s">
        <v>215</v>
      </c>
      <c r="H75" s="75" t="s">
        <v>860</v>
      </c>
      <c r="I75" s="77" t="s">
        <v>918</v>
      </c>
      <c r="J75" s="77" t="s">
        <v>919</v>
      </c>
      <c r="K75" s="77" t="s">
        <v>1212</v>
      </c>
      <c r="L75" s="77" t="s">
        <v>875</v>
      </c>
      <c r="M75" s="77" t="s">
        <v>617</v>
      </c>
      <c r="N75" s="77" t="s">
        <v>335</v>
      </c>
      <c r="O75" s="76" t="s">
        <v>618</v>
      </c>
      <c r="P75" s="84" t="s">
        <v>619</v>
      </c>
      <c r="Q75" s="84" t="s">
        <v>1225</v>
      </c>
      <c r="R75" s="84" t="s">
        <v>1226</v>
      </c>
      <c r="S75" s="84" t="s">
        <v>1227</v>
      </c>
      <c r="T75" s="77" t="s">
        <v>892</v>
      </c>
      <c r="U75" s="77" t="s">
        <v>871</v>
      </c>
      <c r="V75" s="77" t="s">
        <v>910</v>
      </c>
      <c r="W75" s="76">
        <v>12</v>
      </c>
      <c r="X75" s="309">
        <v>0.9</v>
      </c>
      <c r="Y75" s="109"/>
      <c r="Z75" s="109"/>
      <c r="AA75" s="88"/>
      <c r="AB75" s="88"/>
      <c r="AC75" s="108">
        <v>0.1</v>
      </c>
      <c r="AD75" s="88"/>
      <c r="AE75" s="88"/>
      <c r="AF75" s="88"/>
      <c r="AG75" s="108">
        <v>0.4</v>
      </c>
      <c r="AH75" s="88"/>
      <c r="AI75" s="88"/>
      <c r="AJ75" s="108">
        <v>0.9</v>
      </c>
      <c r="AK75" s="84" t="s">
        <v>1202</v>
      </c>
      <c r="AL75" s="76" t="s">
        <v>1228</v>
      </c>
      <c r="AM75" s="77" t="s">
        <v>1204</v>
      </c>
      <c r="AN75" s="87">
        <v>119711175</v>
      </c>
      <c r="AO75" s="76" t="s">
        <v>607</v>
      </c>
      <c r="AP75" s="82" t="s">
        <v>335</v>
      </c>
      <c r="AQ75" s="370">
        <f>+VLOOKUP(AP75,SharePoint!$BA$3:$BY$140,2,FALSE)</f>
        <v>0</v>
      </c>
      <c r="AR75" s="370">
        <f>+VLOOKUP(AP75,SharePoint!$BA$3:$BY$140,3,FALSE)</f>
        <v>0</v>
      </c>
      <c r="AS75" s="370">
        <f>+VLOOKUP(AP75,SharePoint!$BA$3:$BY$140,4,FALSE)</f>
        <v>0</v>
      </c>
      <c r="AT75" s="370">
        <f>+VLOOKUP(AP75,SharePoint!$BA$3:$BY$140,5,FALSE)</f>
        <v>0</v>
      </c>
      <c r="AU75" s="370">
        <f>+VLOOKUP(AP75,SharePoint!$BA$3:$BY$140,6,FALSE)</f>
        <v>77</v>
      </c>
      <c r="AV75" s="370">
        <f>+VLOOKUP(AP75,SharePoint!$BA$3:$BY$140,7,FALSE)</f>
        <v>0</v>
      </c>
      <c r="AW75" s="370">
        <f>+VLOOKUP(AP75,SharePoint!$BA$3:$BY$140,8,FALSE)</f>
        <v>0</v>
      </c>
      <c r="AX75" s="370">
        <f>+VLOOKUP(AP75,SharePoint!$BA$3:$BY$140,9,FALSE)</f>
        <v>0</v>
      </c>
      <c r="AY75" s="370">
        <f>+VLOOKUP(AP75,SharePoint!$BA$3:$BY$140,10,FALSE)</f>
        <v>67</v>
      </c>
      <c r="AZ75" s="370">
        <f>+VLOOKUP(AP75,SharePoint!$BA$3:$BY$140,11,FALSE)</f>
        <v>0</v>
      </c>
      <c r="BA75" s="370">
        <f>+VLOOKUP(AP75,SharePoint!$BA$3:$BY$140,12,FALSE)</f>
        <v>0</v>
      </c>
      <c r="BB75" s="370">
        <f>+VLOOKUP(AP75,SharePoint!$BA$3:$BY$140,13,FALSE)</f>
        <v>105</v>
      </c>
      <c r="BC75" s="226">
        <f>+VLOOKUP(AP75,SharePoint!$BA$3:$BY$140,14,FALSE)</f>
        <v>0</v>
      </c>
      <c r="BD75" s="226">
        <f>+VLOOKUP(AP75,SharePoint!$BA$3:$BY$140,15,FALSE)</f>
        <v>0</v>
      </c>
      <c r="BE75" s="226">
        <f>+VLOOKUP(AP75,SharePoint!$BA$3:$BY$140,16,FALSE)</f>
        <v>0</v>
      </c>
      <c r="BF75" s="226">
        <f>+VLOOKUP(AP75,SharePoint!$BA$3:$BY$140,17,FALSE)</f>
        <v>0</v>
      </c>
      <c r="BG75" s="226">
        <f>+VLOOKUP(AP75,SharePoint!$BA$3:$BY$140,18,FALSE)</f>
        <v>77</v>
      </c>
      <c r="BH75" s="226">
        <f>+VLOOKUP(AP75,SharePoint!$BA$3:$BY$140,19,FALSE)</f>
        <v>0</v>
      </c>
      <c r="BI75" s="226">
        <f>+VLOOKUP(AP75,SharePoint!$BA$3:$BY$140,20,FALSE)</f>
        <v>0</v>
      </c>
      <c r="BJ75" s="226">
        <f>+VLOOKUP(AP75,SharePoint!$BA$3:$BY$140,21,FALSE)</f>
        <v>0</v>
      </c>
      <c r="BK75" s="226">
        <f>+VLOOKUP(AP75,SharePoint!$BA$3:$BY$140,22,FALSE)</f>
        <v>67</v>
      </c>
      <c r="BL75" s="226">
        <f>+VLOOKUP(AP75,SharePoint!$BA$3:$BY$140,23,FALSE)</f>
        <v>0</v>
      </c>
      <c r="BM75" s="226">
        <f>+VLOOKUP(AP75,SharePoint!$BA$3:$BY$140,24,FALSE)</f>
        <v>0</v>
      </c>
      <c r="BN75" s="226">
        <f>+VLOOKUP(AP75,SharePoint!$BA$3:$BY$140,25,FALSE)</f>
        <v>105</v>
      </c>
      <c r="BO75" s="214" t="s">
        <v>873</v>
      </c>
      <c r="BP75" s="214" t="s">
        <v>873</v>
      </c>
      <c r="BQ75" s="214" t="s">
        <v>873</v>
      </c>
      <c r="BR75" s="214" t="s">
        <v>873</v>
      </c>
      <c r="BS75" s="215" t="s">
        <v>3065</v>
      </c>
      <c r="BT75" s="214" t="s">
        <v>873</v>
      </c>
      <c r="BU75" s="214" t="s">
        <v>873</v>
      </c>
      <c r="BV75" s="214" t="s">
        <v>873</v>
      </c>
      <c r="BW75" s="214" t="s">
        <v>2949</v>
      </c>
      <c r="BX75" s="214" t="s">
        <v>875</v>
      </c>
      <c r="BY75" s="214" t="s">
        <v>875</v>
      </c>
      <c r="BZ75" s="214" t="s">
        <v>3355</v>
      </c>
      <c r="CA75" s="449">
        <v>2</v>
      </c>
      <c r="CB75" s="420" t="s">
        <v>3535</v>
      </c>
      <c r="CC75" s="359">
        <f t="shared" si="15"/>
        <v>249</v>
      </c>
      <c r="CD75" s="359">
        <f t="shared" si="16"/>
        <v>249</v>
      </c>
      <c r="CE75" s="382">
        <f t="shared" si="17"/>
        <v>1</v>
      </c>
      <c r="CF75" s="382">
        <f t="shared" si="14"/>
        <v>0.9</v>
      </c>
      <c r="CG75" s="327" t="s">
        <v>3510</v>
      </c>
      <c r="CH75" s="327" t="str">
        <f t="shared" si="18"/>
        <v xml:space="preserve">Porcentual </v>
      </c>
      <c r="CI75" s="327"/>
      <c r="CJ75" s="381">
        <v>5</v>
      </c>
      <c r="CK75" s="376" t="str">
        <f t="shared" si="19"/>
        <v>Oficina Asesora de Planeación</v>
      </c>
      <c r="CL75" s="376" t="str">
        <f t="shared" si="20"/>
        <v>Porcentaje de documentos actualizados o elaborados en el SIG</v>
      </c>
      <c r="CM75" s="376" t="str">
        <f t="shared" si="21"/>
        <v>Número de documentos elaborados o actualizados /Total de documentos priorizados por la vigencia</v>
      </c>
      <c r="CN75" s="389">
        <f t="shared" si="22"/>
        <v>249</v>
      </c>
      <c r="CO75" s="389">
        <f t="shared" si="23"/>
        <v>249</v>
      </c>
      <c r="CP75" s="388">
        <f t="shared" si="26"/>
        <v>1</v>
      </c>
      <c r="CQ75" s="377">
        <f t="shared" si="24"/>
        <v>0.9</v>
      </c>
      <c r="CR75" s="377" t="str">
        <f t="shared" si="25"/>
        <v>SOBRECUMPLIO</v>
      </c>
      <c r="DB75" s="381"/>
      <c r="DC75" s="381"/>
      <c r="DD75" s="381"/>
      <c r="DE75" s="381"/>
      <c r="DF75" s="381"/>
      <c r="DG75" s="381"/>
    </row>
    <row r="76" spans="1:111" s="83" customFormat="1" ht="127.5" customHeight="1" thickTop="1" thickBot="1">
      <c r="A76" s="83" t="s">
        <v>1229</v>
      </c>
      <c r="B76" s="97" t="s">
        <v>151</v>
      </c>
      <c r="C76" s="97" t="s">
        <v>856</v>
      </c>
      <c r="D76" s="97" t="s">
        <v>903</v>
      </c>
      <c r="E76" s="76" t="s">
        <v>858</v>
      </c>
      <c r="F76" s="76" t="s">
        <v>933</v>
      </c>
      <c r="G76" s="77" t="s">
        <v>215</v>
      </c>
      <c r="H76" s="75" t="s">
        <v>860</v>
      </c>
      <c r="I76" s="76" t="s">
        <v>1196</v>
      </c>
      <c r="J76" s="77" t="s">
        <v>862</v>
      </c>
      <c r="K76" s="77" t="s">
        <v>1212</v>
      </c>
      <c r="L76" s="77" t="s">
        <v>875</v>
      </c>
      <c r="M76" s="77" t="s">
        <v>1230</v>
      </c>
      <c r="N76" s="77" t="s">
        <v>1229</v>
      </c>
      <c r="O76" s="76" t="s">
        <v>1231</v>
      </c>
      <c r="P76" s="84" t="s">
        <v>1232</v>
      </c>
      <c r="Q76" s="84" t="s">
        <v>1232</v>
      </c>
      <c r="R76" s="77" t="s">
        <v>876</v>
      </c>
      <c r="S76" s="84" t="s">
        <v>1233</v>
      </c>
      <c r="T76" s="77" t="s">
        <v>892</v>
      </c>
      <c r="U76" s="77" t="s">
        <v>871</v>
      </c>
      <c r="V76" s="77" t="s">
        <v>988</v>
      </c>
      <c r="W76" s="76">
        <v>97</v>
      </c>
      <c r="X76" s="310">
        <v>100</v>
      </c>
      <c r="Y76" s="109"/>
      <c r="Z76" s="109"/>
      <c r="AA76" s="109"/>
      <c r="AB76" s="109"/>
      <c r="AC76" s="109"/>
      <c r="AD76" s="109"/>
      <c r="AE76" s="109">
        <v>100</v>
      </c>
      <c r="AF76" s="109"/>
      <c r="AG76" s="109"/>
      <c r="AH76" s="109"/>
      <c r="AI76" s="109"/>
      <c r="AJ76" s="282"/>
      <c r="AK76" s="76" t="s">
        <v>873</v>
      </c>
      <c r="AL76" s="76" t="s">
        <v>873</v>
      </c>
      <c r="AM76" s="76" t="s">
        <v>873</v>
      </c>
      <c r="AN76" s="76" t="s">
        <v>873</v>
      </c>
      <c r="AO76" s="76" t="s">
        <v>607</v>
      </c>
      <c r="AP76" s="82" t="s">
        <v>1229</v>
      </c>
      <c r="AQ76" s="370">
        <f>+VLOOKUP(AP76,SharePoint!$BA$3:$BY$140,2,FALSE)</f>
        <v>0</v>
      </c>
      <c r="AR76" s="370">
        <f>+VLOOKUP(AP76,SharePoint!$BA$3:$BY$140,3,FALSE)</f>
        <v>0</v>
      </c>
      <c r="AS76" s="370">
        <f>+VLOOKUP(AP76,SharePoint!$BA$3:$BY$140,4,FALSE)</f>
        <v>0</v>
      </c>
      <c r="AT76" s="370">
        <f>+VLOOKUP(AP76,SharePoint!$BA$3:$BY$140,5,FALSE)</f>
        <v>0</v>
      </c>
      <c r="AU76" s="370">
        <f>+VLOOKUP(AP76,SharePoint!$BA$3:$BY$140,6,FALSE)</f>
        <v>0</v>
      </c>
      <c r="AV76" s="370">
        <f>+VLOOKUP(AP76,SharePoint!$BA$3:$BY$140,7,FALSE)</f>
        <v>0</v>
      </c>
      <c r="AW76" s="370">
        <f>+VLOOKUP(AP76,SharePoint!$BA$3:$BY$140,8,FALSE)</f>
        <v>0</v>
      </c>
      <c r="AX76" s="370">
        <f>+VLOOKUP(AP76,SharePoint!$BA$3:$BY$140,9,FALSE)</f>
        <v>100</v>
      </c>
      <c r="AY76" s="370">
        <f>+VLOOKUP(AP76,SharePoint!$BA$3:$BY$140,10,FALSE)</f>
        <v>0</v>
      </c>
      <c r="AZ76" s="370">
        <f>+VLOOKUP(AP76,SharePoint!$BA$3:$BY$140,11,FALSE)</f>
        <v>0</v>
      </c>
      <c r="BA76" s="370">
        <f>+VLOOKUP(AP76,SharePoint!$BA$3:$BY$140,12,FALSE)</f>
        <v>0</v>
      </c>
      <c r="BB76" s="370">
        <f>+VLOOKUP(AP76,SharePoint!$BA$3:$BY$140,13,FALSE)</f>
        <v>0</v>
      </c>
      <c r="BC76" s="226">
        <f>+VLOOKUP(AP76,SharePoint!$BA$3:$BY$140,14,FALSE)</f>
        <v>0</v>
      </c>
      <c r="BD76" s="226">
        <f>+VLOOKUP(AP76,SharePoint!$BA$3:$BY$140,15,FALSE)</f>
        <v>0</v>
      </c>
      <c r="BE76" s="226">
        <f>+VLOOKUP(AP76,SharePoint!$BA$3:$BY$140,16,FALSE)</f>
        <v>0</v>
      </c>
      <c r="BF76" s="226">
        <f>+VLOOKUP(AP76,SharePoint!$BA$3:$BY$140,17,FALSE)</f>
        <v>0</v>
      </c>
      <c r="BG76" s="226">
        <f>+VLOOKUP(AP76,SharePoint!$BA$3:$BY$140,18,FALSE)</f>
        <v>0</v>
      </c>
      <c r="BH76" s="226">
        <f>+VLOOKUP(AP76,SharePoint!$BA$3:$BY$140,19,FALSE)</f>
        <v>0</v>
      </c>
      <c r="BI76" s="226">
        <f>+VLOOKUP(AP76,SharePoint!$BA$3:$BY$140,20,FALSE)</f>
        <v>0</v>
      </c>
      <c r="BJ76" s="226">
        <f>+VLOOKUP(AP76,SharePoint!$BA$3:$BY$140,21,FALSE)</f>
        <v>100</v>
      </c>
      <c r="BK76" s="226">
        <f>+VLOOKUP(AP76,SharePoint!$BA$3:$BY$140,22,FALSE)</f>
        <v>0</v>
      </c>
      <c r="BL76" s="226">
        <f>+VLOOKUP(AP76,SharePoint!$BA$3:$BY$140,23,FALSE)</f>
        <v>0</v>
      </c>
      <c r="BM76" s="226">
        <f>+VLOOKUP(AP76,SharePoint!$BA$3:$BY$140,24,FALSE)</f>
        <v>0</v>
      </c>
      <c r="BN76" s="226">
        <f>+VLOOKUP(AP76,SharePoint!$BA$3:$BY$140,25,FALSE)</f>
        <v>0</v>
      </c>
      <c r="BO76" s="214" t="s">
        <v>873</v>
      </c>
      <c r="BP76" s="214" t="s">
        <v>873</v>
      </c>
      <c r="BQ76" s="214" t="s">
        <v>873</v>
      </c>
      <c r="BR76" s="214" t="s">
        <v>873</v>
      </c>
      <c r="BS76" s="214" t="s">
        <v>873</v>
      </c>
      <c r="BT76" s="214" t="s">
        <v>873</v>
      </c>
      <c r="BU76" s="214" t="s">
        <v>873</v>
      </c>
      <c r="BV76" s="214" t="s">
        <v>2906</v>
      </c>
      <c r="BW76" s="214" t="s">
        <v>873</v>
      </c>
      <c r="BX76" s="214" t="e">
        <v>#N/A</v>
      </c>
      <c r="BY76" s="214" t="e">
        <v>#N/A</v>
      </c>
      <c r="BZ76" s="214" t="e">
        <v>#N/A</v>
      </c>
      <c r="CA76" s="449">
        <v>1</v>
      </c>
      <c r="CB76" s="373" t="s">
        <v>3454</v>
      </c>
      <c r="CC76" s="359">
        <f t="shared" si="15"/>
        <v>100</v>
      </c>
      <c r="CD76" s="359">
        <f t="shared" si="16"/>
        <v>100</v>
      </c>
      <c r="CE76" s="382">
        <f t="shared" si="17"/>
        <v>1</v>
      </c>
      <c r="CF76" s="382">
        <f t="shared" si="14"/>
        <v>100</v>
      </c>
      <c r="CG76" s="327" t="s">
        <v>3509</v>
      </c>
      <c r="CH76" s="327" t="str">
        <f t="shared" si="18"/>
        <v xml:space="preserve">Porcentual </v>
      </c>
      <c r="CI76" s="327"/>
      <c r="CJ76" s="381">
        <v>6</v>
      </c>
      <c r="CK76" s="378" t="str">
        <f t="shared" si="19"/>
        <v>Oficina Asesora de Planeación</v>
      </c>
      <c r="CL76" s="378" t="str">
        <f t="shared" si="20"/>
        <v xml:space="preserve">Indice de Transparencia - ITA. </v>
      </c>
      <c r="CM76" s="378" t="str">
        <f t="shared" si="21"/>
        <v xml:space="preserve">Resultado ITA medido por la Procuraduria General de la Nación </v>
      </c>
      <c r="CN76" s="390">
        <f t="shared" si="22"/>
        <v>100</v>
      </c>
      <c r="CO76" s="390">
        <f t="shared" si="23"/>
        <v>100</v>
      </c>
      <c r="CP76" s="387">
        <f t="shared" si="26"/>
        <v>1</v>
      </c>
      <c r="CQ76" s="379">
        <f t="shared" si="24"/>
        <v>100</v>
      </c>
      <c r="CR76" s="379" t="str">
        <f t="shared" si="25"/>
        <v>CUMPLIO</v>
      </c>
      <c r="DB76" s="381"/>
      <c r="DC76" s="381"/>
      <c r="DD76" s="381"/>
      <c r="DE76" s="381"/>
      <c r="DF76" s="381"/>
      <c r="DG76" s="381"/>
    </row>
    <row r="77" spans="1:111" s="83" customFormat="1" ht="127.5" customHeight="1" thickTop="1" thickBot="1">
      <c r="A77" s="83" t="s">
        <v>266</v>
      </c>
      <c r="B77" s="75" t="s">
        <v>151</v>
      </c>
      <c r="C77" s="75" t="s">
        <v>938</v>
      </c>
      <c r="D77" s="75" t="s">
        <v>903</v>
      </c>
      <c r="E77" s="76" t="s">
        <v>858</v>
      </c>
      <c r="F77" s="76" t="s">
        <v>933</v>
      </c>
      <c r="G77" s="76" t="s">
        <v>215</v>
      </c>
      <c r="H77" s="76" t="s">
        <v>886</v>
      </c>
      <c r="I77" s="76" t="s">
        <v>1234</v>
      </c>
      <c r="J77" s="76" t="s">
        <v>1235</v>
      </c>
      <c r="K77" s="76" t="s">
        <v>1236</v>
      </c>
      <c r="L77" s="77" t="s">
        <v>1237</v>
      </c>
      <c r="M77" s="76" t="s">
        <v>1238</v>
      </c>
      <c r="N77" s="76" t="s">
        <v>266</v>
      </c>
      <c r="O77" s="76" t="s">
        <v>268</v>
      </c>
      <c r="P77" s="76" t="s">
        <v>269</v>
      </c>
      <c r="Q77" s="76" t="s">
        <v>269</v>
      </c>
      <c r="R77" s="77" t="s">
        <v>876</v>
      </c>
      <c r="S77" s="76" t="s">
        <v>1239</v>
      </c>
      <c r="T77" s="76" t="s">
        <v>870</v>
      </c>
      <c r="U77" s="76" t="s">
        <v>157</v>
      </c>
      <c r="V77" s="76" t="s">
        <v>872</v>
      </c>
      <c r="W77" s="76">
        <v>0</v>
      </c>
      <c r="X77" s="299">
        <v>4</v>
      </c>
      <c r="Y77" s="76"/>
      <c r="Z77" s="76"/>
      <c r="AA77" s="76"/>
      <c r="AB77" s="76">
        <v>1</v>
      </c>
      <c r="AC77" s="76"/>
      <c r="AD77" s="76"/>
      <c r="AE77" s="76">
        <v>1</v>
      </c>
      <c r="AF77" s="76"/>
      <c r="AG77" s="76">
        <v>1</v>
      </c>
      <c r="AH77" s="76"/>
      <c r="AI77" s="76"/>
      <c r="AJ77" s="76">
        <v>1</v>
      </c>
      <c r="AK77" s="76" t="s">
        <v>873</v>
      </c>
      <c r="AL77" s="76" t="s">
        <v>873</v>
      </c>
      <c r="AM77" s="76" t="s">
        <v>873</v>
      </c>
      <c r="AN77" s="76" t="s">
        <v>873</v>
      </c>
      <c r="AO77" s="76" t="s">
        <v>265</v>
      </c>
      <c r="AP77" s="82" t="s">
        <v>266</v>
      </c>
      <c r="AQ77" s="370">
        <f>+VLOOKUP(AP77,SharePoint!$BA$3:$BY$140,2,FALSE)</f>
        <v>0</v>
      </c>
      <c r="AR77" s="370">
        <f>+VLOOKUP(AP77,SharePoint!$BA$3:$BY$140,3,FALSE)</f>
        <v>0</v>
      </c>
      <c r="AS77" s="370">
        <f>+VLOOKUP(AP77,SharePoint!$BA$3:$BY$140,4,FALSE)</f>
        <v>0</v>
      </c>
      <c r="AT77" s="370">
        <f>+VLOOKUP(AP77,SharePoint!$BA$3:$BY$140,5,FALSE)</f>
        <v>1</v>
      </c>
      <c r="AU77" s="370">
        <f>+VLOOKUP(AP77,SharePoint!$BA$3:$BY$140,6,FALSE)</f>
        <v>0</v>
      </c>
      <c r="AV77" s="370">
        <f>+VLOOKUP(AP77,SharePoint!$BA$3:$BY$140,7,FALSE)</f>
        <v>0</v>
      </c>
      <c r="AW77" s="370">
        <f>+VLOOKUP(AP77,SharePoint!$BA$3:$BY$140,8,FALSE)</f>
        <v>2</v>
      </c>
      <c r="AX77" s="370">
        <f>+VLOOKUP(AP77,SharePoint!$BA$3:$BY$140,9,FALSE)</f>
        <v>0</v>
      </c>
      <c r="AY77" s="370">
        <f>+VLOOKUP(AP77,SharePoint!$BA$3:$BY$140,10,FALSE)</f>
        <v>1</v>
      </c>
      <c r="AZ77" s="370">
        <f>+VLOOKUP(AP77,SharePoint!$BA$3:$BY$140,11,FALSE)</f>
        <v>0</v>
      </c>
      <c r="BA77" s="370">
        <f>+VLOOKUP(AP77,SharePoint!$BA$3:$BY$140,12,FALSE)</f>
        <v>0</v>
      </c>
      <c r="BB77" s="370">
        <f>+VLOOKUP(AP77,SharePoint!$BA$3:$BY$140,13,FALSE)</f>
        <v>1</v>
      </c>
      <c r="BC77" s="226">
        <f>+VLOOKUP(AP77,SharePoint!$BA$3:$BY$140,14,FALSE)</f>
        <v>0</v>
      </c>
      <c r="BD77" s="226">
        <f>+VLOOKUP(AP77,SharePoint!$BA$3:$BY$140,15,FALSE)</f>
        <v>0</v>
      </c>
      <c r="BE77" s="226">
        <f>+VLOOKUP(AP77,SharePoint!$BA$3:$BY$140,16,FALSE)</f>
        <v>0</v>
      </c>
      <c r="BF77" s="226">
        <f>+VLOOKUP(AP77,SharePoint!$BA$3:$BY$140,17,FALSE)</f>
        <v>1</v>
      </c>
      <c r="BG77" s="226">
        <f>+VLOOKUP(AP77,SharePoint!$BA$3:$BY$140,18,FALSE)</f>
        <v>0</v>
      </c>
      <c r="BH77" s="226">
        <f>+VLOOKUP(AP77,SharePoint!$BA$3:$BY$140,19,FALSE)</f>
        <v>0</v>
      </c>
      <c r="BI77" s="226">
        <f>+VLOOKUP(AP77,SharePoint!$BA$3:$BY$140,20,FALSE)</f>
        <v>2</v>
      </c>
      <c r="BJ77" s="226">
        <f>+VLOOKUP(AP77,SharePoint!$BA$3:$BY$140,21,FALSE)</f>
        <v>0</v>
      </c>
      <c r="BK77" s="226">
        <f>+VLOOKUP(AP77,SharePoint!$BA$3:$BY$140,22,FALSE)</f>
        <v>1</v>
      </c>
      <c r="BL77" s="226">
        <f>+VLOOKUP(AP77,SharePoint!$BA$3:$BY$140,23,FALSE)</f>
        <v>0</v>
      </c>
      <c r="BM77" s="226">
        <f>+VLOOKUP(AP77,SharePoint!$BA$3:$BY$140,24,FALSE)</f>
        <v>0</v>
      </c>
      <c r="BN77" s="226">
        <f>+VLOOKUP(AP77,SharePoint!$BA$3:$BY$140,25,FALSE)</f>
        <v>1</v>
      </c>
      <c r="BO77" s="214" t="s">
        <v>873</v>
      </c>
      <c r="BP77" s="214" t="s">
        <v>873</v>
      </c>
      <c r="BQ77" s="214" t="s">
        <v>873</v>
      </c>
      <c r="BR77" s="214" t="s">
        <v>2818</v>
      </c>
      <c r="BS77" s="214" t="s">
        <v>873</v>
      </c>
      <c r="BT77" s="214" t="s">
        <v>873</v>
      </c>
      <c r="BU77" s="214" t="s">
        <v>2894</v>
      </c>
      <c r="BV77" s="214" t="s">
        <v>873</v>
      </c>
      <c r="BW77" s="214" t="s">
        <v>2899</v>
      </c>
      <c r="BX77" s="214" t="s">
        <v>875</v>
      </c>
      <c r="BY77" s="214" t="s">
        <v>875</v>
      </c>
      <c r="BZ77" s="214" t="s">
        <v>3362</v>
      </c>
      <c r="CA77" s="449">
        <v>1</v>
      </c>
      <c r="CB77" s="420" t="s">
        <v>3484</v>
      </c>
      <c r="CC77" s="359">
        <f t="shared" si="15"/>
        <v>5</v>
      </c>
      <c r="CD77" s="359">
        <f t="shared" si="16"/>
        <v>5</v>
      </c>
      <c r="CE77" s="343">
        <f t="shared" si="17"/>
        <v>1</v>
      </c>
      <c r="CF77" s="381">
        <f t="shared" si="14"/>
        <v>4</v>
      </c>
      <c r="CG77" s="327" t="s">
        <v>3510</v>
      </c>
      <c r="CH77" s="327" t="str">
        <f t="shared" si="18"/>
        <v>Numérica</v>
      </c>
      <c r="CI77" s="327"/>
      <c r="CJ77" s="381">
        <v>1</v>
      </c>
      <c r="CK77" s="376" t="str">
        <f t="shared" si="19"/>
        <v>Oficina Asesora de Comunicaciones</v>
      </c>
      <c r="CL77" s="376" t="str">
        <f t="shared" si="20"/>
        <v>Informes de seguimiento sobre el comportamiento de canales digitales elaborados.</v>
      </c>
      <c r="CM77" s="376" t="str">
        <f t="shared" si="21"/>
        <v>Número de informes de seguimiento sobre el comportamiento de canales digitales elaborados.</v>
      </c>
      <c r="CN77" s="389">
        <f t="shared" si="22"/>
        <v>5</v>
      </c>
      <c r="CO77" s="389">
        <f t="shared" si="23"/>
        <v>5</v>
      </c>
      <c r="CP77" s="388">
        <f t="shared" si="26"/>
        <v>1</v>
      </c>
      <c r="CQ77" s="376">
        <f t="shared" si="24"/>
        <v>4</v>
      </c>
      <c r="CR77" s="377" t="str">
        <f t="shared" si="25"/>
        <v>SOBRECUMPLIO</v>
      </c>
      <c r="DB77" s="381"/>
      <c r="DC77" s="381"/>
      <c r="DD77" s="381"/>
      <c r="DE77" s="381"/>
      <c r="DF77" s="381"/>
      <c r="DG77" s="381"/>
    </row>
    <row r="78" spans="1:111" s="83" customFormat="1" ht="127.5" customHeight="1" thickTop="1" thickBot="1">
      <c r="A78" s="83" t="s">
        <v>312</v>
      </c>
      <c r="B78" s="75" t="s">
        <v>151</v>
      </c>
      <c r="C78" s="75" t="s">
        <v>938</v>
      </c>
      <c r="D78" s="75" t="s">
        <v>903</v>
      </c>
      <c r="E78" s="76" t="s">
        <v>858</v>
      </c>
      <c r="F78" s="76" t="s">
        <v>933</v>
      </c>
      <c r="G78" s="76" t="s">
        <v>215</v>
      </c>
      <c r="H78" s="76" t="s">
        <v>893</v>
      </c>
      <c r="I78" s="76" t="s">
        <v>1234</v>
      </c>
      <c r="J78" s="76" t="s">
        <v>1235</v>
      </c>
      <c r="K78" s="76" t="s">
        <v>1236</v>
      </c>
      <c r="L78" s="77" t="s">
        <v>1237</v>
      </c>
      <c r="M78" s="76" t="s">
        <v>1240</v>
      </c>
      <c r="N78" s="76" t="s">
        <v>312</v>
      </c>
      <c r="O78" s="76" t="s">
        <v>314</v>
      </c>
      <c r="P78" s="76" t="s">
        <v>315</v>
      </c>
      <c r="Q78" s="76" t="s">
        <v>315</v>
      </c>
      <c r="R78" s="77" t="s">
        <v>876</v>
      </c>
      <c r="S78" s="76" t="s">
        <v>1241</v>
      </c>
      <c r="T78" s="76" t="s">
        <v>892</v>
      </c>
      <c r="U78" s="76" t="s">
        <v>157</v>
      </c>
      <c r="V78" s="76" t="s">
        <v>910</v>
      </c>
      <c r="W78" s="76">
        <v>1</v>
      </c>
      <c r="X78" s="302">
        <v>1</v>
      </c>
      <c r="Y78" s="76"/>
      <c r="Z78" s="76"/>
      <c r="AA78" s="76"/>
      <c r="AB78" s="80">
        <v>1</v>
      </c>
      <c r="AC78" s="82"/>
      <c r="AD78" s="76"/>
      <c r="AE78" s="76"/>
      <c r="AF78" s="80">
        <v>1</v>
      </c>
      <c r="AG78" s="82"/>
      <c r="AH78" s="76"/>
      <c r="AI78" s="76"/>
      <c r="AJ78" s="80">
        <v>1</v>
      </c>
      <c r="AK78" s="76" t="s">
        <v>1242</v>
      </c>
      <c r="AL78" s="77" t="s">
        <v>1243</v>
      </c>
      <c r="AM78" s="77" t="s">
        <v>1244</v>
      </c>
      <c r="AN78" s="87">
        <v>3833335757</v>
      </c>
      <c r="AO78" s="76" t="s">
        <v>265</v>
      </c>
      <c r="AP78" s="82" t="s">
        <v>312</v>
      </c>
      <c r="AQ78" s="370">
        <f>+VLOOKUP(AP78,SharePoint!$BA$3:$BY$140,2,FALSE)</f>
        <v>0</v>
      </c>
      <c r="AR78" s="370">
        <f>+VLOOKUP(AP78,SharePoint!$BA$3:$BY$140,3,FALSE)</f>
        <v>0</v>
      </c>
      <c r="AS78" s="370">
        <f>+VLOOKUP(AP78,SharePoint!$BA$3:$BY$140,4,FALSE)</f>
        <v>0</v>
      </c>
      <c r="AT78" s="370">
        <f>+VLOOKUP(AP78,SharePoint!$BA$3:$BY$140,5,FALSE)</f>
        <v>2</v>
      </c>
      <c r="AU78" s="370">
        <f>+VLOOKUP(AP78,SharePoint!$BA$3:$BY$140,6,FALSE)</f>
        <v>0</v>
      </c>
      <c r="AV78" s="370">
        <f>+VLOOKUP(AP78,SharePoint!$BA$3:$BY$140,7,FALSE)</f>
        <v>0</v>
      </c>
      <c r="AW78" s="370">
        <f>+VLOOKUP(AP78,SharePoint!$BA$3:$BY$140,8,FALSE)</f>
        <v>0</v>
      </c>
      <c r="AX78" s="370">
        <f>+VLOOKUP(AP78,SharePoint!$BA$3:$BY$140,9,FALSE)</f>
        <v>1</v>
      </c>
      <c r="AY78" s="370">
        <f>+VLOOKUP(AP78,SharePoint!$BA$3:$BY$140,10,FALSE)</f>
        <v>0</v>
      </c>
      <c r="AZ78" s="370">
        <f>+VLOOKUP(AP78,SharePoint!$BA$3:$BY$140,11,FALSE)</f>
        <v>0</v>
      </c>
      <c r="BA78" s="370">
        <f>+VLOOKUP(AP78,SharePoint!$BA$3:$BY$140,12,FALSE)</f>
        <v>0</v>
      </c>
      <c r="BB78" s="370">
        <f>+VLOOKUP(AP78,SharePoint!$BA$3:$BY$140,13,FALSE)</f>
        <v>2</v>
      </c>
      <c r="BC78" s="226">
        <f>+VLOOKUP(AP78,SharePoint!$BA$3:$BY$140,14,FALSE)</f>
        <v>0</v>
      </c>
      <c r="BD78" s="226">
        <f>+VLOOKUP(AP78,SharePoint!$BA$3:$BY$140,15,FALSE)</f>
        <v>0</v>
      </c>
      <c r="BE78" s="226">
        <f>+VLOOKUP(AP78,SharePoint!$BA$3:$BY$140,16,FALSE)</f>
        <v>0</v>
      </c>
      <c r="BF78" s="226">
        <f>+VLOOKUP(AP78,SharePoint!$BA$3:$BY$140,17,FALSE)</f>
        <v>2</v>
      </c>
      <c r="BG78" s="226">
        <f>+VLOOKUP(AP78,SharePoint!$BA$3:$BY$140,18,FALSE)</f>
        <v>0</v>
      </c>
      <c r="BH78" s="226">
        <f>+VLOOKUP(AP78,SharePoint!$BA$3:$BY$140,19,FALSE)</f>
        <v>0</v>
      </c>
      <c r="BI78" s="226">
        <f>+VLOOKUP(AP78,SharePoint!$BA$3:$BY$140,20,FALSE)</f>
        <v>0</v>
      </c>
      <c r="BJ78" s="226">
        <f>+VLOOKUP(AP78,SharePoint!$BA$3:$BY$140,21,FALSE)</f>
        <v>1</v>
      </c>
      <c r="BK78" s="226">
        <f>+VLOOKUP(AP78,SharePoint!$BA$3:$BY$140,22,FALSE)</f>
        <v>0</v>
      </c>
      <c r="BL78" s="226">
        <f>+VLOOKUP(AP78,SharePoint!$BA$3:$BY$140,23,FALSE)</f>
        <v>0</v>
      </c>
      <c r="BM78" s="226">
        <f>+VLOOKUP(AP78,SharePoint!$BA$3:$BY$140,24,FALSE)</f>
        <v>0</v>
      </c>
      <c r="BN78" s="226">
        <f>+VLOOKUP(AP78,SharePoint!$BA$3:$BY$140,25,FALSE)</f>
        <v>2</v>
      </c>
      <c r="BO78" s="214" t="s">
        <v>873</v>
      </c>
      <c r="BP78" s="214" t="s">
        <v>873</v>
      </c>
      <c r="BQ78" s="214" t="s">
        <v>873</v>
      </c>
      <c r="BR78" s="215" t="s">
        <v>2969</v>
      </c>
      <c r="BS78" s="214" t="s">
        <v>873</v>
      </c>
      <c r="BT78" s="214" t="s">
        <v>873</v>
      </c>
      <c r="BU78" s="214" t="s">
        <v>873</v>
      </c>
      <c r="BV78" s="214" t="s">
        <v>2898</v>
      </c>
      <c r="BW78" s="214" t="s">
        <v>873</v>
      </c>
      <c r="BX78" s="214" t="s">
        <v>875</v>
      </c>
      <c r="BY78" s="214" t="s">
        <v>875</v>
      </c>
      <c r="BZ78" s="214" t="s">
        <v>3284</v>
      </c>
      <c r="CA78" s="449">
        <v>1</v>
      </c>
      <c r="CB78" s="373" t="s">
        <v>3455</v>
      </c>
      <c r="CC78" s="359">
        <f t="shared" si="15"/>
        <v>5</v>
      </c>
      <c r="CD78" s="359">
        <f t="shared" si="16"/>
        <v>5</v>
      </c>
      <c r="CE78" s="343">
        <f t="shared" si="17"/>
        <v>1</v>
      </c>
      <c r="CF78" s="381">
        <f t="shared" si="14"/>
        <v>1</v>
      </c>
      <c r="CG78" s="327" t="s">
        <v>3509</v>
      </c>
      <c r="CH78" s="327" t="str">
        <f t="shared" si="18"/>
        <v>Numérica</v>
      </c>
      <c r="CI78" s="327"/>
      <c r="CJ78" s="381">
        <v>2</v>
      </c>
      <c r="CK78" s="378" t="str">
        <f t="shared" si="19"/>
        <v>Oficina Asesora de Comunicaciones</v>
      </c>
      <c r="CL78" s="378" t="str">
        <f t="shared" si="20"/>
        <v>Campañas institucionales realizadas</v>
      </c>
      <c r="CM78" s="378" t="str">
        <f t="shared" si="21"/>
        <v>Número de campañas institucionales socializadas</v>
      </c>
      <c r="CN78" s="390">
        <f t="shared" si="22"/>
        <v>5</v>
      </c>
      <c r="CO78" s="390">
        <f t="shared" si="23"/>
        <v>5</v>
      </c>
      <c r="CP78" s="387">
        <f t="shared" si="26"/>
        <v>1</v>
      </c>
      <c r="CQ78" s="378">
        <f t="shared" si="24"/>
        <v>1</v>
      </c>
      <c r="CR78" s="379" t="str">
        <f t="shared" si="25"/>
        <v>CUMPLIO</v>
      </c>
      <c r="DB78" s="381"/>
      <c r="DC78" s="381"/>
      <c r="DD78" s="381"/>
      <c r="DE78" s="381"/>
      <c r="DF78" s="381"/>
      <c r="DG78" s="381"/>
    </row>
    <row r="79" spans="1:111" s="83" customFormat="1" ht="127.5" customHeight="1" thickTop="1" thickBot="1">
      <c r="A79" s="83" t="s">
        <v>1245</v>
      </c>
      <c r="B79" s="75" t="s">
        <v>151</v>
      </c>
      <c r="C79" s="75" t="s">
        <v>938</v>
      </c>
      <c r="D79" s="75" t="s">
        <v>903</v>
      </c>
      <c r="E79" s="76" t="s">
        <v>858</v>
      </c>
      <c r="F79" s="76" t="s">
        <v>924</v>
      </c>
      <c r="G79" s="76" t="s">
        <v>215</v>
      </c>
      <c r="H79" s="76" t="s">
        <v>893</v>
      </c>
      <c r="I79" s="76" t="s">
        <v>1234</v>
      </c>
      <c r="J79" s="76" t="s">
        <v>1235</v>
      </c>
      <c r="K79" s="76" t="s">
        <v>1236</v>
      </c>
      <c r="L79" s="77" t="s">
        <v>875</v>
      </c>
      <c r="M79" s="76" t="s">
        <v>1246</v>
      </c>
      <c r="N79" s="76" t="s">
        <v>1245</v>
      </c>
      <c r="O79" s="76" t="s">
        <v>1247</v>
      </c>
      <c r="P79" s="76" t="s">
        <v>1248</v>
      </c>
      <c r="Q79" s="76" t="s">
        <v>1248</v>
      </c>
      <c r="R79" s="77" t="s">
        <v>876</v>
      </c>
      <c r="S79" s="76" t="s">
        <v>1249</v>
      </c>
      <c r="T79" s="76" t="s">
        <v>892</v>
      </c>
      <c r="U79" s="76" t="s">
        <v>157</v>
      </c>
      <c r="V79" s="76" t="s">
        <v>1250</v>
      </c>
      <c r="W79" s="81">
        <v>1</v>
      </c>
      <c r="X79" s="301">
        <v>1</v>
      </c>
      <c r="Y79" s="76"/>
      <c r="Z79" s="76"/>
      <c r="AA79" s="79"/>
      <c r="AB79" s="76"/>
      <c r="AC79" s="76"/>
      <c r="AD79" s="79"/>
      <c r="AE79" s="76"/>
      <c r="AF79" s="76"/>
      <c r="AG79" s="76">
        <v>1</v>
      </c>
      <c r="AH79" s="76"/>
      <c r="AI79" s="76"/>
      <c r="AJ79" s="79"/>
      <c r="AK79" s="76" t="s">
        <v>1242</v>
      </c>
      <c r="AL79" s="76" t="s">
        <v>1251</v>
      </c>
      <c r="AM79" s="77" t="s">
        <v>1244</v>
      </c>
      <c r="AN79" s="87">
        <v>121906820</v>
      </c>
      <c r="AO79" s="76" t="s">
        <v>265</v>
      </c>
      <c r="AP79" s="82" t="s">
        <v>1245</v>
      </c>
      <c r="AQ79" s="370">
        <f>+VLOOKUP(AP79,SharePoint!$BA$3:$BY$140,2,FALSE)</f>
        <v>0</v>
      </c>
      <c r="AR79" s="370">
        <f>+VLOOKUP(AP79,SharePoint!$BA$3:$BY$140,3,FALSE)</f>
        <v>0</v>
      </c>
      <c r="AS79" s="370">
        <f>+VLOOKUP(AP79,SharePoint!$BA$3:$BY$140,4,FALSE)</f>
        <v>0</v>
      </c>
      <c r="AT79" s="370">
        <f>+VLOOKUP(AP79,SharePoint!$BA$3:$BY$140,5,FALSE)</f>
        <v>0</v>
      </c>
      <c r="AU79" s="370">
        <f>+VLOOKUP(AP79,SharePoint!$BA$3:$BY$140,6,FALSE)</f>
        <v>0</v>
      </c>
      <c r="AV79" s="370">
        <f>+VLOOKUP(AP79,SharePoint!$BA$3:$BY$140,7,FALSE)</f>
        <v>0</v>
      </c>
      <c r="AW79" s="370">
        <f>+VLOOKUP(AP79,SharePoint!$BA$3:$BY$140,8,FALSE)</f>
        <v>0</v>
      </c>
      <c r="AX79" s="370">
        <f>+VLOOKUP(AP79,SharePoint!$BA$3:$BY$140,9,FALSE)</f>
        <v>0</v>
      </c>
      <c r="AY79" s="370">
        <f>+VLOOKUP(AP79,SharePoint!$BA$3:$BY$140,10,FALSE)</f>
        <v>1</v>
      </c>
      <c r="AZ79" s="370">
        <f>+VLOOKUP(AP79,SharePoint!$BA$3:$BY$140,11,FALSE)</f>
        <v>0</v>
      </c>
      <c r="BA79" s="370">
        <f>+VLOOKUP(AP79,SharePoint!$BA$3:$BY$140,12,FALSE)</f>
        <v>0</v>
      </c>
      <c r="BB79" s="370">
        <f>+VLOOKUP(AP79,SharePoint!$BA$3:$BY$140,13,FALSE)</f>
        <v>0</v>
      </c>
      <c r="BC79" s="226">
        <f>+VLOOKUP(AP79,SharePoint!$BA$3:$BY$140,14,FALSE)</f>
        <v>0</v>
      </c>
      <c r="BD79" s="226">
        <f>+VLOOKUP(AP79,SharePoint!$BA$3:$BY$140,15,FALSE)</f>
        <v>0</v>
      </c>
      <c r="BE79" s="226">
        <f>+VLOOKUP(AP79,SharePoint!$BA$3:$BY$140,16,FALSE)</f>
        <v>0</v>
      </c>
      <c r="BF79" s="226">
        <f>+VLOOKUP(AP79,SharePoint!$BA$3:$BY$140,17,FALSE)</f>
        <v>0</v>
      </c>
      <c r="BG79" s="226">
        <f>+VLOOKUP(AP79,SharePoint!$BA$3:$BY$140,18,FALSE)</f>
        <v>0</v>
      </c>
      <c r="BH79" s="226">
        <f>+VLOOKUP(AP79,SharePoint!$BA$3:$BY$140,19,FALSE)</f>
        <v>0</v>
      </c>
      <c r="BI79" s="226">
        <f>+VLOOKUP(AP79,SharePoint!$BA$3:$BY$140,20,FALSE)</f>
        <v>0</v>
      </c>
      <c r="BJ79" s="226">
        <f>+VLOOKUP(AP79,SharePoint!$BA$3:$BY$140,21,FALSE)</f>
        <v>0</v>
      </c>
      <c r="BK79" s="226">
        <f>+VLOOKUP(AP79,SharePoint!$BA$3:$BY$140,22,FALSE)</f>
        <v>1</v>
      </c>
      <c r="BL79" s="226">
        <f>+VLOOKUP(AP79,SharePoint!$BA$3:$BY$140,23,FALSE)</f>
        <v>0</v>
      </c>
      <c r="BM79" s="226">
        <f>+VLOOKUP(AP79,SharePoint!$BA$3:$BY$140,24,FALSE)</f>
        <v>0</v>
      </c>
      <c r="BN79" s="226">
        <f>+VLOOKUP(AP79,SharePoint!$BA$3:$BY$140,25,FALSE)</f>
        <v>0</v>
      </c>
      <c r="BO79" s="214" t="s">
        <v>873</v>
      </c>
      <c r="BP79" s="214" t="s">
        <v>873</v>
      </c>
      <c r="BQ79" s="214" t="s">
        <v>873</v>
      </c>
      <c r="BR79" s="214" t="s">
        <v>873</v>
      </c>
      <c r="BS79" s="214" t="s">
        <v>873</v>
      </c>
      <c r="BT79" s="214" t="s">
        <v>873</v>
      </c>
      <c r="BU79" s="214" t="s">
        <v>873</v>
      </c>
      <c r="BV79" s="214" t="s">
        <v>873</v>
      </c>
      <c r="BW79" s="214" t="s">
        <v>2901</v>
      </c>
      <c r="BX79" s="214" t="e">
        <v>#N/A</v>
      </c>
      <c r="BY79" s="214" t="e">
        <v>#N/A</v>
      </c>
      <c r="BZ79" s="214" t="e">
        <v>#N/A</v>
      </c>
      <c r="CA79" s="449">
        <v>1</v>
      </c>
      <c r="CB79" s="373" t="s">
        <v>3456</v>
      </c>
      <c r="CC79" s="359">
        <f t="shared" si="15"/>
        <v>1</v>
      </c>
      <c r="CD79" s="359">
        <f t="shared" si="16"/>
        <v>1</v>
      </c>
      <c r="CE79" s="343">
        <f t="shared" si="17"/>
        <v>1</v>
      </c>
      <c r="CF79" s="381">
        <f t="shared" si="14"/>
        <v>1</v>
      </c>
      <c r="CG79" s="327" t="s">
        <v>3509</v>
      </c>
      <c r="CH79" s="327" t="str">
        <f t="shared" si="18"/>
        <v>Numérica</v>
      </c>
      <c r="CI79" s="327"/>
      <c r="CJ79" s="381">
        <v>3</v>
      </c>
      <c r="CK79" s="376" t="str">
        <f t="shared" si="19"/>
        <v>Oficina Asesora de Comunicaciones</v>
      </c>
      <c r="CL79" s="376" t="str">
        <f t="shared" si="20"/>
        <v xml:space="preserve">Audiencia Pública de Rendición de Cuentas </v>
      </c>
      <c r="CM79" s="376" t="str">
        <f t="shared" si="21"/>
        <v>Número de Audiencia Pública de Rendición de Cuentas realizada</v>
      </c>
      <c r="CN79" s="389">
        <f t="shared" si="22"/>
        <v>1</v>
      </c>
      <c r="CO79" s="389">
        <f t="shared" si="23"/>
        <v>1</v>
      </c>
      <c r="CP79" s="388">
        <f t="shared" si="26"/>
        <v>1</v>
      </c>
      <c r="CQ79" s="376">
        <f t="shared" si="24"/>
        <v>1</v>
      </c>
      <c r="CR79" s="377" t="str">
        <f t="shared" si="25"/>
        <v>CUMPLIO</v>
      </c>
      <c r="DB79" s="381"/>
      <c r="DC79" s="381"/>
      <c r="DD79" s="381"/>
      <c r="DE79" s="381"/>
      <c r="DF79" s="381"/>
      <c r="DG79" s="381"/>
    </row>
    <row r="80" spans="1:111" s="83" customFormat="1" ht="127.5" customHeight="1" thickTop="1" thickBot="1">
      <c r="A80" s="83" t="s">
        <v>529</v>
      </c>
      <c r="B80" s="75" t="s">
        <v>151</v>
      </c>
      <c r="C80" s="75" t="s">
        <v>856</v>
      </c>
      <c r="D80" s="75" t="s">
        <v>903</v>
      </c>
      <c r="E80" s="76" t="s">
        <v>1252</v>
      </c>
      <c r="F80" s="76" t="s">
        <v>1253</v>
      </c>
      <c r="G80" s="76" t="s">
        <v>215</v>
      </c>
      <c r="H80" s="75" t="s">
        <v>860</v>
      </c>
      <c r="I80" s="76" t="s">
        <v>1254</v>
      </c>
      <c r="J80" s="76" t="s">
        <v>1255</v>
      </c>
      <c r="K80" s="166" t="s">
        <v>1256</v>
      </c>
      <c r="L80" s="77" t="s">
        <v>875</v>
      </c>
      <c r="M80" s="166" t="s">
        <v>1257</v>
      </c>
      <c r="N80" s="76" t="s">
        <v>529</v>
      </c>
      <c r="O80" s="76" t="s">
        <v>691</v>
      </c>
      <c r="P80" s="76" t="s">
        <v>692</v>
      </c>
      <c r="Q80" s="76" t="s">
        <v>692</v>
      </c>
      <c r="R80" s="77" t="s">
        <v>876</v>
      </c>
      <c r="S80" s="76" t="s">
        <v>1258</v>
      </c>
      <c r="T80" s="76" t="s">
        <v>870</v>
      </c>
      <c r="U80" s="76" t="s">
        <v>157</v>
      </c>
      <c r="V80" s="76" t="s">
        <v>988</v>
      </c>
      <c r="W80" s="81">
        <v>7</v>
      </c>
      <c r="X80" s="299">
        <v>6</v>
      </c>
      <c r="Y80" s="76"/>
      <c r="Z80" s="76"/>
      <c r="AA80" s="76"/>
      <c r="AB80" s="76"/>
      <c r="AC80" s="76"/>
      <c r="AD80" s="167">
        <v>4</v>
      </c>
      <c r="AE80" s="76"/>
      <c r="AF80" s="76"/>
      <c r="AG80" s="76"/>
      <c r="AH80" s="76"/>
      <c r="AI80" s="76"/>
      <c r="AJ80" s="81">
        <v>2</v>
      </c>
      <c r="AK80" s="76" t="s">
        <v>873</v>
      </c>
      <c r="AL80" s="76" t="s">
        <v>873</v>
      </c>
      <c r="AM80" s="76" t="s">
        <v>873</v>
      </c>
      <c r="AN80" s="76" t="s">
        <v>873</v>
      </c>
      <c r="AO80" s="76" t="s">
        <v>359</v>
      </c>
      <c r="AP80" s="82" t="s">
        <v>529</v>
      </c>
      <c r="AQ80" s="370">
        <f>+VLOOKUP(AP80,SharePoint!$BA$3:$BY$140,2,FALSE)</f>
        <v>0</v>
      </c>
      <c r="AR80" s="370">
        <f>+VLOOKUP(AP80,SharePoint!$BA$3:$BY$140,3,FALSE)</f>
        <v>0</v>
      </c>
      <c r="AS80" s="370">
        <f>+VLOOKUP(AP80,SharePoint!$BA$3:$BY$140,4,FALSE)</f>
        <v>0</v>
      </c>
      <c r="AT80" s="370">
        <f>+VLOOKUP(AP80,SharePoint!$BA$3:$BY$140,5,FALSE)</f>
        <v>0</v>
      </c>
      <c r="AU80" s="370">
        <f>+VLOOKUP(AP80,SharePoint!$BA$3:$BY$140,6,FALSE)</f>
        <v>0</v>
      </c>
      <c r="AV80" s="370">
        <f>+VLOOKUP(AP80,SharePoint!$BA$3:$BY$140,7,FALSE)</f>
        <v>2</v>
      </c>
      <c r="AW80" s="370">
        <f>+VLOOKUP(AP80,SharePoint!$BA$3:$BY$140,8,FALSE)</f>
        <v>0</v>
      </c>
      <c r="AX80" s="370">
        <f>+VLOOKUP(AP80,SharePoint!$BA$3:$BY$140,9,FALSE)</f>
        <v>0</v>
      </c>
      <c r="AY80" s="370">
        <f>+VLOOKUP(AP80,SharePoint!$BA$3:$BY$140,10,FALSE)</f>
        <v>0</v>
      </c>
      <c r="AZ80" s="370">
        <f>+VLOOKUP(AP80,SharePoint!$BA$3:$BY$140,11,FALSE)</f>
        <v>0</v>
      </c>
      <c r="BA80" s="370">
        <f>+VLOOKUP(AP80,SharePoint!$BA$3:$BY$140,12,FALSE)</f>
        <v>0</v>
      </c>
      <c r="BB80" s="370">
        <f>+VLOOKUP(AP80,SharePoint!$BA$3:$BY$140,13,FALSE)</f>
        <v>4</v>
      </c>
      <c r="BC80" s="226">
        <f>+VLOOKUP(AP80,SharePoint!$BA$3:$BY$140,14,FALSE)</f>
        <v>0</v>
      </c>
      <c r="BD80" s="226">
        <f>+VLOOKUP(AP80,SharePoint!$BA$3:$BY$140,15,FALSE)</f>
        <v>0</v>
      </c>
      <c r="BE80" s="226">
        <f>+VLOOKUP(AP80,SharePoint!$BA$3:$BY$140,16,FALSE)</f>
        <v>0</v>
      </c>
      <c r="BF80" s="226">
        <f>+VLOOKUP(AP80,SharePoint!$BA$3:$BY$140,17,FALSE)</f>
        <v>0</v>
      </c>
      <c r="BG80" s="226">
        <f>+VLOOKUP(AP80,SharePoint!$BA$3:$BY$140,18,FALSE)</f>
        <v>0</v>
      </c>
      <c r="BH80" s="226">
        <f>+VLOOKUP(AP80,SharePoint!$BA$3:$BY$140,19,FALSE)</f>
        <v>4</v>
      </c>
      <c r="BI80" s="226">
        <f>+VLOOKUP(AP80,SharePoint!$BA$3:$BY$140,20,FALSE)</f>
        <v>0</v>
      </c>
      <c r="BJ80" s="226">
        <f>+VLOOKUP(AP80,SharePoint!$BA$3:$BY$140,21,FALSE)</f>
        <v>0</v>
      </c>
      <c r="BK80" s="226">
        <f>+VLOOKUP(AP80,SharePoint!$BA$3:$BY$140,22,FALSE)</f>
        <v>0</v>
      </c>
      <c r="BL80" s="226">
        <f>+VLOOKUP(AP80,SharePoint!$BA$3:$BY$140,23,FALSE)</f>
        <v>0</v>
      </c>
      <c r="BM80" s="226">
        <f>+VLOOKUP(AP80,SharePoint!$BA$3:$BY$140,24,FALSE)</f>
        <v>0</v>
      </c>
      <c r="BN80" s="226">
        <f>+VLOOKUP(AP80,SharePoint!$BA$3:$BY$140,25,FALSE)</f>
        <v>2</v>
      </c>
      <c r="BO80" s="214" t="s">
        <v>873</v>
      </c>
      <c r="BP80" s="214" t="s">
        <v>873</v>
      </c>
      <c r="BQ80" s="214" t="s">
        <v>873</v>
      </c>
      <c r="BR80" s="214" t="s">
        <v>873</v>
      </c>
      <c r="BS80" s="214" t="s">
        <v>873</v>
      </c>
      <c r="BT80" s="215" t="s">
        <v>693</v>
      </c>
      <c r="BU80" s="214" t="s">
        <v>873</v>
      </c>
      <c r="BV80" s="214" t="s">
        <v>873</v>
      </c>
      <c r="BW80" s="214" t="s">
        <v>873</v>
      </c>
      <c r="BX80" s="214" t="s">
        <v>875</v>
      </c>
      <c r="BY80" s="214" t="s">
        <v>875</v>
      </c>
      <c r="BZ80" s="214" t="s">
        <v>3372</v>
      </c>
      <c r="CA80" s="449">
        <v>1</v>
      </c>
      <c r="CB80" s="373" t="s">
        <v>3527</v>
      </c>
      <c r="CC80" s="359">
        <f t="shared" si="15"/>
        <v>6</v>
      </c>
      <c r="CD80" s="359">
        <f t="shared" si="16"/>
        <v>6</v>
      </c>
      <c r="CE80" s="343">
        <f t="shared" si="17"/>
        <v>1</v>
      </c>
      <c r="CF80" s="381">
        <f t="shared" si="14"/>
        <v>6</v>
      </c>
      <c r="CG80" s="327" t="s">
        <v>3509</v>
      </c>
      <c r="CH80" s="327" t="str">
        <f t="shared" si="18"/>
        <v>Numérica</v>
      </c>
      <c r="CI80" s="327"/>
      <c r="CJ80" s="381">
        <v>1</v>
      </c>
      <c r="CK80" s="378" t="str">
        <f t="shared" si="19"/>
        <v>Oficina de Control Interno</v>
      </c>
      <c r="CL80" s="378" t="str">
        <f t="shared" si="20"/>
        <v>Auditorías realizadas de acuerdo con el Plan Anual de Auditorias</v>
      </c>
      <c r="CM80" s="378" t="str">
        <f t="shared" si="21"/>
        <v>Número de auditorias realizadas en el periodo de acuerdo con el plan anual de auditorias</v>
      </c>
      <c r="CN80" s="390">
        <f t="shared" si="22"/>
        <v>6</v>
      </c>
      <c r="CO80" s="390">
        <f t="shared" si="23"/>
        <v>6</v>
      </c>
      <c r="CP80" s="387">
        <f t="shared" si="26"/>
        <v>1</v>
      </c>
      <c r="CQ80" s="378">
        <f t="shared" si="24"/>
        <v>6</v>
      </c>
      <c r="CR80" s="379" t="str">
        <f t="shared" si="25"/>
        <v>CUMPLIO</v>
      </c>
      <c r="DB80" s="381"/>
      <c r="DC80" s="381"/>
      <c r="DD80" s="381"/>
      <c r="DE80" s="381"/>
      <c r="DF80" s="381"/>
      <c r="DG80" s="381"/>
    </row>
    <row r="81" spans="1:111" s="83" customFormat="1" ht="127.5" customHeight="1" thickTop="1" thickBot="1">
      <c r="A81" s="245" t="s">
        <v>360</v>
      </c>
      <c r="B81" s="75" t="s">
        <v>151</v>
      </c>
      <c r="C81" s="75" t="s">
        <v>856</v>
      </c>
      <c r="D81" s="75" t="s">
        <v>903</v>
      </c>
      <c r="E81" s="76" t="s">
        <v>1252</v>
      </c>
      <c r="F81" s="76" t="s">
        <v>1253</v>
      </c>
      <c r="G81" s="76" t="s">
        <v>215</v>
      </c>
      <c r="H81" s="75" t="s">
        <v>860</v>
      </c>
      <c r="I81" s="76" t="s">
        <v>1254</v>
      </c>
      <c r="J81" s="76" t="s">
        <v>1255</v>
      </c>
      <c r="K81" s="166" t="s">
        <v>1256</v>
      </c>
      <c r="L81" s="77" t="s">
        <v>875</v>
      </c>
      <c r="M81" s="166" t="s">
        <v>361</v>
      </c>
      <c r="N81" s="76" t="s">
        <v>360</v>
      </c>
      <c r="O81" s="76" t="s">
        <v>362</v>
      </c>
      <c r="P81" s="76" t="s">
        <v>363</v>
      </c>
      <c r="Q81" s="76" t="s">
        <v>363</v>
      </c>
      <c r="R81" s="77" t="s">
        <v>876</v>
      </c>
      <c r="S81" s="76" t="s">
        <v>1259</v>
      </c>
      <c r="T81" s="76" t="s">
        <v>870</v>
      </c>
      <c r="U81" s="76" t="s">
        <v>157</v>
      </c>
      <c r="V81" s="76" t="s">
        <v>872</v>
      </c>
      <c r="W81" s="81">
        <v>49</v>
      </c>
      <c r="X81" s="301">
        <v>54</v>
      </c>
      <c r="Y81" s="76"/>
      <c r="Z81" s="76"/>
      <c r="AA81" s="76">
        <v>15</v>
      </c>
      <c r="AB81" s="79"/>
      <c r="AC81" s="76"/>
      <c r="AD81" s="76">
        <v>13</v>
      </c>
      <c r="AE81" s="76"/>
      <c r="AF81" s="79"/>
      <c r="AG81" s="126">
        <v>13</v>
      </c>
      <c r="AH81" s="76"/>
      <c r="AI81" s="76"/>
      <c r="AJ81" s="81">
        <v>13</v>
      </c>
      <c r="AK81" s="76" t="s">
        <v>873</v>
      </c>
      <c r="AL81" s="76" t="s">
        <v>873</v>
      </c>
      <c r="AM81" s="76" t="s">
        <v>873</v>
      </c>
      <c r="AN81" s="76" t="s">
        <v>873</v>
      </c>
      <c r="AO81" s="76" t="s">
        <v>359</v>
      </c>
      <c r="AP81" s="82" t="s">
        <v>360</v>
      </c>
      <c r="AQ81" s="370">
        <f>+VLOOKUP(AP81,SharePoint!$BA$3:$BY$140,2,FALSE)</f>
        <v>0</v>
      </c>
      <c r="AR81" s="370">
        <f>+VLOOKUP(AP81,SharePoint!$BA$3:$BY$140,3,FALSE)</f>
        <v>0</v>
      </c>
      <c r="AS81" s="370">
        <f>+VLOOKUP(AP81,SharePoint!$BA$3:$BY$140,4,FALSE)</f>
        <v>15</v>
      </c>
      <c r="AT81" s="370">
        <f>+VLOOKUP(AP81,SharePoint!$BA$3:$BY$140,5,FALSE)</f>
        <v>0</v>
      </c>
      <c r="AU81" s="370">
        <f>+VLOOKUP(AP81,SharePoint!$BA$3:$BY$140,6,FALSE)</f>
        <v>0</v>
      </c>
      <c r="AV81" s="370">
        <f>+VLOOKUP(AP81,SharePoint!$BA$3:$BY$140,7,FALSE)</f>
        <v>9</v>
      </c>
      <c r="AW81" s="370">
        <f>+VLOOKUP(AP81,SharePoint!$BA$3:$BY$140,8,FALSE)</f>
        <v>0</v>
      </c>
      <c r="AX81" s="370">
        <f>+VLOOKUP(AP81,SharePoint!$BA$3:$BY$140,9,FALSE)</f>
        <v>0</v>
      </c>
      <c r="AY81" s="370">
        <f>+VLOOKUP(AP81,SharePoint!$BA$3:$BY$140,10,FALSE)</f>
        <v>11</v>
      </c>
      <c r="AZ81" s="370">
        <f>+VLOOKUP(AP81,SharePoint!$BA$3:$BY$140,11,FALSE)</f>
        <v>0</v>
      </c>
      <c r="BA81" s="370">
        <f>+VLOOKUP(AP81,SharePoint!$BA$3:$BY$140,12,FALSE)</f>
        <v>0</v>
      </c>
      <c r="BB81" s="370">
        <f>+VLOOKUP(AP81,SharePoint!$BA$3:$BY$140,13,FALSE)</f>
        <v>19</v>
      </c>
      <c r="BC81" s="226">
        <f>+VLOOKUP(AP81,SharePoint!$BA$3:$BY$140,14,FALSE)</f>
        <v>0</v>
      </c>
      <c r="BD81" s="226">
        <f>+VLOOKUP(AP81,SharePoint!$BA$3:$BY$140,15,FALSE)</f>
        <v>0</v>
      </c>
      <c r="BE81" s="226">
        <f>+VLOOKUP(AP81,SharePoint!$BA$3:$BY$140,16,FALSE)</f>
        <v>15</v>
      </c>
      <c r="BF81" s="226">
        <f>+VLOOKUP(AP81,SharePoint!$BA$3:$BY$140,17,FALSE)</f>
        <v>0</v>
      </c>
      <c r="BG81" s="226">
        <f>+VLOOKUP(AP81,SharePoint!$BA$3:$BY$140,18,FALSE)</f>
        <v>0</v>
      </c>
      <c r="BH81" s="226">
        <f>+VLOOKUP(AP81,SharePoint!$BA$3:$BY$140,19,FALSE)</f>
        <v>13</v>
      </c>
      <c r="BI81" s="226">
        <f>+VLOOKUP(AP81,SharePoint!$BA$3:$BY$140,20,FALSE)</f>
        <v>0</v>
      </c>
      <c r="BJ81" s="226">
        <f>+VLOOKUP(AP81,SharePoint!$BA$3:$BY$140,21,FALSE)</f>
        <v>0</v>
      </c>
      <c r="BK81" s="226">
        <f>+VLOOKUP(AP81,SharePoint!$BA$3:$BY$140,22,FALSE)</f>
        <v>13</v>
      </c>
      <c r="BL81" s="226">
        <f>+VLOOKUP(AP81,SharePoint!$BA$3:$BY$140,23,FALSE)</f>
        <v>0</v>
      </c>
      <c r="BM81" s="226">
        <f>+VLOOKUP(AP81,SharePoint!$BA$3:$BY$140,24,FALSE)</f>
        <v>0</v>
      </c>
      <c r="BN81" s="226">
        <f>+VLOOKUP(AP81,SharePoint!$BA$3:$BY$140,25,FALSE)</f>
        <v>13</v>
      </c>
      <c r="BO81" s="214" t="s">
        <v>873</v>
      </c>
      <c r="BP81" s="214" t="s">
        <v>873</v>
      </c>
      <c r="BQ81" s="215" t="s">
        <v>2821</v>
      </c>
      <c r="BR81" s="214" t="s">
        <v>873</v>
      </c>
      <c r="BS81" s="214" t="s">
        <v>873</v>
      </c>
      <c r="BT81" s="215" t="s">
        <v>3066</v>
      </c>
      <c r="BU81" s="214" t="s">
        <v>873</v>
      </c>
      <c r="BV81" s="214" t="s">
        <v>873</v>
      </c>
      <c r="BW81" s="214" t="s">
        <v>2950</v>
      </c>
      <c r="BX81" s="214" t="s">
        <v>875</v>
      </c>
      <c r="BY81" s="214" t="s">
        <v>875</v>
      </c>
      <c r="BZ81" s="214" t="s">
        <v>3291</v>
      </c>
      <c r="CA81" s="449">
        <v>1</v>
      </c>
      <c r="CB81" s="374" t="s">
        <v>3517</v>
      </c>
      <c r="CC81" s="359">
        <f t="shared" si="15"/>
        <v>54</v>
      </c>
      <c r="CD81" s="359">
        <f t="shared" si="16"/>
        <v>54</v>
      </c>
      <c r="CE81" s="343">
        <f t="shared" si="17"/>
        <v>1</v>
      </c>
      <c r="CF81" s="381">
        <f t="shared" si="14"/>
        <v>54</v>
      </c>
      <c r="CG81" s="327" t="s">
        <v>3509</v>
      </c>
      <c r="CH81" s="327" t="str">
        <f t="shared" si="18"/>
        <v>Numérica</v>
      </c>
      <c r="CI81" s="327"/>
      <c r="CJ81" s="381">
        <v>2</v>
      </c>
      <c r="CK81" s="376" t="str">
        <f t="shared" si="19"/>
        <v>Oficina de Control Interno</v>
      </c>
      <c r="CL81" s="376" t="str">
        <f t="shared" si="20"/>
        <v>Seguimientos y evaluaciones efectuadas al control institucional</v>
      </c>
      <c r="CM81" s="376" t="str">
        <f t="shared" si="21"/>
        <v>Número de seguimientos y evaluaciones realizadas oportunamente dentro de las fechas programadas en el periodo.</v>
      </c>
      <c r="CN81" s="389">
        <f t="shared" si="22"/>
        <v>54</v>
      </c>
      <c r="CO81" s="389">
        <f t="shared" si="23"/>
        <v>54</v>
      </c>
      <c r="CP81" s="388">
        <f t="shared" si="26"/>
        <v>1</v>
      </c>
      <c r="CQ81" s="376">
        <f t="shared" si="24"/>
        <v>54</v>
      </c>
      <c r="CR81" s="377" t="str">
        <f t="shared" si="25"/>
        <v>CUMPLIO</v>
      </c>
      <c r="DB81" s="381"/>
      <c r="DC81" s="381"/>
      <c r="DD81" s="381"/>
      <c r="DE81" s="381"/>
      <c r="DF81" s="381"/>
      <c r="DG81" s="381"/>
    </row>
    <row r="82" spans="1:111" s="83" customFormat="1" ht="127.5" customHeight="1" thickTop="1" thickBot="1">
      <c r="A82" s="83" t="s">
        <v>371</v>
      </c>
      <c r="B82" s="75" t="s">
        <v>237</v>
      </c>
      <c r="C82" s="75" t="s">
        <v>938</v>
      </c>
      <c r="D82" s="75" t="s">
        <v>903</v>
      </c>
      <c r="E82" s="75" t="s">
        <v>858</v>
      </c>
      <c r="F82" s="75" t="s">
        <v>1260</v>
      </c>
      <c r="G82" s="75" t="s">
        <v>215</v>
      </c>
      <c r="H82" s="75" t="s">
        <v>860</v>
      </c>
      <c r="I82" s="75" t="s">
        <v>1234</v>
      </c>
      <c r="J82" s="76" t="s">
        <v>1235</v>
      </c>
      <c r="K82" s="75" t="s">
        <v>1261</v>
      </c>
      <c r="L82" s="75" t="s">
        <v>1262</v>
      </c>
      <c r="M82" s="76" t="s">
        <v>1263</v>
      </c>
      <c r="N82" s="91" t="s">
        <v>371</v>
      </c>
      <c r="O82" s="428" t="s">
        <v>817</v>
      </c>
      <c r="P82" s="76" t="s">
        <v>1264</v>
      </c>
      <c r="Q82" s="76" t="s">
        <v>1265</v>
      </c>
      <c r="R82" s="76" t="s">
        <v>1266</v>
      </c>
      <c r="S82" s="76" t="s">
        <v>1267</v>
      </c>
      <c r="T82" s="75" t="s">
        <v>892</v>
      </c>
      <c r="U82" s="75" t="s">
        <v>871</v>
      </c>
      <c r="V82" s="75" t="s">
        <v>872</v>
      </c>
      <c r="W82" s="110" t="s">
        <v>1268</v>
      </c>
      <c r="X82" s="311">
        <v>1</v>
      </c>
      <c r="Y82" s="84"/>
      <c r="Z82" s="84"/>
      <c r="AA82" s="168" t="s">
        <v>1269</v>
      </c>
      <c r="AB82" s="111"/>
      <c r="AC82" s="75"/>
      <c r="AD82" s="168" t="s">
        <v>1270</v>
      </c>
      <c r="AE82" s="111"/>
      <c r="AF82" s="111"/>
      <c r="AG82" s="168" t="s">
        <v>1271</v>
      </c>
      <c r="AH82" s="75"/>
      <c r="AI82" s="75"/>
      <c r="AJ82" s="168" t="s">
        <v>1272</v>
      </c>
      <c r="AK82" s="75" t="s">
        <v>1273</v>
      </c>
      <c r="AL82" s="76" t="s">
        <v>1274</v>
      </c>
      <c r="AM82" s="76" t="s">
        <v>1275</v>
      </c>
      <c r="AN82" s="94">
        <v>320887763</v>
      </c>
      <c r="AO82" s="75" t="s">
        <v>238</v>
      </c>
      <c r="AP82" s="82" t="s">
        <v>371</v>
      </c>
      <c r="AQ82" s="370">
        <f>+VLOOKUP(AP82,SharePoint!$BA$3:$BY$140,2,FALSE)</f>
        <v>0</v>
      </c>
      <c r="AR82" s="370">
        <f>+VLOOKUP(AP82,SharePoint!$BA$3:$BY$140,3,FALSE)</f>
        <v>0</v>
      </c>
      <c r="AS82" s="370">
        <f>+VLOOKUP(AP82,SharePoint!$BA$3:$BY$140,4,FALSE)</f>
        <v>7</v>
      </c>
      <c r="AT82" s="370">
        <f>+VLOOKUP(AP82,SharePoint!$BA$3:$BY$140,5,FALSE)</f>
        <v>0</v>
      </c>
      <c r="AU82" s="370">
        <f>+VLOOKUP(AP82,SharePoint!$BA$3:$BY$140,6,FALSE)</f>
        <v>0</v>
      </c>
      <c r="AV82" s="370">
        <f>+VLOOKUP(AP82,SharePoint!$BA$3:$BY$140,7,FALSE)</f>
        <v>15</v>
      </c>
      <c r="AW82" s="370">
        <f>+VLOOKUP(AP82,SharePoint!$BA$3:$BY$140,8,FALSE)</f>
        <v>0</v>
      </c>
      <c r="AX82" s="370">
        <f>+VLOOKUP(AP82,SharePoint!$BA$3:$BY$140,9,FALSE)</f>
        <v>0</v>
      </c>
      <c r="AY82" s="370">
        <f>+VLOOKUP(AP82,SharePoint!$BA$3:$BY$140,10,FALSE)</f>
        <v>7</v>
      </c>
      <c r="AZ82" s="370">
        <f>+VLOOKUP(AP82,SharePoint!$BA$3:$BY$140,11,FALSE)</f>
        <v>0</v>
      </c>
      <c r="BA82" s="370">
        <f>+VLOOKUP(AP82,SharePoint!$BA$3:$BY$140,12,FALSE)</f>
        <v>0</v>
      </c>
      <c r="BB82" s="370">
        <f>+VLOOKUP(AP82,SharePoint!$BA$3:$BY$140,13,FALSE)</f>
        <v>17</v>
      </c>
      <c r="BC82" s="226">
        <f>+VLOOKUP(AP82,SharePoint!$BA$3:$BY$140,14,FALSE)</f>
        <v>0</v>
      </c>
      <c r="BD82" s="226">
        <f>+VLOOKUP(AP82,SharePoint!$BA$3:$BY$140,15,FALSE)</f>
        <v>0</v>
      </c>
      <c r="BE82" s="226">
        <f>+VLOOKUP(AP82,SharePoint!$BA$3:$BY$140,16,FALSE)</f>
        <v>8</v>
      </c>
      <c r="BF82" s="226">
        <f>+VLOOKUP(AP82,SharePoint!$BA$3:$BY$140,17,FALSE)</f>
        <v>0</v>
      </c>
      <c r="BG82" s="226">
        <f>+VLOOKUP(AP82,SharePoint!$BA$3:$BY$140,18,FALSE)</f>
        <v>0</v>
      </c>
      <c r="BH82" s="226">
        <f>+VLOOKUP(AP82,SharePoint!$BA$3:$BY$140,19,FALSE)</f>
        <v>21</v>
      </c>
      <c r="BI82" s="226">
        <f>+VLOOKUP(AP82,SharePoint!$BA$3:$BY$140,20,FALSE)</f>
        <v>0</v>
      </c>
      <c r="BJ82" s="226">
        <f>+VLOOKUP(AP82,SharePoint!$BA$3:$BY$140,21,FALSE)</f>
        <v>0</v>
      </c>
      <c r="BK82" s="226">
        <f>+VLOOKUP(AP82,SharePoint!$BA$3:$BY$140,22,FALSE)</f>
        <v>8</v>
      </c>
      <c r="BL82" s="226">
        <f>+VLOOKUP(AP82,SharePoint!$BA$3:$BY$140,23,FALSE)</f>
        <v>0</v>
      </c>
      <c r="BM82" s="226">
        <f>+VLOOKUP(AP82,SharePoint!$BA$3:$BY$140,24,FALSE)</f>
        <v>0</v>
      </c>
      <c r="BN82" s="226">
        <f>+VLOOKUP(AP82,SharePoint!$BA$3:$BY$140,25,FALSE)</f>
        <v>21</v>
      </c>
      <c r="BO82" s="214" t="s">
        <v>873</v>
      </c>
      <c r="BP82" s="214" t="s">
        <v>873</v>
      </c>
      <c r="BQ82" s="215" t="s">
        <v>3067</v>
      </c>
      <c r="BR82" s="214" t="s">
        <v>873</v>
      </c>
      <c r="BS82" s="214" t="s">
        <v>873</v>
      </c>
      <c r="BT82" s="215" t="s">
        <v>3068</v>
      </c>
      <c r="BU82" s="214" t="s">
        <v>873</v>
      </c>
      <c r="BV82" s="214" t="s">
        <v>873</v>
      </c>
      <c r="BW82" s="214" t="s">
        <v>3133</v>
      </c>
      <c r="BX82" s="214" t="s">
        <v>875</v>
      </c>
      <c r="BY82" s="214" t="s">
        <v>875</v>
      </c>
      <c r="BZ82" s="214" t="s">
        <v>3361</v>
      </c>
      <c r="CA82" s="449">
        <v>1</v>
      </c>
      <c r="CB82" s="339" t="s">
        <v>3485</v>
      </c>
      <c r="CC82" s="328">
        <v>50</v>
      </c>
      <c r="CD82" s="359">
        <f t="shared" si="16"/>
        <v>58</v>
      </c>
      <c r="CE82" s="382">
        <f t="shared" si="17"/>
        <v>0.86206896551724133</v>
      </c>
      <c r="CF82" s="382">
        <f>+X82</f>
        <v>1</v>
      </c>
      <c r="CG82" s="327" t="s">
        <v>3511</v>
      </c>
      <c r="CH82" s="327" t="str">
        <f t="shared" si="18"/>
        <v xml:space="preserve">Porcentual </v>
      </c>
      <c r="CI82" s="327"/>
      <c r="CJ82" s="381">
        <v>1</v>
      </c>
      <c r="CK82" s="378" t="str">
        <f t="shared" si="19"/>
        <v>Dirección de Innovación y Desarrollo</v>
      </c>
      <c r="CL82" s="378" t="str">
        <f t="shared" si="20"/>
        <v>Porcentaje de avance en el cumplimiento del Plan Estratégico de Tecnologías de la Información y las Comunicaciones PETI.</v>
      </c>
      <c r="CM82" s="378" t="str">
        <f t="shared" si="21"/>
        <v>Número de acciones ejecutadas para actualización e implementación del  Plan Estratégico de Tecnologías de la información (PETI) / Número de acciones definidas para la actualización e implementación del  Plan Estratégico de Tecnologías de la información (PETI) * 100</v>
      </c>
      <c r="CN82" s="390">
        <f t="shared" si="22"/>
        <v>50</v>
      </c>
      <c r="CO82" s="390">
        <f t="shared" si="23"/>
        <v>58</v>
      </c>
      <c r="CP82" s="387">
        <f t="shared" si="26"/>
        <v>0.86206896551724133</v>
      </c>
      <c r="CQ82" s="379">
        <f t="shared" si="24"/>
        <v>1</v>
      </c>
      <c r="CR82" s="379" t="str">
        <f t="shared" si="25"/>
        <v>INCUMPLIO</v>
      </c>
      <c r="DB82" s="381"/>
      <c r="DC82" s="381"/>
      <c r="DD82" s="381"/>
      <c r="DE82" s="381"/>
      <c r="DF82" s="381"/>
      <c r="DG82" s="381"/>
    </row>
    <row r="83" spans="1:111" s="83" customFormat="1" ht="127.5" customHeight="1" thickTop="1" thickBot="1">
      <c r="A83" s="83" t="s">
        <v>375</v>
      </c>
      <c r="B83" s="75" t="s">
        <v>237</v>
      </c>
      <c r="C83" s="75" t="s">
        <v>938</v>
      </c>
      <c r="D83" s="75" t="s">
        <v>903</v>
      </c>
      <c r="E83" s="75" t="s">
        <v>858</v>
      </c>
      <c r="F83" s="75" t="s">
        <v>1276</v>
      </c>
      <c r="G83" s="75" t="s">
        <v>215</v>
      </c>
      <c r="H83" s="75" t="s">
        <v>860</v>
      </c>
      <c r="I83" s="75" t="s">
        <v>1234</v>
      </c>
      <c r="J83" s="76" t="s">
        <v>1235</v>
      </c>
      <c r="K83" s="75" t="s">
        <v>1261</v>
      </c>
      <c r="L83" s="75" t="s">
        <v>1262</v>
      </c>
      <c r="M83" s="76" t="s">
        <v>1263</v>
      </c>
      <c r="N83" s="91" t="s">
        <v>375</v>
      </c>
      <c r="O83" s="428" t="s">
        <v>526</v>
      </c>
      <c r="P83" s="76" t="s">
        <v>527</v>
      </c>
      <c r="Q83" s="76" t="s">
        <v>1277</v>
      </c>
      <c r="R83" s="76" t="s">
        <v>1278</v>
      </c>
      <c r="S83" s="76" t="s">
        <v>1279</v>
      </c>
      <c r="T83" s="75" t="s">
        <v>892</v>
      </c>
      <c r="U83" s="75" t="s">
        <v>871</v>
      </c>
      <c r="V83" s="75" t="s">
        <v>872</v>
      </c>
      <c r="W83" s="110" t="s">
        <v>1280</v>
      </c>
      <c r="X83" s="311">
        <v>1</v>
      </c>
      <c r="Y83" s="84"/>
      <c r="Z83" s="84"/>
      <c r="AA83" s="110" t="s">
        <v>1281</v>
      </c>
      <c r="AB83" s="111"/>
      <c r="AC83" s="75"/>
      <c r="AD83" s="110" t="s">
        <v>1282</v>
      </c>
      <c r="AE83" s="111"/>
      <c r="AF83" s="111"/>
      <c r="AG83" s="110" t="s">
        <v>1283</v>
      </c>
      <c r="AH83" s="75"/>
      <c r="AI83" s="75"/>
      <c r="AJ83" s="110" t="s">
        <v>1284</v>
      </c>
      <c r="AK83" s="75" t="s">
        <v>1273</v>
      </c>
      <c r="AL83" s="76" t="s">
        <v>1285</v>
      </c>
      <c r="AM83" s="76" t="s">
        <v>1275</v>
      </c>
      <c r="AN83" s="94">
        <v>4994836428.0023422</v>
      </c>
      <c r="AO83" s="75" t="s">
        <v>238</v>
      </c>
      <c r="AP83" s="82" t="s">
        <v>375</v>
      </c>
      <c r="AQ83" s="370">
        <f>+VLOOKUP(AP83,SharePoint!$BA$3:$BY$140,2,FALSE)</f>
        <v>0</v>
      </c>
      <c r="AR83" s="370">
        <f>+VLOOKUP(AP83,SharePoint!$BA$3:$BY$140,3,FALSE)</f>
        <v>0</v>
      </c>
      <c r="AS83" s="370">
        <f>+VLOOKUP(AP83,SharePoint!$BA$3:$BY$140,4,FALSE)</f>
        <v>1</v>
      </c>
      <c r="AT83" s="370">
        <f>+VLOOKUP(AP83,SharePoint!$BA$3:$BY$140,5,FALSE)</f>
        <v>0</v>
      </c>
      <c r="AU83" s="370">
        <f>+VLOOKUP(AP83,SharePoint!$BA$3:$BY$140,6,FALSE)</f>
        <v>0</v>
      </c>
      <c r="AV83" s="370">
        <f>+VLOOKUP(AP83,SharePoint!$BA$3:$BY$140,7,FALSE)</f>
        <v>4</v>
      </c>
      <c r="AW83" s="370">
        <f>+VLOOKUP(AP83,SharePoint!$BA$3:$BY$140,8,FALSE)</f>
        <v>0</v>
      </c>
      <c r="AX83" s="370">
        <f>+VLOOKUP(AP83,SharePoint!$BA$3:$BY$140,9,FALSE)</f>
        <v>0</v>
      </c>
      <c r="AY83" s="370">
        <f>+VLOOKUP(AP83,SharePoint!$BA$3:$BY$140,10,FALSE)</f>
        <v>1</v>
      </c>
      <c r="AZ83" s="370">
        <f>+VLOOKUP(AP83,SharePoint!$BA$3:$BY$140,11,FALSE)</f>
        <v>0</v>
      </c>
      <c r="BA83" s="370">
        <f>+VLOOKUP(AP83,SharePoint!$BA$3:$BY$140,12,FALSE)</f>
        <v>0</v>
      </c>
      <c r="BB83" s="370">
        <f>+VLOOKUP(AP83,SharePoint!$BA$3:$BY$140,13,FALSE)</f>
        <v>4</v>
      </c>
      <c r="BC83" s="226">
        <f>+VLOOKUP(AP83,SharePoint!$BA$3:$BY$140,14,FALSE)</f>
        <v>0</v>
      </c>
      <c r="BD83" s="226">
        <f>+VLOOKUP(AP83,SharePoint!$BA$3:$BY$140,15,FALSE)</f>
        <v>0</v>
      </c>
      <c r="BE83" s="226">
        <f>+VLOOKUP(AP83,SharePoint!$BA$3:$BY$140,16,FALSE)</f>
        <v>1</v>
      </c>
      <c r="BF83" s="226">
        <f>+VLOOKUP(AP83,SharePoint!$BA$3:$BY$140,17,FALSE)</f>
        <v>0</v>
      </c>
      <c r="BG83" s="226">
        <f>+VLOOKUP(AP83,SharePoint!$BA$3:$BY$140,18,FALSE)</f>
        <v>0</v>
      </c>
      <c r="BH83" s="226">
        <f>+VLOOKUP(AP83,SharePoint!$BA$3:$BY$140,19,FALSE)</f>
        <v>5</v>
      </c>
      <c r="BI83" s="226">
        <f>+VLOOKUP(AP83,SharePoint!$BA$3:$BY$140,20,FALSE)</f>
        <v>0</v>
      </c>
      <c r="BJ83" s="226">
        <f>+VLOOKUP(AP83,SharePoint!$BA$3:$BY$140,21,FALSE)</f>
        <v>0</v>
      </c>
      <c r="BK83" s="226">
        <f>+VLOOKUP(AP83,SharePoint!$BA$3:$BY$140,22,FALSE)</f>
        <v>1</v>
      </c>
      <c r="BL83" s="226">
        <f>+VLOOKUP(AP83,SharePoint!$BA$3:$BY$140,23,FALSE)</f>
        <v>0</v>
      </c>
      <c r="BM83" s="226">
        <f>+VLOOKUP(AP83,SharePoint!$BA$3:$BY$140,24,FALSE)</f>
        <v>0</v>
      </c>
      <c r="BN83" s="226">
        <f>+VLOOKUP(AP83,SharePoint!$BA$3:$BY$140,25,FALSE)</f>
        <v>5</v>
      </c>
      <c r="BO83" s="214" t="s">
        <v>873</v>
      </c>
      <c r="BP83" s="214" t="s">
        <v>873</v>
      </c>
      <c r="BQ83" s="215" t="s">
        <v>2954</v>
      </c>
      <c r="BR83" s="214" t="s">
        <v>873</v>
      </c>
      <c r="BS83" s="214" t="s">
        <v>873</v>
      </c>
      <c r="BT83" s="215" t="s">
        <v>3069</v>
      </c>
      <c r="BU83" s="214" t="s">
        <v>873</v>
      </c>
      <c r="BV83" s="214" t="s">
        <v>873</v>
      </c>
      <c r="BW83" s="214" t="s">
        <v>3135</v>
      </c>
      <c r="BX83" s="214" t="e">
        <v>#N/A</v>
      </c>
      <c r="BY83" s="214" t="e">
        <v>#N/A</v>
      </c>
      <c r="BZ83" s="214" t="s">
        <v>3499</v>
      </c>
      <c r="CA83" s="449">
        <v>1</v>
      </c>
      <c r="CB83" s="346" t="s">
        <v>3540</v>
      </c>
      <c r="CC83" s="328">
        <v>10</v>
      </c>
      <c r="CD83" s="328">
        <v>12</v>
      </c>
      <c r="CE83" s="393">
        <f t="shared" si="17"/>
        <v>0.83333333333333337</v>
      </c>
      <c r="CF83" s="393">
        <f t="shared" ref="CF83:CF133" si="28">+X83</f>
        <v>1</v>
      </c>
      <c r="CG83" s="391" t="s">
        <v>3511</v>
      </c>
      <c r="CH83" s="327" t="str">
        <f t="shared" si="18"/>
        <v xml:space="preserve">Porcentual </v>
      </c>
      <c r="CI83" s="327"/>
      <c r="CJ83" s="381">
        <v>2</v>
      </c>
      <c r="CK83" s="376" t="str">
        <f t="shared" si="19"/>
        <v>Dirección de Innovación y Desarrollo</v>
      </c>
      <c r="CL83" s="376" t="str">
        <f t="shared" si="20"/>
        <v>Porcentaje de actividades ejecutadas en cumplimiento del Plan de Seguridad y Privacidad de la Información y Seguridad Digital</v>
      </c>
      <c r="CM83" s="376" t="str">
        <f t="shared" si="21"/>
        <v>Total de actividades cumplidas del plan de seguridad y privacidad de la Información de la STI / Total de actividades definidas en el plan de seguridad y privacidad de la Información de la STI</v>
      </c>
      <c r="CN83" s="389">
        <f t="shared" si="22"/>
        <v>10</v>
      </c>
      <c r="CO83" s="389">
        <f t="shared" si="23"/>
        <v>12</v>
      </c>
      <c r="CP83" s="388">
        <f t="shared" si="26"/>
        <v>0.83333333333333337</v>
      </c>
      <c r="CQ83" s="377">
        <f t="shared" si="24"/>
        <v>1</v>
      </c>
      <c r="CR83" s="377" t="str">
        <f t="shared" si="25"/>
        <v>INCUMPLIO</v>
      </c>
      <c r="DB83" s="381"/>
      <c r="DC83" s="381"/>
      <c r="DD83" s="381"/>
      <c r="DE83" s="381"/>
      <c r="DF83" s="381"/>
      <c r="DG83" s="381"/>
    </row>
    <row r="84" spans="1:111" s="83" customFormat="1" ht="127.5" customHeight="1" thickTop="1" thickBot="1">
      <c r="A84" s="83" t="s">
        <v>380</v>
      </c>
      <c r="B84" s="75" t="s">
        <v>237</v>
      </c>
      <c r="C84" s="75" t="s">
        <v>938</v>
      </c>
      <c r="D84" s="75" t="s">
        <v>903</v>
      </c>
      <c r="E84" s="75" t="s">
        <v>858</v>
      </c>
      <c r="F84" s="75" t="s">
        <v>1276</v>
      </c>
      <c r="G84" s="75" t="s">
        <v>215</v>
      </c>
      <c r="H84" s="75" t="s">
        <v>860</v>
      </c>
      <c r="I84" s="75" t="s">
        <v>1234</v>
      </c>
      <c r="J84" s="76" t="s">
        <v>1235</v>
      </c>
      <c r="K84" s="75" t="s">
        <v>1261</v>
      </c>
      <c r="L84" s="75" t="s">
        <v>1262</v>
      </c>
      <c r="M84" s="76" t="s">
        <v>1263</v>
      </c>
      <c r="N84" s="91" t="s">
        <v>380</v>
      </c>
      <c r="O84" s="428" t="s">
        <v>530</v>
      </c>
      <c r="P84" s="76" t="s">
        <v>531</v>
      </c>
      <c r="Q84" s="76" t="s">
        <v>1286</v>
      </c>
      <c r="R84" s="76" t="s">
        <v>1287</v>
      </c>
      <c r="S84" s="76" t="s">
        <v>1288</v>
      </c>
      <c r="T84" s="75" t="s">
        <v>892</v>
      </c>
      <c r="U84" s="75" t="s">
        <v>871</v>
      </c>
      <c r="V84" s="75" t="s">
        <v>872</v>
      </c>
      <c r="W84" s="110" t="s">
        <v>1289</v>
      </c>
      <c r="X84" s="311">
        <v>1</v>
      </c>
      <c r="Y84" s="84"/>
      <c r="Z84" s="84"/>
      <c r="AA84" s="110" t="s">
        <v>1290</v>
      </c>
      <c r="AB84" s="111"/>
      <c r="AC84" s="75"/>
      <c r="AD84" s="110" t="s">
        <v>1291</v>
      </c>
      <c r="AE84" s="111"/>
      <c r="AF84" s="111"/>
      <c r="AG84" s="110" t="s">
        <v>1292</v>
      </c>
      <c r="AH84" s="75"/>
      <c r="AI84" s="75"/>
      <c r="AJ84" s="110" t="s">
        <v>1293</v>
      </c>
      <c r="AK84" s="75" t="s">
        <v>1273</v>
      </c>
      <c r="AL84" s="76" t="s">
        <v>1294</v>
      </c>
      <c r="AM84" s="76" t="s">
        <v>1275</v>
      </c>
      <c r="AN84" s="94">
        <v>1145066073.9976559</v>
      </c>
      <c r="AO84" s="75" t="s">
        <v>238</v>
      </c>
      <c r="AP84" s="82" t="s">
        <v>380</v>
      </c>
      <c r="AQ84" s="370">
        <f>+VLOOKUP(AP84,SharePoint!$BA$3:$BY$140,2,FALSE)</f>
        <v>0</v>
      </c>
      <c r="AR84" s="370">
        <f>+VLOOKUP(AP84,SharePoint!$BA$3:$BY$140,3,FALSE)</f>
        <v>0</v>
      </c>
      <c r="AS84" s="370">
        <f>+VLOOKUP(AP84,SharePoint!$BA$3:$BY$140,4,FALSE)</f>
        <v>1</v>
      </c>
      <c r="AT84" s="370">
        <f>+VLOOKUP(AP84,SharePoint!$BA$3:$BY$140,5,FALSE)</f>
        <v>0</v>
      </c>
      <c r="AU84" s="370">
        <f>+VLOOKUP(AP84,SharePoint!$BA$3:$BY$140,6,FALSE)</f>
        <v>0</v>
      </c>
      <c r="AV84" s="370">
        <f>+VLOOKUP(AP84,SharePoint!$BA$3:$BY$140,7,FALSE)</f>
        <v>3</v>
      </c>
      <c r="AW84" s="370">
        <f>+VLOOKUP(AP84,SharePoint!$BA$3:$BY$140,8,FALSE)</f>
        <v>0</v>
      </c>
      <c r="AX84" s="370">
        <f>+VLOOKUP(AP84,SharePoint!$BA$3:$BY$140,9,FALSE)</f>
        <v>0</v>
      </c>
      <c r="AY84" s="370">
        <f>+VLOOKUP(AP84,SharePoint!$BA$3:$BY$140,10,FALSE)</f>
        <v>4</v>
      </c>
      <c r="AZ84" s="370">
        <f>+VLOOKUP(AP84,SharePoint!$BA$3:$BY$140,11,FALSE)</f>
        <v>0</v>
      </c>
      <c r="BA84" s="370">
        <f>+VLOOKUP(AP84,SharePoint!$BA$3:$BY$140,12,FALSE)</f>
        <v>0</v>
      </c>
      <c r="BB84" s="370">
        <f>+VLOOKUP(AP84,SharePoint!$BA$3:$BY$140,13,FALSE)</f>
        <v>8</v>
      </c>
      <c r="BC84" s="226">
        <f>+VLOOKUP(AP84,SharePoint!$BA$3:$BY$140,14,FALSE)</f>
        <v>0</v>
      </c>
      <c r="BD84" s="226">
        <f>+VLOOKUP(AP84,SharePoint!$BA$3:$BY$140,15,FALSE)</f>
        <v>0</v>
      </c>
      <c r="BE84" s="226">
        <f>+VLOOKUP(AP84,SharePoint!$BA$3:$BY$140,16,FALSE)</f>
        <v>8</v>
      </c>
      <c r="BF84" s="226">
        <f>+VLOOKUP(AP84,SharePoint!$BA$3:$BY$140,17,FALSE)</f>
        <v>0</v>
      </c>
      <c r="BG84" s="226">
        <f>+VLOOKUP(AP84,SharePoint!$BA$3:$BY$140,18,FALSE)</f>
        <v>0</v>
      </c>
      <c r="BH84" s="226">
        <f>+VLOOKUP(AP84,SharePoint!$BA$3:$BY$140,19,FALSE)</f>
        <v>8</v>
      </c>
      <c r="BI84" s="226">
        <f>+VLOOKUP(AP84,SharePoint!$BA$3:$BY$140,20,FALSE)</f>
        <v>0</v>
      </c>
      <c r="BJ84" s="226">
        <f>+VLOOKUP(AP84,SharePoint!$BA$3:$BY$140,21,FALSE)</f>
        <v>0</v>
      </c>
      <c r="BK84" s="226">
        <f>+VLOOKUP(AP84,SharePoint!$BA$3:$BY$140,22,FALSE)</f>
        <v>8</v>
      </c>
      <c r="BL84" s="226">
        <f>+VLOOKUP(AP84,SharePoint!$BA$3:$BY$140,23,FALSE)</f>
        <v>0</v>
      </c>
      <c r="BM84" s="226">
        <f>+VLOOKUP(AP84,SharePoint!$BA$3:$BY$140,24,FALSE)</f>
        <v>0</v>
      </c>
      <c r="BN84" s="226">
        <f>+VLOOKUP(AP84,SharePoint!$BA$3:$BY$140,25,FALSE)</f>
        <v>8</v>
      </c>
      <c r="BO84" s="214" t="s">
        <v>873</v>
      </c>
      <c r="BP84" s="214" t="s">
        <v>873</v>
      </c>
      <c r="BQ84" s="215" t="s">
        <v>2955</v>
      </c>
      <c r="BR84" s="214" t="s">
        <v>873</v>
      </c>
      <c r="BS84" s="214" t="s">
        <v>873</v>
      </c>
      <c r="BT84" s="215" t="s">
        <v>3070</v>
      </c>
      <c r="BU84" s="214" t="s">
        <v>873</v>
      </c>
      <c r="BV84" s="214" t="s">
        <v>873</v>
      </c>
      <c r="BW84" s="214" t="s">
        <v>3134</v>
      </c>
      <c r="BX84" s="214" t="e">
        <v>#N/A</v>
      </c>
      <c r="BY84" s="214" t="e">
        <v>#N/A</v>
      </c>
      <c r="BZ84" s="214" t="s">
        <v>3501</v>
      </c>
      <c r="CA84" s="449">
        <v>1</v>
      </c>
      <c r="CB84" s="374" t="s">
        <v>3557</v>
      </c>
      <c r="CC84" s="328">
        <v>8</v>
      </c>
      <c r="CD84" s="359">
        <v>8</v>
      </c>
      <c r="CE84" s="382">
        <f t="shared" si="17"/>
        <v>1</v>
      </c>
      <c r="CF84" s="382">
        <f t="shared" si="28"/>
        <v>1</v>
      </c>
      <c r="CG84" s="327" t="s">
        <v>3509</v>
      </c>
      <c r="CH84" s="407" t="str">
        <f t="shared" si="18"/>
        <v xml:space="preserve">Porcentual </v>
      </c>
      <c r="CI84" s="407" t="s">
        <v>3524</v>
      </c>
      <c r="CJ84" s="381">
        <v>3</v>
      </c>
      <c r="CK84" s="378" t="str">
        <f t="shared" si="19"/>
        <v>Dirección de Innovación y Desarrollo</v>
      </c>
      <c r="CL84" s="378" t="str">
        <f t="shared" si="20"/>
        <v>Porcentaje de actividades ejecutadas en cumplimiento del Plan de Tratamiento de Riesgos de Seguridad y Privacidad de la Información</v>
      </c>
      <c r="CM84" s="378" t="str">
        <f t="shared" si="21"/>
        <v>Total de actividades cumplidas del plan de Tratamientos de Riesgos de seguridad y privacidad de la Información de la STI / Total de actividades definidas en el plan de Tratamientos de Riesgos de seguridad y privacidadad de la Información de la STI</v>
      </c>
      <c r="CN84" s="390">
        <f t="shared" si="22"/>
        <v>8</v>
      </c>
      <c r="CO84" s="390">
        <f t="shared" si="23"/>
        <v>8</v>
      </c>
      <c r="CP84" s="387">
        <f t="shared" si="26"/>
        <v>1</v>
      </c>
      <c r="CQ84" s="379">
        <f t="shared" si="24"/>
        <v>1</v>
      </c>
      <c r="CR84" s="379" t="str">
        <f t="shared" si="25"/>
        <v>CUMPLIO</v>
      </c>
      <c r="DB84" s="381"/>
      <c r="DC84" s="381"/>
      <c r="DD84" s="381"/>
      <c r="DE84" s="381"/>
      <c r="DF84" s="381"/>
      <c r="DG84" s="381"/>
    </row>
    <row r="85" spans="1:111" s="83" customFormat="1" ht="127.5" customHeight="1" thickTop="1" thickBot="1">
      <c r="A85" s="83" t="s">
        <v>239</v>
      </c>
      <c r="B85" s="75" t="s">
        <v>237</v>
      </c>
      <c r="C85" s="75" t="s">
        <v>938</v>
      </c>
      <c r="D85" s="75" t="s">
        <v>903</v>
      </c>
      <c r="E85" s="75" t="s">
        <v>1295</v>
      </c>
      <c r="F85" s="75" t="s">
        <v>1296</v>
      </c>
      <c r="G85" s="75" t="s">
        <v>215</v>
      </c>
      <c r="H85" s="75" t="s">
        <v>860</v>
      </c>
      <c r="I85" s="75" t="s">
        <v>918</v>
      </c>
      <c r="J85" s="77" t="s">
        <v>919</v>
      </c>
      <c r="K85" s="75" t="s">
        <v>1297</v>
      </c>
      <c r="L85" s="75" t="s">
        <v>1298</v>
      </c>
      <c r="M85" s="76" t="s">
        <v>240</v>
      </c>
      <c r="N85" s="77" t="s">
        <v>239</v>
      </c>
      <c r="O85" s="76" t="s">
        <v>241</v>
      </c>
      <c r="P85" s="75" t="s">
        <v>1299</v>
      </c>
      <c r="Q85" s="75" t="s">
        <v>1300</v>
      </c>
      <c r="R85" s="75" t="s">
        <v>1301</v>
      </c>
      <c r="S85" s="75" t="s">
        <v>1302</v>
      </c>
      <c r="T85" s="75" t="s">
        <v>892</v>
      </c>
      <c r="U85" s="75" t="s">
        <v>871</v>
      </c>
      <c r="V85" s="75" t="s">
        <v>872</v>
      </c>
      <c r="W85" s="110">
        <v>0.1</v>
      </c>
      <c r="X85" s="311">
        <v>1</v>
      </c>
      <c r="Y85" s="75"/>
      <c r="Z85" s="75"/>
      <c r="AA85" s="110">
        <v>0.15</v>
      </c>
      <c r="AB85" s="111"/>
      <c r="AC85" s="75"/>
      <c r="AD85" s="110">
        <v>0.5</v>
      </c>
      <c r="AE85" s="111"/>
      <c r="AF85" s="111"/>
      <c r="AG85" s="110">
        <v>0.75</v>
      </c>
      <c r="AH85" s="75"/>
      <c r="AI85" s="75"/>
      <c r="AJ85" s="110">
        <v>1</v>
      </c>
      <c r="AK85" s="84" t="s">
        <v>1202</v>
      </c>
      <c r="AL85" s="75" t="s">
        <v>1303</v>
      </c>
      <c r="AM85" s="75" t="s">
        <v>1204</v>
      </c>
      <c r="AN85" s="87">
        <v>218990000</v>
      </c>
      <c r="AO85" s="75" t="s">
        <v>238</v>
      </c>
      <c r="AP85" s="82" t="s">
        <v>239</v>
      </c>
      <c r="AQ85" s="370">
        <f>+VLOOKUP(AP85,SharePoint!$BA$3:$BY$140,2,FALSE)</f>
        <v>0</v>
      </c>
      <c r="AR85" s="370">
        <f>+VLOOKUP(AP85,SharePoint!$BA$3:$BY$140,3,FALSE)</f>
        <v>0</v>
      </c>
      <c r="AS85" s="370">
        <f>+VLOOKUP(AP85,SharePoint!$BA$3:$BY$140,4,FALSE)</f>
        <v>15</v>
      </c>
      <c r="AT85" s="370">
        <f>+VLOOKUP(AP85,SharePoint!$BA$3:$BY$140,5,FALSE)</f>
        <v>0</v>
      </c>
      <c r="AU85" s="370">
        <f>+VLOOKUP(AP85,SharePoint!$BA$3:$BY$140,6,FALSE)</f>
        <v>0</v>
      </c>
      <c r="AV85" s="370">
        <f>+VLOOKUP(AP85,SharePoint!$BA$3:$BY$140,7,FALSE)</f>
        <v>50</v>
      </c>
      <c r="AW85" s="370">
        <f>+VLOOKUP(AP85,SharePoint!$BA$3:$BY$140,8,FALSE)</f>
        <v>0</v>
      </c>
      <c r="AX85" s="370">
        <f>+VLOOKUP(AP85,SharePoint!$BA$3:$BY$140,9,FALSE)</f>
        <v>0</v>
      </c>
      <c r="AY85" s="370">
        <f>+VLOOKUP(AP85,SharePoint!$BA$3:$BY$140,10,FALSE)</f>
        <v>75</v>
      </c>
      <c r="AZ85" s="370">
        <f>+VLOOKUP(AP85,SharePoint!$BA$3:$BY$140,11,FALSE)</f>
        <v>0</v>
      </c>
      <c r="BA85" s="370">
        <f>+VLOOKUP(AP85,SharePoint!$BA$3:$BY$140,12,FALSE)</f>
        <v>0</v>
      </c>
      <c r="BB85" s="370">
        <f>+VLOOKUP(AP85,SharePoint!$BA$3:$BY$140,13,FALSE)</f>
        <v>5</v>
      </c>
      <c r="BC85" s="226">
        <f>+VLOOKUP(AP85,SharePoint!$BA$3:$BY$140,14,FALSE)</f>
        <v>0</v>
      </c>
      <c r="BD85" s="226">
        <f>+VLOOKUP(AP85,SharePoint!$BA$3:$BY$140,15,FALSE)</f>
        <v>0</v>
      </c>
      <c r="BE85" s="226">
        <f>+VLOOKUP(AP85,SharePoint!$BA$3:$BY$140,16,FALSE)</f>
        <v>15</v>
      </c>
      <c r="BF85" s="226">
        <f>+VLOOKUP(AP85,SharePoint!$BA$3:$BY$140,17,FALSE)</f>
        <v>0</v>
      </c>
      <c r="BG85" s="226">
        <f>+VLOOKUP(AP85,SharePoint!$BA$3:$BY$140,18,FALSE)</f>
        <v>0</v>
      </c>
      <c r="BH85" s="226">
        <f>+VLOOKUP(AP85,SharePoint!$BA$3:$BY$140,19,FALSE)</f>
        <v>100</v>
      </c>
      <c r="BI85" s="226">
        <f>+VLOOKUP(AP85,SharePoint!$BA$3:$BY$140,20,FALSE)</f>
        <v>0</v>
      </c>
      <c r="BJ85" s="226">
        <f>+VLOOKUP(AP85,SharePoint!$BA$3:$BY$140,21,FALSE)</f>
        <v>0</v>
      </c>
      <c r="BK85" s="226">
        <f>+VLOOKUP(AP85,SharePoint!$BA$3:$BY$140,22,FALSE)</f>
        <v>100</v>
      </c>
      <c r="BL85" s="226">
        <f>+VLOOKUP(AP85,SharePoint!$BA$3:$BY$140,23,FALSE)</f>
        <v>0</v>
      </c>
      <c r="BM85" s="226">
        <f>+VLOOKUP(AP85,SharePoint!$BA$3:$BY$140,24,FALSE)</f>
        <v>0</v>
      </c>
      <c r="BN85" s="226">
        <f>+VLOOKUP(AP85,SharePoint!$BA$3:$BY$140,25,FALSE)</f>
        <v>5</v>
      </c>
      <c r="BO85" s="214" t="s">
        <v>873</v>
      </c>
      <c r="BP85" s="214" t="s">
        <v>873</v>
      </c>
      <c r="BQ85" s="214" t="s">
        <v>3071</v>
      </c>
      <c r="BR85" s="214" t="s">
        <v>873</v>
      </c>
      <c r="BS85" s="214" t="s">
        <v>873</v>
      </c>
      <c r="BT85" s="215" t="s">
        <v>3072</v>
      </c>
      <c r="BU85" s="214" t="s">
        <v>873</v>
      </c>
      <c r="BV85" s="214" t="s">
        <v>873</v>
      </c>
      <c r="BW85" s="214" t="s">
        <v>2948</v>
      </c>
      <c r="BX85" s="214" t="s">
        <v>875</v>
      </c>
      <c r="BY85" s="214" t="s">
        <v>875</v>
      </c>
      <c r="BZ85" s="342" t="s">
        <v>3357</v>
      </c>
      <c r="CA85" s="449">
        <v>2</v>
      </c>
      <c r="CB85" s="374" t="s">
        <v>3558</v>
      </c>
      <c r="CC85" s="424">
        <v>19</v>
      </c>
      <c r="CD85" s="424">
        <v>19</v>
      </c>
      <c r="CE85" s="425">
        <f t="shared" si="17"/>
        <v>1</v>
      </c>
      <c r="CF85" s="425">
        <f t="shared" si="28"/>
        <v>1</v>
      </c>
      <c r="CG85" s="407" t="s">
        <v>3530</v>
      </c>
      <c r="CH85" s="426" t="str">
        <f t="shared" si="18"/>
        <v xml:space="preserve">Porcentual </v>
      </c>
      <c r="CI85" s="327"/>
      <c r="CJ85" s="381">
        <v>4</v>
      </c>
      <c r="CK85" s="376" t="str">
        <f t="shared" si="19"/>
        <v>Dirección de Innovación y Desarrollo</v>
      </c>
      <c r="CL85" s="376" t="str">
        <f t="shared" si="20"/>
        <v>Porcentaje de implementación del Sistema de Gestión de Innovación</v>
      </c>
      <c r="CM85" s="376" t="str">
        <f t="shared" si="21"/>
        <v>Número de actividades ejecutadas para el fortalecimiento del Sistema de Gestión de Innovación de la Superintendencia Nacional de Salud /  Número de actividades definidas para el fortalecimiento del Sistema de Gestión de Innovación de la Superintendencia Nacional de Salud * 100</v>
      </c>
      <c r="CN85" s="389">
        <f t="shared" si="22"/>
        <v>19</v>
      </c>
      <c r="CO85" s="389">
        <f t="shared" si="23"/>
        <v>19</v>
      </c>
      <c r="CP85" s="388">
        <f t="shared" si="26"/>
        <v>1</v>
      </c>
      <c r="CQ85" s="377">
        <f t="shared" si="24"/>
        <v>1</v>
      </c>
      <c r="CR85" s="377" t="str">
        <f t="shared" si="25"/>
        <v>cUMPLIO</v>
      </c>
      <c r="DB85" s="381"/>
      <c r="DC85" s="381"/>
      <c r="DD85" s="381"/>
      <c r="DE85" s="381"/>
      <c r="DF85" s="381"/>
      <c r="DG85" s="381"/>
    </row>
    <row r="86" spans="1:111" s="83" customFormat="1" ht="127.5" customHeight="1" thickTop="1" thickBot="1">
      <c r="A86" s="83" t="s">
        <v>358</v>
      </c>
      <c r="B86" s="97" t="s">
        <v>237</v>
      </c>
      <c r="C86" s="97" t="s">
        <v>938</v>
      </c>
      <c r="D86" s="97" t="s">
        <v>903</v>
      </c>
      <c r="E86" s="77" t="s">
        <v>1295</v>
      </c>
      <c r="F86" s="77" t="s">
        <v>1296</v>
      </c>
      <c r="G86" s="77" t="s">
        <v>215</v>
      </c>
      <c r="H86" s="75" t="s">
        <v>860</v>
      </c>
      <c r="I86" s="77" t="s">
        <v>918</v>
      </c>
      <c r="J86" s="77" t="s">
        <v>919</v>
      </c>
      <c r="K86" s="77" t="s">
        <v>1297</v>
      </c>
      <c r="L86" s="77" t="s">
        <v>1298</v>
      </c>
      <c r="M86" s="77" t="s">
        <v>1304</v>
      </c>
      <c r="N86" s="77" t="s">
        <v>358</v>
      </c>
      <c r="O86" s="76" t="s">
        <v>517</v>
      </c>
      <c r="P86" s="76" t="s">
        <v>518</v>
      </c>
      <c r="Q86" s="76" t="s">
        <v>518</v>
      </c>
      <c r="R86" s="77" t="s">
        <v>876</v>
      </c>
      <c r="S86" s="76" t="s">
        <v>1305</v>
      </c>
      <c r="T86" s="77" t="s">
        <v>870</v>
      </c>
      <c r="U86" s="77" t="s">
        <v>157</v>
      </c>
      <c r="V86" s="77" t="s">
        <v>988</v>
      </c>
      <c r="W86" s="78">
        <v>0</v>
      </c>
      <c r="X86" s="299">
        <v>1</v>
      </c>
      <c r="Y86" s="77"/>
      <c r="Z86" s="77"/>
      <c r="AA86" s="76">
        <v>0.5</v>
      </c>
      <c r="AB86" s="88"/>
      <c r="AC86" s="77"/>
      <c r="AD86" s="76">
        <v>1</v>
      </c>
      <c r="AE86" s="88"/>
      <c r="AF86" s="88"/>
      <c r="AG86" s="78"/>
      <c r="AH86" s="77"/>
      <c r="AI86" s="77"/>
      <c r="AJ86" s="78"/>
      <c r="AK86" s="76" t="s">
        <v>873</v>
      </c>
      <c r="AL86" s="76" t="s">
        <v>873</v>
      </c>
      <c r="AM86" s="76" t="s">
        <v>873</v>
      </c>
      <c r="AN86" s="76" t="s">
        <v>873</v>
      </c>
      <c r="AO86" s="76" t="s">
        <v>238</v>
      </c>
      <c r="AP86" s="82" t="s">
        <v>358</v>
      </c>
      <c r="AQ86" s="370">
        <f>+VLOOKUP(AP86,SharePoint!$BA$3:$BY$140,2,FALSE)</f>
        <v>0</v>
      </c>
      <c r="AR86" s="370">
        <f>+VLOOKUP(AP86,SharePoint!$BA$3:$BY$140,3,FALSE)</f>
        <v>0</v>
      </c>
      <c r="AS86" s="370">
        <f>+VLOOKUP(AP86,SharePoint!$BA$3:$BY$140,4,FALSE)</f>
        <v>0.5</v>
      </c>
      <c r="AT86" s="370">
        <f>+VLOOKUP(AP86,SharePoint!$BA$3:$BY$140,5,FALSE)</f>
        <v>0</v>
      </c>
      <c r="AU86" s="370">
        <f>+VLOOKUP(AP86,SharePoint!$BA$3:$BY$140,6,FALSE)</f>
        <v>0</v>
      </c>
      <c r="AV86" s="370">
        <f>+VLOOKUP(AP86,SharePoint!$BA$3:$BY$140,7,FALSE)</f>
        <v>1</v>
      </c>
      <c r="AW86" s="370">
        <f>+VLOOKUP(AP86,SharePoint!$BA$3:$BY$140,8,FALSE)</f>
        <v>0</v>
      </c>
      <c r="AX86" s="370">
        <f>+VLOOKUP(AP86,SharePoint!$BA$3:$BY$140,9,FALSE)</f>
        <v>0</v>
      </c>
      <c r="AY86" s="370">
        <f>+VLOOKUP(AP86,SharePoint!$BA$3:$BY$140,10,FALSE)</f>
        <v>0</v>
      </c>
      <c r="AZ86" s="370">
        <f>+VLOOKUP(AP86,SharePoint!$BA$3:$BY$140,11,FALSE)</f>
        <v>0</v>
      </c>
      <c r="BA86" s="370">
        <f>+VLOOKUP(AP86,SharePoint!$BA$3:$BY$140,12,FALSE)</f>
        <v>0</v>
      </c>
      <c r="BB86" s="370">
        <f>+VLOOKUP(AP86,SharePoint!$BA$3:$BY$140,13,FALSE)</f>
        <v>0</v>
      </c>
      <c r="BC86" s="226">
        <f>+VLOOKUP(AP86,SharePoint!$BA$3:$BY$140,14,FALSE)</f>
        <v>0</v>
      </c>
      <c r="BD86" s="226">
        <f>+VLOOKUP(AP86,SharePoint!$BA$3:$BY$140,15,FALSE)</f>
        <v>0</v>
      </c>
      <c r="BE86" s="226">
        <f>+VLOOKUP(AP86,SharePoint!$BA$3:$BY$140,16,FALSE)</f>
        <v>0</v>
      </c>
      <c r="BF86" s="226">
        <f>+VLOOKUP(AP86,SharePoint!$BA$3:$BY$140,17,FALSE)</f>
        <v>0</v>
      </c>
      <c r="BG86" s="226">
        <f>+VLOOKUP(AP86,SharePoint!$BA$3:$BY$140,18,FALSE)</f>
        <v>0</v>
      </c>
      <c r="BH86" s="226">
        <f>+VLOOKUP(AP86,SharePoint!$BA$3:$BY$140,19,FALSE)</f>
        <v>1</v>
      </c>
      <c r="BI86" s="226">
        <f>+VLOOKUP(AP86,SharePoint!$BA$3:$BY$140,20,FALSE)</f>
        <v>0</v>
      </c>
      <c r="BJ86" s="226">
        <f>+VLOOKUP(AP86,SharePoint!$BA$3:$BY$140,21,FALSE)</f>
        <v>0</v>
      </c>
      <c r="BK86" s="226">
        <f>+VLOOKUP(AP86,SharePoint!$BA$3:$BY$140,22,FALSE)</f>
        <v>0</v>
      </c>
      <c r="BL86" s="226">
        <f>+VLOOKUP(AP86,SharePoint!$BA$3:$BY$140,23,FALSE)</f>
        <v>0</v>
      </c>
      <c r="BM86" s="226">
        <f>+VLOOKUP(AP86,SharePoint!$BA$3:$BY$140,24,FALSE)</f>
        <v>0</v>
      </c>
      <c r="BN86" s="226">
        <f>+VLOOKUP(AP86,SharePoint!$BA$3:$BY$140,25,FALSE)</f>
        <v>0</v>
      </c>
      <c r="BO86" s="214" t="s">
        <v>873</v>
      </c>
      <c r="BP86" s="214" t="s">
        <v>873</v>
      </c>
      <c r="BQ86" s="215" t="s">
        <v>519</v>
      </c>
      <c r="BR86" s="214" t="s">
        <v>873</v>
      </c>
      <c r="BS86" s="214" t="s">
        <v>873</v>
      </c>
      <c r="BT86" s="215" t="s">
        <v>709</v>
      </c>
      <c r="BU86" s="214" t="s">
        <v>873</v>
      </c>
      <c r="BV86" s="214" t="s">
        <v>873</v>
      </c>
      <c r="BW86" s="214" t="s">
        <v>873</v>
      </c>
      <c r="BX86" s="214" t="e">
        <v>#N/A</v>
      </c>
      <c r="BY86" s="214" t="e">
        <v>#N/A</v>
      </c>
      <c r="BZ86" s="214" t="e">
        <v>#N/A</v>
      </c>
      <c r="CA86" s="449">
        <v>2</v>
      </c>
      <c r="CB86" s="374" t="s">
        <v>3548</v>
      </c>
      <c r="CC86" s="328">
        <v>1</v>
      </c>
      <c r="CD86" s="359">
        <f t="shared" si="16"/>
        <v>1</v>
      </c>
      <c r="CE86" s="343">
        <f t="shared" si="17"/>
        <v>1</v>
      </c>
      <c r="CF86" s="381">
        <f t="shared" si="28"/>
        <v>1</v>
      </c>
      <c r="CG86" s="327" t="s">
        <v>3509</v>
      </c>
      <c r="CH86" s="327" t="str">
        <f t="shared" si="18"/>
        <v>Numérica</v>
      </c>
      <c r="CI86" s="327"/>
      <c r="CJ86" s="381">
        <v>5</v>
      </c>
      <c r="CK86" s="378" t="str">
        <f t="shared" si="19"/>
        <v>Dirección de Innovación y Desarrollo</v>
      </c>
      <c r="CL86" s="378" t="str">
        <f t="shared" si="20"/>
        <v>Programa de Gestión del Conocimiento diseñado</v>
      </c>
      <c r="CM86" s="378" t="str">
        <f t="shared" si="21"/>
        <v>Avance en el programa de Gestión del Conocimiento diseñado</v>
      </c>
      <c r="CN86" s="390">
        <f t="shared" si="22"/>
        <v>1</v>
      </c>
      <c r="CO86" s="390">
        <f t="shared" si="23"/>
        <v>1</v>
      </c>
      <c r="CP86" s="387">
        <f t="shared" si="26"/>
        <v>1</v>
      </c>
      <c r="CQ86" s="378">
        <f t="shared" si="24"/>
        <v>1</v>
      </c>
      <c r="CR86" s="379" t="str">
        <f t="shared" si="25"/>
        <v>CUMPLIO</v>
      </c>
      <c r="DB86" s="381"/>
      <c r="DC86" s="381"/>
      <c r="DD86" s="381"/>
      <c r="DE86" s="381"/>
      <c r="DF86" s="381"/>
      <c r="DG86" s="381"/>
    </row>
    <row r="87" spans="1:111" s="83" customFormat="1" ht="127.5" customHeight="1" thickTop="1" thickBot="1">
      <c r="A87" s="83" t="s">
        <v>1306</v>
      </c>
      <c r="B87" s="97" t="s">
        <v>237</v>
      </c>
      <c r="C87" s="97" t="s">
        <v>938</v>
      </c>
      <c r="D87" s="97" t="s">
        <v>903</v>
      </c>
      <c r="E87" s="77" t="s">
        <v>1295</v>
      </c>
      <c r="F87" s="77" t="s">
        <v>1296</v>
      </c>
      <c r="G87" s="77" t="s">
        <v>215</v>
      </c>
      <c r="H87" s="75" t="s">
        <v>860</v>
      </c>
      <c r="I87" s="77" t="s">
        <v>918</v>
      </c>
      <c r="J87" s="77" t="s">
        <v>919</v>
      </c>
      <c r="K87" s="77" t="s">
        <v>1297</v>
      </c>
      <c r="L87" s="77" t="s">
        <v>1298</v>
      </c>
      <c r="M87" s="77" t="s">
        <v>1307</v>
      </c>
      <c r="N87" s="76" t="s">
        <v>1306</v>
      </c>
      <c r="O87" s="76" t="s">
        <v>1308</v>
      </c>
      <c r="P87" s="76" t="s">
        <v>1309</v>
      </c>
      <c r="Q87" s="76" t="s">
        <v>1310</v>
      </c>
      <c r="R87" s="76" t="s">
        <v>1311</v>
      </c>
      <c r="S87" s="76" t="s">
        <v>1312</v>
      </c>
      <c r="T87" s="77" t="s">
        <v>892</v>
      </c>
      <c r="U87" s="76" t="s">
        <v>871</v>
      </c>
      <c r="V87" s="77" t="s">
        <v>988</v>
      </c>
      <c r="W87" s="76">
        <v>0</v>
      </c>
      <c r="X87" s="311">
        <v>1</v>
      </c>
      <c r="Y87" s="77" t="s">
        <v>1057</v>
      </c>
      <c r="Z87" s="77" t="s">
        <v>1057</v>
      </c>
      <c r="AA87" s="77" t="s">
        <v>1057</v>
      </c>
      <c r="AB87" s="77" t="s">
        <v>1057</v>
      </c>
      <c r="AC87" s="77" t="s">
        <v>1057</v>
      </c>
      <c r="AD87" s="77" t="s">
        <v>1057</v>
      </c>
      <c r="AE87" s="77" t="s">
        <v>1057</v>
      </c>
      <c r="AF87" s="77" t="s">
        <v>1057</v>
      </c>
      <c r="AG87" s="78">
        <v>0.5</v>
      </c>
      <c r="AH87" s="77" t="s">
        <v>1057</v>
      </c>
      <c r="AI87" s="77" t="s">
        <v>1057</v>
      </c>
      <c r="AJ87" s="78">
        <v>1</v>
      </c>
      <c r="AK87" s="76" t="s">
        <v>873</v>
      </c>
      <c r="AL87" s="76" t="s">
        <v>873</v>
      </c>
      <c r="AM87" s="76" t="s">
        <v>873</v>
      </c>
      <c r="AN87" s="76" t="s">
        <v>873</v>
      </c>
      <c r="AO87" s="77" t="s">
        <v>238</v>
      </c>
      <c r="AP87" s="82" t="s">
        <v>1306</v>
      </c>
      <c r="AQ87" s="370">
        <f>+VLOOKUP(AP87,SharePoint!$BA$3:$BY$140,2,FALSE)</f>
        <v>0</v>
      </c>
      <c r="AR87" s="370">
        <f>+VLOOKUP(AP87,SharePoint!$BA$3:$BY$140,3,FALSE)</f>
        <v>0</v>
      </c>
      <c r="AS87" s="370">
        <f>+VLOOKUP(AP87,SharePoint!$BA$3:$BY$140,4,FALSE)</f>
        <v>0</v>
      </c>
      <c r="AT87" s="370">
        <f>+VLOOKUP(AP87,SharePoint!$BA$3:$BY$140,5,FALSE)</f>
        <v>0</v>
      </c>
      <c r="AU87" s="370">
        <f>+VLOOKUP(AP87,SharePoint!$BA$3:$BY$140,6,FALSE)</f>
        <v>0</v>
      </c>
      <c r="AV87" s="370">
        <f>+VLOOKUP(AP87,SharePoint!$BA$3:$BY$140,7,FALSE)</f>
        <v>0</v>
      </c>
      <c r="AW87" s="370">
        <f>+VLOOKUP(AP87,SharePoint!$BA$3:$BY$140,8,FALSE)</f>
        <v>0</v>
      </c>
      <c r="AX87" s="370">
        <f>+VLOOKUP(AP87,SharePoint!$BA$3:$BY$140,9,FALSE)</f>
        <v>0</v>
      </c>
      <c r="AY87" s="370">
        <f>+VLOOKUP(AP87,SharePoint!$BA$3:$BY$140,10,FALSE)</f>
        <v>0.5</v>
      </c>
      <c r="AZ87" s="370">
        <f>+VLOOKUP(AP87,SharePoint!$BA$3:$BY$140,11,FALSE)</f>
        <v>0</v>
      </c>
      <c r="BA87" s="370">
        <f>+VLOOKUP(AP87,SharePoint!$BA$3:$BY$140,12,FALSE)</f>
        <v>0</v>
      </c>
      <c r="BB87" s="370">
        <f>+VLOOKUP(AP87,SharePoint!$BA$3:$BY$140,13,FALSE)</f>
        <v>1</v>
      </c>
      <c r="BC87" s="226">
        <f>+VLOOKUP(AP87,SharePoint!$BA$3:$BY$140,14,FALSE)</f>
        <v>0</v>
      </c>
      <c r="BD87" s="226">
        <f>+VLOOKUP(AP87,SharePoint!$BA$3:$BY$140,15,FALSE)</f>
        <v>0</v>
      </c>
      <c r="BE87" s="226">
        <f>+VLOOKUP(AP87,SharePoint!$BA$3:$BY$140,16,FALSE)</f>
        <v>0</v>
      </c>
      <c r="BF87" s="226">
        <f>+VLOOKUP(AP87,SharePoint!$BA$3:$BY$140,17,FALSE)</f>
        <v>0</v>
      </c>
      <c r="BG87" s="226">
        <f>+VLOOKUP(AP87,SharePoint!$BA$3:$BY$140,18,FALSE)</f>
        <v>0</v>
      </c>
      <c r="BH87" s="226">
        <f>+VLOOKUP(AP87,SharePoint!$BA$3:$BY$140,19,FALSE)</f>
        <v>0</v>
      </c>
      <c r="BI87" s="226">
        <f>+VLOOKUP(AP87,SharePoint!$BA$3:$BY$140,20,FALSE)</f>
        <v>0</v>
      </c>
      <c r="BJ87" s="226">
        <f>+VLOOKUP(AP87,SharePoint!$BA$3:$BY$140,21,FALSE)</f>
        <v>0</v>
      </c>
      <c r="BK87" s="226">
        <f>+VLOOKUP(AP87,SharePoint!$BA$3:$BY$140,22,FALSE)</f>
        <v>1</v>
      </c>
      <c r="BL87" s="226">
        <f>+VLOOKUP(AP87,SharePoint!$BA$3:$BY$140,23,FALSE)</f>
        <v>0</v>
      </c>
      <c r="BM87" s="226">
        <f>+VLOOKUP(AP87,SharePoint!$BA$3:$BY$140,24,FALSE)</f>
        <v>0</v>
      </c>
      <c r="BN87" s="226">
        <f>+VLOOKUP(AP87,SharePoint!$BA$3:$BY$140,25,FALSE)</f>
        <v>1</v>
      </c>
      <c r="BO87" s="214" t="s">
        <v>873</v>
      </c>
      <c r="BP87" s="214" t="s">
        <v>873</v>
      </c>
      <c r="BQ87" s="214" t="s">
        <v>873</v>
      </c>
      <c r="BR87" s="214" t="s">
        <v>873</v>
      </c>
      <c r="BS87" s="214" t="s">
        <v>873</v>
      </c>
      <c r="BT87" s="214" t="s">
        <v>873</v>
      </c>
      <c r="BU87" s="214" t="s">
        <v>873</v>
      </c>
      <c r="BV87" s="214" t="s">
        <v>873</v>
      </c>
      <c r="BW87" s="214" t="s">
        <v>2888</v>
      </c>
      <c r="BX87" s="214" t="s">
        <v>875</v>
      </c>
      <c r="BY87" s="214" t="s">
        <v>875</v>
      </c>
      <c r="BZ87" s="214" t="s">
        <v>3360</v>
      </c>
      <c r="CA87" s="449">
        <v>1</v>
      </c>
      <c r="CB87" s="373" t="s">
        <v>3559</v>
      </c>
      <c r="CC87" s="458">
        <v>1</v>
      </c>
      <c r="CD87" s="458">
        <v>1</v>
      </c>
      <c r="CE87" s="382">
        <f t="shared" si="17"/>
        <v>1</v>
      </c>
      <c r="CF87" s="382">
        <f t="shared" si="28"/>
        <v>1</v>
      </c>
      <c r="CG87" s="327" t="s">
        <v>3509</v>
      </c>
      <c r="CH87" s="327" t="str">
        <f t="shared" si="18"/>
        <v xml:space="preserve">Porcentual </v>
      </c>
      <c r="CI87" s="327"/>
      <c r="CJ87" s="381">
        <v>1</v>
      </c>
      <c r="CK87" s="376" t="str">
        <f t="shared" si="19"/>
        <v>Dirección de Innovación y Desarrollo</v>
      </c>
      <c r="CL87" s="376" t="str">
        <f t="shared" si="20"/>
        <v>Porcentaje de Implementación del Programa de Gestión del Conocimiento</v>
      </c>
      <c r="CM87" s="376" t="str">
        <f t="shared" si="21"/>
        <v>Número de actividades ejecutadas para la implementación del Programa de Gestión del Conocimiento /  Número de actividades definidas para la implementación en la vigencia 2025 Programa de Gestión del Conocimiento *100</v>
      </c>
      <c r="CN87" s="389">
        <f t="shared" si="22"/>
        <v>1</v>
      </c>
      <c r="CO87" s="389">
        <f t="shared" si="23"/>
        <v>1</v>
      </c>
      <c r="CP87" s="388">
        <f t="shared" si="26"/>
        <v>1</v>
      </c>
      <c r="CQ87" s="377">
        <f t="shared" si="24"/>
        <v>1</v>
      </c>
      <c r="CR87" s="377" t="str">
        <f t="shared" si="25"/>
        <v>CUMPLIO</v>
      </c>
      <c r="DB87" s="381"/>
      <c r="DC87" s="381"/>
      <c r="DD87" s="381"/>
      <c r="DE87" s="381"/>
      <c r="DF87" s="381"/>
      <c r="DG87" s="381"/>
    </row>
    <row r="88" spans="1:111" s="83" customFormat="1" ht="127.5" customHeight="1" thickTop="1" thickBot="1">
      <c r="A88" s="83" t="s">
        <v>1313</v>
      </c>
      <c r="B88" s="75" t="s">
        <v>237</v>
      </c>
      <c r="C88" s="75" t="s">
        <v>938</v>
      </c>
      <c r="D88" s="97" t="s">
        <v>903</v>
      </c>
      <c r="E88" s="76" t="s">
        <v>858</v>
      </c>
      <c r="F88" s="76" t="s">
        <v>1314</v>
      </c>
      <c r="G88" s="77" t="s">
        <v>215</v>
      </c>
      <c r="H88" s="75" t="s">
        <v>886</v>
      </c>
      <c r="I88" s="76" t="s">
        <v>1234</v>
      </c>
      <c r="J88" s="76" t="s">
        <v>1235</v>
      </c>
      <c r="K88" s="76" t="s">
        <v>1033</v>
      </c>
      <c r="L88" s="77" t="s">
        <v>875</v>
      </c>
      <c r="M88" s="76" t="s">
        <v>1315</v>
      </c>
      <c r="N88" s="76" t="s">
        <v>1313</v>
      </c>
      <c r="O88" s="76" t="s">
        <v>1316</v>
      </c>
      <c r="P88" s="76" t="s">
        <v>1317</v>
      </c>
      <c r="Q88" s="76" t="s">
        <v>1317</v>
      </c>
      <c r="R88" s="77" t="s">
        <v>876</v>
      </c>
      <c r="S88" s="76" t="s">
        <v>1318</v>
      </c>
      <c r="T88" s="76" t="s">
        <v>870</v>
      </c>
      <c r="U88" s="76" t="s">
        <v>157</v>
      </c>
      <c r="V88" s="76" t="s">
        <v>988</v>
      </c>
      <c r="W88" s="85">
        <v>0</v>
      </c>
      <c r="X88" s="312">
        <v>1</v>
      </c>
      <c r="Y88" s="76"/>
      <c r="Z88" s="76"/>
      <c r="AA88" s="76"/>
      <c r="AB88" s="76"/>
      <c r="AC88" s="76"/>
      <c r="AD88" s="76"/>
      <c r="AE88" s="113">
        <v>0.5</v>
      </c>
      <c r="AF88" s="76"/>
      <c r="AG88" s="78"/>
      <c r="AH88" s="76"/>
      <c r="AI88" s="76"/>
      <c r="AJ88" s="112">
        <v>1</v>
      </c>
      <c r="AK88" s="86" t="s">
        <v>899</v>
      </c>
      <c r="AL88" s="76" t="s">
        <v>1319</v>
      </c>
      <c r="AM88" s="76" t="s">
        <v>901</v>
      </c>
      <c r="AN88" s="87">
        <v>434846424</v>
      </c>
      <c r="AO88" s="76" t="s">
        <v>238</v>
      </c>
      <c r="AP88" s="82" t="s">
        <v>1313</v>
      </c>
      <c r="AQ88" s="370">
        <f>+VLOOKUP(AP88,SharePoint!$BA$3:$BY$140,2,FALSE)</f>
        <v>0</v>
      </c>
      <c r="AR88" s="370">
        <f>+VLOOKUP(AP88,SharePoint!$BA$3:$BY$140,3,FALSE)</f>
        <v>0</v>
      </c>
      <c r="AS88" s="370">
        <f>+VLOOKUP(AP88,SharePoint!$BA$3:$BY$140,4,FALSE)</f>
        <v>0</v>
      </c>
      <c r="AT88" s="370">
        <f>+VLOOKUP(AP88,SharePoint!$BA$3:$BY$140,5,FALSE)</f>
        <v>0</v>
      </c>
      <c r="AU88" s="370">
        <f>+VLOOKUP(AP88,SharePoint!$BA$3:$BY$140,6,FALSE)</f>
        <v>0</v>
      </c>
      <c r="AV88" s="370">
        <f>+VLOOKUP(AP88,SharePoint!$BA$3:$BY$140,7,FALSE)</f>
        <v>0</v>
      </c>
      <c r="AW88" s="370">
        <f>+VLOOKUP(AP88,SharePoint!$BA$3:$BY$140,8,FALSE)</f>
        <v>0.5</v>
      </c>
      <c r="AX88" s="370">
        <f>+VLOOKUP(AP88,SharePoint!$BA$3:$BY$140,9,FALSE)</f>
        <v>0</v>
      </c>
      <c r="AY88" s="370">
        <f>+VLOOKUP(AP88,SharePoint!$BA$3:$BY$140,10,FALSE)</f>
        <v>0</v>
      </c>
      <c r="AZ88" s="370">
        <f>+VLOOKUP(AP88,SharePoint!$BA$3:$BY$140,11,FALSE)</f>
        <v>0</v>
      </c>
      <c r="BA88" s="370">
        <f>+VLOOKUP(AP88,SharePoint!$BA$3:$BY$140,12,FALSE)</f>
        <v>0</v>
      </c>
      <c r="BB88" s="370">
        <f>+VLOOKUP(AP88,SharePoint!$BA$3:$BY$140,13,FALSE)</f>
        <v>1</v>
      </c>
      <c r="BC88" s="226">
        <f>+VLOOKUP(AP88,SharePoint!$BA$3:$BY$140,14,FALSE)</f>
        <v>0</v>
      </c>
      <c r="BD88" s="226">
        <f>+VLOOKUP(AP88,SharePoint!$BA$3:$BY$140,15,FALSE)</f>
        <v>0</v>
      </c>
      <c r="BE88" s="226">
        <f>+VLOOKUP(AP88,SharePoint!$BA$3:$BY$140,16,FALSE)</f>
        <v>0</v>
      </c>
      <c r="BF88" s="226">
        <f>+VLOOKUP(AP88,SharePoint!$BA$3:$BY$140,17,FALSE)</f>
        <v>0</v>
      </c>
      <c r="BG88" s="226">
        <f>+VLOOKUP(AP88,SharePoint!$BA$3:$BY$140,18,FALSE)</f>
        <v>0</v>
      </c>
      <c r="BH88" s="226">
        <f>+VLOOKUP(AP88,SharePoint!$BA$3:$BY$140,19,FALSE)</f>
        <v>0</v>
      </c>
      <c r="BI88" s="226">
        <f>+VLOOKUP(AP88,SharePoint!$BA$3:$BY$140,20,FALSE)</f>
        <v>1</v>
      </c>
      <c r="BJ88" s="226">
        <f>+VLOOKUP(AP88,SharePoint!$BA$3:$BY$140,21,FALSE)</f>
        <v>0</v>
      </c>
      <c r="BK88" s="226">
        <f>+VLOOKUP(AP88,SharePoint!$BA$3:$BY$140,22,FALSE)</f>
        <v>0</v>
      </c>
      <c r="BL88" s="226">
        <f>+VLOOKUP(AP88,SharePoint!$BA$3:$BY$140,23,FALSE)</f>
        <v>0</v>
      </c>
      <c r="BM88" s="226">
        <f>+VLOOKUP(AP88,SharePoint!$BA$3:$BY$140,24,FALSE)</f>
        <v>0</v>
      </c>
      <c r="BN88" s="226">
        <f>+VLOOKUP(AP88,SharePoint!$BA$3:$BY$140,25,FALSE)</f>
        <v>1</v>
      </c>
      <c r="BO88" s="214" t="s">
        <v>873</v>
      </c>
      <c r="BP88" s="214" t="s">
        <v>873</v>
      </c>
      <c r="BQ88" s="214" t="s">
        <v>873</v>
      </c>
      <c r="BR88" s="214" t="s">
        <v>873</v>
      </c>
      <c r="BS88" s="214" t="s">
        <v>873</v>
      </c>
      <c r="BT88" s="214" t="s">
        <v>873</v>
      </c>
      <c r="BU88" s="214" t="s">
        <v>2881</v>
      </c>
      <c r="BV88" s="214" t="s">
        <v>873</v>
      </c>
      <c r="BW88" s="214" t="s">
        <v>873</v>
      </c>
      <c r="BX88" s="214">
        <v>0</v>
      </c>
      <c r="BY88" s="214">
        <v>0</v>
      </c>
      <c r="BZ88" s="214" t="s">
        <v>3402</v>
      </c>
      <c r="CA88" s="449">
        <v>1</v>
      </c>
      <c r="CB88" s="373" t="s">
        <v>3541</v>
      </c>
      <c r="CC88" s="328">
        <v>1</v>
      </c>
      <c r="CD88" s="328">
        <v>1</v>
      </c>
      <c r="CE88" s="343">
        <f t="shared" si="17"/>
        <v>1</v>
      </c>
      <c r="CF88" s="381">
        <f t="shared" si="28"/>
        <v>1</v>
      </c>
      <c r="CG88" s="327" t="s">
        <v>3509</v>
      </c>
      <c r="CH88" s="327" t="str">
        <f t="shared" si="18"/>
        <v>Numérica</v>
      </c>
      <c r="CI88" s="327"/>
      <c r="CJ88" s="381">
        <v>2</v>
      </c>
      <c r="CK88" s="378" t="str">
        <f t="shared" si="19"/>
        <v>Dirección de Innovación y Desarrollo</v>
      </c>
      <c r="CL88" s="378" t="str">
        <f t="shared" si="20"/>
        <v>Actividades correspondientes para realizar la convocatoria que permita fortalecer y actualizar el registro de agentes Liquidadores, Interventores y Contralores - RILCO</v>
      </c>
      <c r="CM88" s="378" t="str">
        <f t="shared" si="21"/>
        <v>Número de  actividades ejecutadas para realizar la convocatoria que permita fortalecer y actualizar el registro de agentes Liquidadores, Interventores y Contralores - RILCO</v>
      </c>
      <c r="CN88" s="390">
        <f t="shared" si="22"/>
        <v>1</v>
      </c>
      <c r="CO88" s="390">
        <f t="shared" si="23"/>
        <v>1</v>
      </c>
      <c r="CP88" s="387">
        <f t="shared" si="26"/>
        <v>1</v>
      </c>
      <c r="CQ88" s="378">
        <f t="shared" si="24"/>
        <v>1</v>
      </c>
      <c r="CR88" s="379" t="str">
        <f t="shared" si="25"/>
        <v>CUMPLIO</v>
      </c>
      <c r="DB88" s="381"/>
      <c r="DC88" s="381"/>
      <c r="DD88" s="381"/>
      <c r="DE88" s="381"/>
      <c r="DF88" s="381"/>
      <c r="DG88" s="381"/>
    </row>
    <row r="89" spans="1:111" s="83" customFormat="1" ht="127.5" customHeight="1" thickTop="1" thickBot="1">
      <c r="A89" s="83" t="s">
        <v>1320</v>
      </c>
      <c r="B89" s="75" t="s">
        <v>237</v>
      </c>
      <c r="C89" s="75" t="s">
        <v>938</v>
      </c>
      <c r="D89" s="97" t="s">
        <v>903</v>
      </c>
      <c r="E89" s="76" t="s">
        <v>1321</v>
      </c>
      <c r="F89" s="76" t="s">
        <v>1322</v>
      </c>
      <c r="G89" s="77" t="s">
        <v>215</v>
      </c>
      <c r="H89" s="75" t="s">
        <v>860</v>
      </c>
      <c r="I89" s="76" t="s">
        <v>1234</v>
      </c>
      <c r="J89" s="76" t="s">
        <v>1235</v>
      </c>
      <c r="K89" s="76" t="s">
        <v>1323</v>
      </c>
      <c r="L89" s="77" t="s">
        <v>1324</v>
      </c>
      <c r="M89" s="76" t="s">
        <v>1325</v>
      </c>
      <c r="N89" s="76" t="s">
        <v>1320</v>
      </c>
      <c r="O89" s="76" t="s">
        <v>1326</v>
      </c>
      <c r="P89" s="76" t="s">
        <v>1327</v>
      </c>
      <c r="Q89" s="76" t="s">
        <v>1328</v>
      </c>
      <c r="R89" s="76" t="s">
        <v>1329</v>
      </c>
      <c r="S89" s="76" t="s">
        <v>1330</v>
      </c>
      <c r="T89" s="76" t="s">
        <v>892</v>
      </c>
      <c r="U89" s="76" t="s">
        <v>871</v>
      </c>
      <c r="V89" s="76" t="s">
        <v>910</v>
      </c>
      <c r="W89" s="76">
        <v>0</v>
      </c>
      <c r="X89" s="303">
        <v>1</v>
      </c>
      <c r="Y89" s="76"/>
      <c r="Z89" s="76"/>
      <c r="AA89" s="79"/>
      <c r="AB89" s="79">
        <v>0.33300000000000002</v>
      </c>
      <c r="AC89" s="76"/>
      <c r="AD89" s="79"/>
      <c r="AE89" s="76"/>
      <c r="AF89" s="79">
        <v>0.33</v>
      </c>
      <c r="AG89" s="79"/>
      <c r="AH89" s="76"/>
      <c r="AI89" s="76"/>
      <c r="AJ89" s="79">
        <v>0.33</v>
      </c>
      <c r="AK89" s="76" t="s">
        <v>873</v>
      </c>
      <c r="AL89" s="76" t="s">
        <v>873</v>
      </c>
      <c r="AM89" s="76" t="s">
        <v>873</v>
      </c>
      <c r="AN89" s="76" t="s">
        <v>873</v>
      </c>
      <c r="AO89" s="76" t="s">
        <v>238</v>
      </c>
      <c r="AP89" s="82" t="s">
        <v>1320</v>
      </c>
      <c r="AQ89" s="370">
        <f>+VLOOKUP(AP89,SharePoint!$BA$3:$BY$140,2,FALSE)</f>
        <v>0</v>
      </c>
      <c r="AR89" s="370">
        <f>+VLOOKUP(AP89,SharePoint!$BA$3:$BY$140,3,FALSE)</f>
        <v>0</v>
      </c>
      <c r="AS89" s="370">
        <f>+VLOOKUP(AP89,SharePoint!$BA$3:$BY$140,4,FALSE)</f>
        <v>0</v>
      </c>
      <c r="AT89" s="370">
        <f>+VLOOKUP(AP89,SharePoint!$BA$3:$BY$140,5,FALSE)</f>
        <v>0.33</v>
      </c>
      <c r="AU89" s="370">
        <f>+VLOOKUP(AP89,SharePoint!$BA$3:$BY$140,6,FALSE)</f>
        <v>0</v>
      </c>
      <c r="AV89" s="370">
        <f>+VLOOKUP(AP89,SharePoint!$BA$3:$BY$140,7,FALSE)</f>
        <v>0</v>
      </c>
      <c r="AW89" s="370">
        <f>+VLOOKUP(AP89,SharePoint!$BA$3:$BY$140,8,FALSE)</f>
        <v>0</v>
      </c>
      <c r="AX89" s="370">
        <f>+VLOOKUP(AP89,SharePoint!$BA$3:$BY$140,9,FALSE)</f>
        <v>0.33</v>
      </c>
      <c r="AY89" s="370">
        <f>+VLOOKUP(AP89,SharePoint!$BA$3:$BY$140,10,FALSE)</f>
        <v>0</v>
      </c>
      <c r="AZ89" s="370">
        <f>+VLOOKUP(AP89,SharePoint!$BA$3:$BY$140,11,FALSE)</f>
        <v>0</v>
      </c>
      <c r="BA89" s="370">
        <f>+VLOOKUP(AP89,SharePoint!$BA$3:$BY$140,12,FALSE)</f>
        <v>0</v>
      </c>
      <c r="BB89" s="370">
        <f>+VLOOKUP(AP89,SharePoint!$BA$3:$BY$140,13,FALSE)</f>
        <v>0.34</v>
      </c>
      <c r="BC89" s="226">
        <f>+VLOOKUP(AP89,SharePoint!$BA$3:$BY$140,14,FALSE)</f>
        <v>0</v>
      </c>
      <c r="BD89" s="226">
        <f>+VLOOKUP(AP89,SharePoint!$BA$3:$BY$140,15,FALSE)</f>
        <v>0</v>
      </c>
      <c r="BE89" s="226">
        <f>+VLOOKUP(AP89,SharePoint!$BA$3:$BY$140,16,FALSE)</f>
        <v>0</v>
      </c>
      <c r="BF89" s="226">
        <f>+VLOOKUP(AP89,SharePoint!$BA$3:$BY$140,17,FALSE)</f>
        <v>1</v>
      </c>
      <c r="BG89" s="226">
        <f>+VLOOKUP(AP89,SharePoint!$BA$3:$BY$140,18,FALSE)</f>
        <v>0</v>
      </c>
      <c r="BH89" s="226">
        <f>+VLOOKUP(AP89,SharePoint!$BA$3:$BY$140,19,FALSE)</f>
        <v>0</v>
      </c>
      <c r="BI89" s="226">
        <f>+VLOOKUP(AP89,SharePoint!$BA$3:$BY$140,20,FALSE)</f>
        <v>0</v>
      </c>
      <c r="BJ89" s="226">
        <f>+VLOOKUP(AP89,SharePoint!$BA$3:$BY$140,21,FALSE)</f>
        <v>1</v>
      </c>
      <c r="BK89" s="226">
        <f>+VLOOKUP(AP89,SharePoint!$BA$3:$BY$140,22,FALSE)</f>
        <v>0</v>
      </c>
      <c r="BL89" s="226">
        <f>+VLOOKUP(AP89,SharePoint!$BA$3:$BY$140,23,FALSE)</f>
        <v>0</v>
      </c>
      <c r="BM89" s="226">
        <f>+VLOOKUP(AP89,SharePoint!$BA$3:$BY$140,24,FALSE)</f>
        <v>0</v>
      </c>
      <c r="BN89" s="226">
        <f>+VLOOKUP(AP89,SharePoint!$BA$3:$BY$140,25,FALSE)</f>
        <v>1</v>
      </c>
      <c r="BO89" s="214" t="s">
        <v>873</v>
      </c>
      <c r="BP89" s="214" t="s">
        <v>873</v>
      </c>
      <c r="BQ89" s="214" t="s">
        <v>873</v>
      </c>
      <c r="BR89" s="214" t="s">
        <v>2968</v>
      </c>
      <c r="BS89" s="214" t="s">
        <v>873</v>
      </c>
      <c r="BT89" s="214" t="s">
        <v>873</v>
      </c>
      <c r="BU89" s="214" t="s">
        <v>873</v>
      </c>
      <c r="BV89" s="214" t="s">
        <v>2935</v>
      </c>
      <c r="BW89" s="214" t="s">
        <v>873</v>
      </c>
      <c r="BX89" s="214" t="s">
        <v>875</v>
      </c>
      <c r="BY89" s="214" t="s">
        <v>875</v>
      </c>
      <c r="BZ89" s="214" t="s">
        <v>3365</v>
      </c>
      <c r="CA89" s="449">
        <v>1</v>
      </c>
      <c r="CB89" s="373" t="s">
        <v>3457</v>
      </c>
      <c r="CC89" s="328">
        <v>100</v>
      </c>
      <c r="CD89" s="328">
        <v>100</v>
      </c>
      <c r="CE89" s="382">
        <f t="shared" si="17"/>
        <v>1</v>
      </c>
      <c r="CF89" s="382">
        <f t="shared" si="28"/>
        <v>1</v>
      </c>
      <c r="CG89" s="327" t="s">
        <v>3509</v>
      </c>
      <c r="CH89" s="327" t="str">
        <f t="shared" si="18"/>
        <v xml:space="preserve">Porcentual </v>
      </c>
      <c r="CI89" s="327"/>
      <c r="CJ89" s="381">
        <v>3</v>
      </c>
      <c r="CK89" s="376" t="str">
        <f t="shared" si="19"/>
        <v>Dirección de Innovación y Desarrollo</v>
      </c>
      <c r="CL89" s="376" t="str">
        <f t="shared" si="20"/>
        <v>Porcentaje de cumplimiento de la estrategia definida para la caracterización</v>
      </c>
      <c r="CM89" s="376" t="str">
        <f t="shared" si="21"/>
        <v>Número de actividades ejecutadas para generar la estrategia para la caracterización de grupos de interés y de valor para la SNS /  Número de actividades ejecutadas para generar la estrategia para la caracterización de grupos de interés y de valor para la SNS * 100</v>
      </c>
      <c r="CN89" s="389">
        <f t="shared" si="22"/>
        <v>100</v>
      </c>
      <c r="CO89" s="389">
        <f t="shared" si="23"/>
        <v>100</v>
      </c>
      <c r="CP89" s="388">
        <f t="shared" si="26"/>
        <v>1</v>
      </c>
      <c r="CQ89" s="377">
        <f t="shared" si="24"/>
        <v>1</v>
      </c>
      <c r="CR89" s="377" t="str">
        <f t="shared" si="25"/>
        <v>CUMPLIO</v>
      </c>
      <c r="DB89" s="381"/>
      <c r="DC89" s="381"/>
      <c r="DD89" s="381"/>
      <c r="DE89" s="381"/>
      <c r="DF89" s="381"/>
      <c r="DG89" s="381"/>
    </row>
    <row r="90" spans="1:111" s="83" customFormat="1" ht="127.5" customHeight="1" thickTop="1" thickBot="1">
      <c r="A90" s="83" t="s">
        <v>252</v>
      </c>
      <c r="B90" s="75" t="s">
        <v>151</v>
      </c>
      <c r="C90" s="75" t="s">
        <v>938</v>
      </c>
      <c r="D90" s="75" t="s">
        <v>939</v>
      </c>
      <c r="E90" s="75" t="s">
        <v>858</v>
      </c>
      <c r="F90" s="75" t="s">
        <v>1260</v>
      </c>
      <c r="G90" s="77" t="s">
        <v>215</v>
      </c>
      <c r="H90" s="75" t="s">
        <v>860</v>
      </c>
      <c r="I90" s="76" t="s">
        <v>1234</v>
      </c>
      <c r="J90" s="76" t="s">
        <v>1235</v>
      </c>
      <c r="K90" s="76" t="s">
        <v>1261</v>
      </c>
      <c r="L90" s="77" t="s">
        <v>1324</v>
      </c>
      <c r="M90" s="76" t="s">
        <v>1331</v>
      </c>
      <c r="N90" s="76" t="s">
        <v>252</v>
      </c>
      <c r="O90" s="76" t="s">
        <v>1332</v>
      </c>
      <c r="P90" s="76" t="s">
        <v>1333</v>
      </c>
      <c r="Q90" s="76" t="s">
        <v>1333</v>
      </c>
      <c r="R90" s="77" t="s">
        <v>876</v>
      </c>
      <c r="S90" s="76" t="s">
        <v>1334</v>
      </c>
      <c r="T90" s="76" t="s">
        <v>870</v>
      </c>
      <c r="U90" s="76" t="s">
        <v>157</v>
      </c>
      <c r="V90" s="76" t="s">
        <v>872</v>
      </c>
      <c r="W90" s="79">
        <v>0.25</v>
      </c>
      <c r="X90" s="312">
        <v>40</v>
      </c>
      <c r="Y90" s="76"/>
      <c r="Z90" s="76"/>
      <c r="AA90" s="85">
        <v>13</v>
      </c>
      <c r="AB90" s="82"/>
      <c r="AC90" s="76"/>
      <c r="AD90" s="85">
        <v>15</v>
      </c>
      <c r="AE90" s="82"/>
      <c r="AF90" s="82"/>
      <c r="AG90" s="85">
        <v>5</v>
      </c>
      <c r="AH90" s="76"/>
      <c r="AI90" s="76"/>
      <c r="AJ90" s="85">
        <v>7</v>
      </c>
      <c r="AK90" s="76" t="s">
        <v>1273</v>
      </c>
      <c r="AL90" s="76" t="s">
        <v>1335</v>
      </c>
      <c r="AM90" s="114" t="s">
        <v>1275</v>
      </c>
      <c r="AN90" s="115">
        <v>1634000000</v>
      </c>
      <c r="AO90" s="76" t="s">
        <v>238</v>
      </c>
      <c r="AP90" s="82" t="s">
        <v>252</v>
      </c>
      <c r="AQ90" s="370">
        <f>+VLOOKUP(AP90,SharePoint!$BA$3:$BY$140,2,FALSE)</f>
        <v>0</v>
      </c>
      <c r="AR90" s="370">
        <f>+VLOOKUP(AP90,SharePoint!$BA$3:$BY$140,3,FALSE)</f>
        <v>0</v>
      </c>
      <c r="AS90" s="370">
        <f>+VLOOKUP(AP90,SharePoint!$BA$3:$BY$140,4,FALSE)</f>
        <v>13</v>
      </c>
      <c r="AT90" s="370">
        <f>+VLOOKUP(AP90,SharePoint!$BA$3:$BY$140,5,FALSE)</f>
        <v>0</v>
      </c>
      <c r="AU90" s="370">
        <f>+VLOOKUP(AP90,SharePoint!$BA$3:$BY$140,6,FALSE)</f>
        <v>0</v>
      </c>
      <c r="AV90" s="370">
        <f>+VLOOKUP(AP90,SharePoint!$BA$3:$BY$140,7,FALSE)</f>
        <v>15</v>
      </c>
      <c r="AW90" s="370">
        <f>+VLOOKUP(AP90,SharePoint!$BA$3:$BY$140,8,FALSE)</f>
        <v>0</v>
      </c>
      <c r="AX90" s="370">
        <f>+VLOOKUP(AP90,SharePoint!$BA$3:$BY$140,9,FALSE)</f>
        <v>0</v>
      </c>
      <c r="AY90" s="370">
        <f>+VLOOKUP(AP90,SharePoint!$BA$3:$BY$140,10,FALSE)</f>
        <v>5</v>
      </c>
      <c r="AZ90" s="370">
        <f>+VLOOKUP(AP90,SharePoint!$BA$3:$BY$140,11,FALSE)</f>
        <v>0</v>
      </c>
      <c r="BA90" s="370">
        <f>+VLOOKUP(AP90,SharePoint!$BA$3:$BY$140,12,FALSE)</f>
        <v>0</v>
      </c>
      <c r="BB90" s="370">
        <f>+VLOOKUP(AP90,SharePoint!$BA$3:$BY$140,13,FALSE)</f>
        <v>40</v>
      </c>
      <c r="BC90" s="226">
        <f>+VLOOKUP(AP90,SharePoint!$BA$3:$BY$140,14,FALSE)</f>
        <v>0</v>
      </c>
      <c r="BD90" s="226">
        <f>+VLOOKUP(AP90,SharePoint!$BA$3:$BY$140,15,FALSE)</f>
        <v>0</v>
      </c>
      <c r="BE90" s="226">
        <f>+VLOOKUP(AP90,SharePoint!$BA$3:$BY$140,16,FALSE)</f>
        <v>13</v>
      </c>
      <c r="BF90" s="226">
        <f>+VLOOKUP(AP90,SharePoint!$BA$3:$BY$140,17,FALSE)</f>
        <v>0</v>
      </c>
      <c r="BG90" s="226">
        <f>+VLOOKUP(AP90,SharePoint!$BA$3:$BY$140,18,FALSE)</f>
        <v>0</v>
      </c>
      <c r="BH90" s="226">
        <f>+VLOOKUP(AP90,SharePoint!$BA$3:$BY$140,19,FALSE)</f>
        <v>15</v>
      </c>
      <c r="BI90" s="226">
        <f>+VLOOKUP(AP90,SharePoint!$BA$3:$BY$140,20,FALSE)</f>
        <v>0</v>
      </c>
      <c r="BJ90" s="226">
        <f>+VLOOKUP(AP90,SharePoint!$BA$3:$BY$140,21,FALSE)</f>
        <v>0</v>
      </c>
      <c r="BK90" s="226">
        <f>+VLOOKUP(AP90,SharePoint!$BA$3:$BY$140,22,FALSE)</f>
        <v>5</v>
      </c>
      <c r="BL90" s="226">
        <f>+VLOOKUP(AP90,SharePoint!$BA$3:$BY$140,23,FALSE)</f>
        <v>0</v>
      </c>
      <c r="BM90" s="226">
        <f>+VLOOKUP(AP90,SharePoint!$BA$3:$BY$140,24,FALSE)</f>
        <v>0</v>
      </c>
      <c r="BN90" s="226">
        <f>+VLOOKUP(AP90,SharePoint!$BA$3:$BY$140,25,FALSE)</f>
        <v>40</v>
      </c>
      <c r="BO90" s="214" t="s">
        <v>873</v>
      </c>
      <c r="BP90" s="214" t="s">
        <v>873</v>
      </c>
      <c r="BQ90" s="215" t="s">
        <v>256</v>
      </c>
      <c r="BR90" s="214" t="s">
        <v>873</v>
      </c>
      <c r="BS90" s="214" t="s">
        <v>873</v>
      </c>
      <c r="BT90" s="215" t="s">
        <v>3073</v>
      </c>
      <c r="BU90" s="214" t="s">
        <v>873</v>
      </c>
      <c r="BV90" s="214" t="s">
        <v>873</v>
      </c>
      <c r="BW90" s="214" t="s">
        <v>2946</v>
      </c>
      <c r="BX90" s="214" t="s">
        <v>875</v>
      </c>
      <c r="BY90" s="214" t="s">
        <v>875</v>
      </c>
      <c r="BZ90" s="214" t="s">
        <v>3363</v>
      </c>
      <c r="CA90" s="449">
        <v>1</v>
      </c>
      <c r="CB90" s="374" t="s">
        <v>3518</v>
      </c>
      <c r="CC90" s="328">
        <v>40</v>
      </c>
      <c r="CD90" s="328">
        <v>40</v>
      </c>
      <c r="CE90" s="394">
        <f t="shared" si="17"/>
        <v>1</v>
      </c>
      <c r="CF90" s="395">
        <f t="shared" si="28"/>
        <v>40</v>
      </c>
      <c r="CG90" s="391" t="s">
        <v>3509</v>
      </c>
      <c r="CH90" s="327" t="str">
        <f t="shared" si="18"/>
        <v>Numérica</v>
      </c>
      <c r="CI90" s="327"/>
      <c r="CJ90" s="381">
        <v>4</v>
      </c>
      <c r="CK90" s="378" t="str">
        <f t="shared" si="19"/>
        <v>Dirección de Innovación y Desarrollo</v>
      </c>
      <c r="CL90" s="378" t="str">
        <f t="shared" si="20"/>
        <v>Acciones ejecutadas para el desarrollo de los programas de Gobernanza, Inteligencia de Negocios y Gestión de Datos y de Información de la SNS</v>
      </c>
      <c r="CM90" s="378" t="str">
        <f t="shared" si="21"/>
        <v>Número total de acciones ejecutada para el desarrollo de los programas de Gobernanza, inteligencia de negocios y Gestión de Datos y de Información de la SNS</v>
      </c>
      <c r="CN90" s="390">
        <f t="shared" si="22"/>
        <v>40</v>
      </c>
      <c r="CO90" s="390">
        <f t="shared" si="23"/>
        <v>40</v>
      </c>
      <c r="CP90" s="387">
        <f t="shared" si="26"/>
        <v>1</v>
      </c>
      <c r="CQ90" s="378">
        <f t="shared" si="24"/>
        <v>40</v>
      </c>
      <c r="CR90" s="379" t="str">
        <f t="shared" si="25"/>
        <v>CUMPLIO</v>
      </c>
      <c r="DB90" s="381"/>
      <c r="DC90" s="381"/>
      <c r="DD90" s="381"/>
      <c r="DE90" s="381"/>
      <c r="DF90" s="381"/>
      <c r="DG90" s="381"/>
    </row>
    <row r="91" spans="1:111" s="83" customFormat="1" ht="127.5" customHeight="1" thickTop="1" thickBot="1">
      <c r="A91" s="83" t="s">
        <v>245</v>
      </c>
      <c r="B91" s="75" t="s">
        <v>237</v>
      </c>
      <c r="C91" s="75" t="s">
        <v>938</v>
      </c>
      <c r="D91" s="97" t="s">
        <v>903</v>
      </c>
      <c r="E91" s="75" t="s">
        <v>858</v>
      </c>
      <c r="F91" s="75" t="s">
        <v>1260</v>
      </c>
      <c r="G91" s="77" t="s">
        <v>215</v>
      </c>
      <c r="H91" s="75" t="s">
        <v>860</v>
      </c>
      <c r="I91" s="76" t="s">
        <v>1234</v>
      </c>
      <c r="J91" s="76" t="s">
        <v>1235</v>
      </c>
      <c r="K91" s="76" t="s">
        <v>1336</v>
      </c>
      <c r="L91" s="77" t="s">
        <v>1324</v>
      </c>
      <c r="M91" s="76" t="s">
        <v>1337</v>
      </c>
      <c r="N91" s="76" t="s">
        <v>245</v>
      </c>
      <c r="O91" s="76" t="s">
        <v>1338</v>
      </c>
      <c r="P91" s="76" t="s">
        <v>1339</v>
      </c>
      <c r="Q91" s="76" t="s">
        <v>1340</v>
      </c>
      <c r="R91" s="76" t="s">
        <v>1341</v>
      </c>
      <c r="S91" s="76" t="s">
        <v>1342</v>
      </c>
      <c r="T91" s="76" t="s">
        <v>892</v>
      </c>
      <c r="U91" s="76" t="s">
        <v>871</v>
      </c>
      <c r="V91" s="76" t="s">
        <v>910</v>
      </c>
      <c r="W91" s="80" t="s">
        <v>1343</v>
      </c>
      <c r="X91" s="303">
        <v>1</v>
      </c>
      <c r="Y91" s="76"/>
      <c r="Z91" s="76"/>
      <c r="AA91" s="79" t="s">
        <v>1344</v>
      </c>
      <c r="AB91" s="76"/>
      <c r="AC91" s="76"/>
      <c r="AD91" s="110" t="s">
        <v>1345</v>
      </c>
      <c r="AE91" s="76"/>
      <c r="AF91" s="76"/>
      <c r="AG91" s="116" t="s">
        <v>1346</v>
      </c>
      <c r="AH91" s="76"/>
      <c r="AI91" s="76"/>
      <c r="AJ91" s="79" t="s">
        <v>1347</v>
      </c>
      <c r="AK91" s="84" t="s">
        <v>1202</v>
      </c>
      <c r="AL91" s="76" t="s">
        <v>1228</v>
      </c>
      <c r="AM91" s="76" t="s">
        <v>1204</v>
      </c>
      <c r="AN91" s="87">
        <v>106640000</v>
      </c>
      <c r="AO91" s="76" t="s">
        <v>238</v>
      </c>
      <c r="AP91" s="82" t="s">
        <v>245</v>
      </c>
      <c r="AQ91" s="370">
        <f>+VLOOKUP(AP91,SharePoint!$BA$3:$BY$140,2,FALSE)</f>
        <v>0</v>
      </c>
      <c r="AR91" s="370">
        <f>+VLOOKUP(AP91,SharePoint!$BA$3:$BY$140,3,FALSE)</f>
        <v>0</v>
      </c>
      <c r="AS91" s="370">
        <f>+VLOOKUP(AP91,SharePoint!$BA$3:$BY$140,4,FALSE)</f>
        <v>2</v>
      </c>
      <c r="AT91" s="370">
        <f>+VLOOKUP(AP91,SharePoint!$BA$3:$BY$140,5,FALSE)</f>
        <v>0</v>
      </c>
      <c r="AU91" s="370">
        <f>+VLOOKUP(AP91,SharePoint!$BA$3:$BY$140,6,FALSE)</f>
        <v>0</v>
      </c>
      <c r="AV91" s="370">
        <f>+VLOOKUP(AP91,SharePoint!$BA$3:$BY$140,7,FALSE)</f>
        <v>8</v>
      </c>
      <c r="AW91" s="370">
        <f>+VLOOKUP(AP91,SharePoint!$BA$3:$BY$140,8,FALSE)</f>
        <v>0</v>
      </c>
      <c r="AX91" s="370">
        <f>+VLOOKUP(AP91,SharePoint!$BA$3:$BY$140,9,FALSE)</f>
        <v>0</v>
      </c>
      <c r="AY91" s="370">
        <f>+VLOOKUP(AP91,SharePoint!$BA$3:$BY$140,10,FALSE)</f>
        <v>0</v>
      </c>
      <c r="AZ91" s="370">
        <f>+VLOOKUP(AP91,SharePoint!$BA$3:$BY$140,11,FALSE)</f>
        <v>0</v>
      </c>
      <c r="BA91" s="370">
        <f>+VLOOKUP(AP91,SharePoint!$BA$3:$BY$140,12,FALSE)</f>
        <v>0</v>
      </c>
      <c r="BB91" s="370">
        <f>+VLOOKUP(AP91,SharePoint!$BA$3:$BY$140,13,FALSE)</f>
        <v>10</v>
      </c>
      <c r="BC91" s="226">
        <f>+VLOOKUP(AP91,SharePoint!$BA$3:$BY$140,14,FALSE)</f>
        <v>0</v>
      </c>
      <c r="BD91" s="226">
        <f>+VLOOKUP(AP91,SharePoint!$BA$3:$BY$140,15,FALSE)</f>
        <v>0</v>
      </c>
      <c r="BE91" s="226">
        <f>+VLOOKUP(AP91,SharePoint!$BA$3:$BY$140,16,FALSE)</f>
        <v>10</v>
      </c>
      <c r="BF91" s="226">
        <f>+VLOOKUP(AP91,SharePoint!$BA$3:$BY$140,17,FALSE)</f>
        <v>0</v>
      </c>
      <c r="BG91" s="226">
        <f>+VLOOKUP(AP91,SharePoint!$BA$3:$BY$140,18,FALSE)</f>
        <v>0</v>
      </c>
      <c r="BH91" s="226">
        <f>+VLOOKUP(AP91,SharePoint!$BA$3:$BY$140,19,FALSE)</f>
        <v>10</v>
      </c>
      <c r="BI91" s="226">
        <f>+VLOOKUP(AP91,SharePoint!$BA$3:$BY$140,20,FALSE)</f>
        <v>0</v>
      </c>
      <c r="BJ91" s="226">
        <f>+VLOOKUP(AP91,SharePoint!$BA$3:$BY$140,21,FALSE)</f>
        <v>0</v>
      </c>
      <c r="BK91" s="226">
        <f>+VLOOKUP(AP91,SharePoint!$BA$3:$BY$140,22,FALSE)</f>
        <v>0</v>
      </c>
      <c r="BL91" s="226">
        <f>+VLOOKUP(AP91,SharePoint!$BA$3:$BY$140,23,FALSE)</f>
        <v>0</v>
      </c>
      <c r="BM91" s="226">
        <f>+VLOOKUP(AP91,SharePoint!$BA$3:$BY$140,24,FALSE)</f>
        <v>0</v>
      </c>
      <c r="BN91" s="226">
        <f>+VLOOKUP(AP91,SharePoint!$BA$3:$BY$140,25,FALSE)</f>
        <v>10</v>
      </c>
      <c r="BO91" s="214" t="s">
        <v>873</v>
      </c>
      <c r="BP91" s="214" t="s">
        <v>873</v>
      </c>
      <c r="BQ91" s="215" t="s">
        <v>249</v>
      </c>
      <c r="BR91" s="214" t="s">
        <v>873</v>
      </c>
      <c r="BS91" s="214" t="s">
        <v>873</v>
      </c>
      <c r="BT91" s="215" t="s">
        <v>3074</v>
      </c>
      <c r="BU91" s="214" t="s">
        <v>873</v>
      </c>
      <c r="BV91" s="214" t="s">
        <v>873</v>
      </c>
      <c r="BW91" s="214" t="s">
        <v>873</v>
      </c>
      <c r="BX91" s="214" t="s">
        <v>875</v>
      </c>
      <c r="BY91" s="214" t="s">
        <v>875</v>
      </c>
      <c r="BZ91" s="214" t="s">
        <v>3364</v>
      </c>
      <c r="CA91" s="449">
        <v>2</v>
      </c>
      <c r="CB91" s="373" t="s">
        <v>3519</v>
      </c>
      <c r="CC91" s="359">
        <v>10</v>
      </c>
      <c r="CD91" s="359">
        <v>10</v>
      </c>
      <c r="CE91" s="382">
        <f t="shared" si="17"/>
        <v>1</v>
      </c>
      <c r="CF91" s="382">
        <f t="shared" si="28"/>
        <v>1</v>
      </c>
      <c r="CG91" s="327" t="s">
        <v>3509</v>
      </c>
      <c r="CH91" s="327" t="str">
        <f t="shared" si="18"/>
        <v xml:space="preserve">Porcentual </v>
      </c>
      <c r="CI91" s="327"/>
      <c r="CJ91" s="381">
        <v>5</v>
      </c>
      <c r="CK91" s="376" t="str">
        <f t="shared" si="19"/>
        <v>Dirección de Innovación y Desarrollo</v>
      </c>
      <c r="CL91" s="376" t="str">
        <f t="shared" si="20"/>
        <v>Porcentaje de acciones ejecutadas para la implementación de la Política de Gestión de la Información Estadística en la SNS</v>
      </c>
      <c r="CM91" s="376" t="str">
        <f t="shared" si="21"/>
        <v>Número de acciones ejecutados para la Gestión de la Información Estadística / Número de acciones definidas en la vigencia 2025 para Gestión de la Información Estadística * 100</v>
      </c>
      <c r="CN91" s="389">
        <f t="shared" si="22"/>
        <v>10</v>
      </c>
      <c r="CO91" s="389">
        <f t="shared" si="23"/>
        <v>10</v>
      </c>
      <c r="CP91" s="388">
        <f t="shared" si="26"/>
        <v>1</v>
      </c>
      <c r="CQ91" s="377">
        <f t="shared" si="24"/>
        <v>1</v>
      </c>
      <c r="CR91" s="377" t="str">
        <f t="shared" si="25"/>
        <v>CUMPLIO</v>
      </c>
      <c r="DB91" s="381"/>
      <c r="DC91" s="381"/>
      <c r="DD91" s="381"/>
      <c r="DE91" s="381"/>
      <c r="DF91" s="381"/>
      <c r="DG91" s="381"/>
    </row>
    <row r="92" spans="1:111" s="83" customFormat="1" ht="127.5" customHeight="1" thickTop="1" thickBot="1">
      <c r="A92" s="83" t="s">
        <v>353</v>
      </c>
      <c r="B92" s="75" t="s">
        <v>237</v>
      </c>
      <c r="C92" s="75" t="s">
        <v>938</v>
      </c>
      <c r="D92" s="97" t="s">
        <v>903</v>
      </c>
      <c r="E92" s="75" t="s">
        <v>1321</v>
      </c>
      <c r="F92" s="75" t="s">
        <v>1322</v>
      </c>
      <c r="G92" s="77" t="s">
        <v>215</v>
      </c>
      <c r="H92" s="75" t="s">
        <v>860</v>
      </c>
      <c r="I92" s="76" t="s">
        <v>918</v>
      </c>
      <c r="J92" s="77" t="s">
        <v>919</v>
      </c>
      <c r="K92" s="76" t="s">
        <v>1336</v>
      </c>
      <c r="L92" s="77" t="s">
        <v>1348</v>
      </c>
      <c r="M92" s="76" t="s">
        <v>726</v>
      </c>
      <c r="N92" s="76" t="s">
        <v>353</v>
      </c>
      <c r="O92" s="76" t="s">
        <v>727</v>
      </c>
      <c r="P92" s="75" t="s">
        <v>1349</v>
      </c>
      <c r="Q92" s="75" t="s">
        <v>1350</v>
      </c>
      <c r="R92" s="75" t="s">
        <v>1351</v>
      </c>
      <c r="S92" s="75" t="s">
        <v>1352</v>
      </c>
      <c r="T92" s="76" t="s">
        <v>870</v>
      </c>
      <c r="U92" s="126" t="s">
        <v>871</v>
      </c>
      <c r="V92" s="76" t="s">
        <v>988</v>
      </c>
      <c r="W92" s="76">
        <v>0</v>
      </c>
      <c r="X92" s="313">
        <v>1</v>
      </c>
      <c r="Y92" s="77"/>
      <c r="Z92" s="77"/>
      <c r="AA92" s="79"/>
      <c r="AB92" s="77"/>
      <c r="AC92" s="77"/>
      <c r="AD92" s="196" t="s">
        <v>2796</v>
      </c>
      <c r="AE92" s="77"/>
      <c r="AF92" s="77"/>
      <c r="AG92" s="79"/>
      <c r="AH92" s="77"/>
      <c r="AI92" s="77"/>
      <c r="AJ92" s="196" t="s">
        <v>2797</v>
      </c>
      <c r="AK92" s="86" t="s">
        <v>899</v>
      </c>
      <c r="AL92" s="86" t="s">
        <v>1353</v>
      </c>
      <c r="AM92" s="86" t="s">
        <v>901</v>
      </c>
      <c r="AN92" s="117">
        <v>1247890430</v>
      </c>
      <c r="AO92" s="76" t="s">
        <v>238</v>
      </c>
      <c r="AP92" s="82" t="s">
        <v>353</v>
      </c>
      <c r="AQ92" s="370">
        <f>+VLOOKUP(AP92,SharePoint!$BA$3:$BY$140,2,FALSE)</f>
        <v>0</v>
      </c>
      <c r="AR92" s="370">
        <f>+VLOOKUP(AP92,SharePoint!$BA$3:$BY$140,3,FALSE)</f>
        <v>0</v>
      </c>
      <c r="AS92" s="370">
        <f>+VLOOKUP(AP92,SharePoint!$BA$3:$BY$140,4,FALSE)</f>
        <v>0</v>
      </c>
      <c r="AT92" s="370">
        <f>+VLOOKUP(AP92,SharePoint!$BA$3:$BY$140,5,FALSE)</f>
        <v>0</v>
      </c>
      <c r="AU92" s="370">
        <f>+VLOOKUP(AP92,SharePoint!$BA$3:$BY$140,6,FALSE)</f>
        <v>0</v>
      </c>
      <c r="AV92" s="370">
        <f>+VLOOKUP(AP92,SharePoint!$BA$3:$BY$140,7,FALSE)</f>
        <v>2</v>
      </c>
      <c r="AW92" s="370">
        <f>+VLOOKUP(AP92,SharePoint!$BA$3:$BY$140,8,FALSE)</f>
        <v>0</v>
      </c>
      <c r="AX92" s="370">
        <f>+VLOOKUP(AP92,SharePoint!$BA$3:$BY$140,9,FALSE)</f>
        <v>0</v>
      </c>
      <c r="AY92" s="370">
        <f>+VLOOKUP(AP92,SharePoint!$BA$3:$BY$140,10,FALSE)</f>
        <v>0</v>
      </c>
      <c r="AZ92" s="370">
        <f>+VLOOKUP(AP92,SharePoint!$BA$3:$BY$140,11,FALSE)</f>
        <v>0</v>
      </c>
      <c r="BA92" s="370">
        <f>+VLOOKUP(AP92,SharePoint!$BA$3:$BY$140,12,FALSE)</f>
        <v>0</v>
      </c>
      <c r="BB92" s="370">
        <f>+VLOOKUP(AP92,SharePoint!$BA$3:$BY$140,13,FALSE)</f>
        <v>4</v>
      </c>
      <c r="BC92" s="226">
        <f>+VLOOKUP(AP92,SharePoint!$BA$3:$BY$140,14,FALSE)</f>
        <v>0</v>
      </c>
      <c r="BD92" s="226">
        <f>+VLOOKUP(AP92,SharePoint!$BA$3:$BY$140,15,FALSE)</f>
        <v>0</v>
      </c>
      <c r="BE92" s="226">
        <f>+VLOOKUP(AP92,SharePoint!$BA$3:$BY$140,16,FALSE)</f>
        <v>0</v>
      </c>
      <c r="BF92" s="226">
        <f>+VLOOKUP(AP92,SharePoint!$BA$3:$BY$140,17,FALSE)</f>
        <v>0</v>
      </c>
      <c r="BG92" s="226">
        <f>+VLOOKUP(AP92,SharePoint!$BA$3:$BY$140,18,FALSE)</f>
        <v>0</v>
      </c>
      <c r="BH92" s="226">
        <f>+VLOOKUP(AP92,SharePoint!$BA$3:$BY$140,19,FALSE)</f>
        <v>4</v>
      </c>
      <c r="BI92" s="226">
        <f>+VLOOKUP(AP92,SharePoint!$BA$3:$BY$140,20,FALSE)</f>
        <v>0</v>
      </c>
      <c r="BJ92" s="226">
        <f>+VLOOKUP(AP92,SharePoint!$BA$3:$BY$140,21,FALSE)</f>
        <v>0</v>
      </c>
      <c r="BK92" s="226">
        <f>+VLOOKUP(AP92,SharePoint!$BA$3:$BY$140,22,FALSE)</f>
        <v>0</v>
      </c>
      <c r="BL92" s="226">
        <f>+VLOOKUP(AP92,SharePoint!$BA$3:$BY$140,23,FALSE)</f>
        <v>0</v>
      </c>
      <c r="BM92" s="226">
        <f>+VLOOKUP(AP92,SharePoint!$BA$3:$BY$140,24,FALSE)</f>
        <v>0</v>
      </c>
      <c r="BN92" s="226">
        <f>+VLOOKUP(AP92,SharePoint!$BA$3:$BY$140,25,FALSE)</f>
        <v>4</v>
      </c>
      <c r="BO92" s="214" t="s">
        <v>873</v>
      </c>
      <c r="BP92" s="214" t="s">
        <v>873</v>
      </c>
      <c r="BQ92" s="214" t="s">
        <v>873</v>
      </c>
      <c r="BR92" s="214" t="s">
        <v>873</v>
      </c>
      <c r="BS92" s="214" t="s">
        <v>873</v>
      </c>
      <c r="BT92" s="215" t="s">
        <v>3075</v>
      </c>
      <c r="BU92" s="214" t="s">
        <v>873</v>
      </c>
      <c r="BV92" s="214" t="s">
        <v>873</v>
      </c>
      <c r="BW92" s="214" t="s">
        <v>873</v>
      </c>
      <c r="BX92" s="214" t="s">
        <v>875</v>
      </c>
      <c r="BY92" s="214" t="s">
        <v>875</v>
      </c>
      <c r="BZ92" s="214" t="s">
        <v>3359</v>
      </c>
      <c r="CA92" s="449">
        <v>2</v>
      </c>
      <c r="CB92" s="374" t="s">
        <v>3549</v>
      </c>
      <c r="CC92" s="328">
        <v>4</v>
      </c>
      <c r="CD92" s="328">
        <v>4</v>
      </c>
      <c r="CE92" s="393">
        <f t="shared" si="17"/>
        <v>1</v>
      </c>
      <c r="CF92" s="393">
        <f t="shared" si="28"/>
        <v>1</v>
      </c>
      <c r="CG92" s="391" t="s">
        <v>3509</v>
      </c>
      <c r="CH92" s="327" t="str">
        <f t="shared" si="18"/>
        <v xml:space="preserve">Porcentual </v>
      </c>
      <c r="CI92" s="327"/>
      <c r="CJ92" s="381">
        <v>1</v>
      </c>
      <c r="CK92" s="378" t="str">
        <f t="shared" si="19"/>
        <v>Dirección de Innovación y Desarrollo</v>
      </c>
      <c r="CL92" s="378" t="str">
        <f t="shared" si="20"/>
        <v>Porcentaje de avance en el diseño e implementación de estrategias de uso y apropiación del Marco Integral de Supervisión.</v>
      </c>
      <c r="CM92" s="378" t="str">
        <f t="shared" si="21"/>
        <v xml:space="preserve">  Número de productos términados del  Marco Integral de Supervisión / Número total de productos programados para el diseño del Marco Integral de Supervisión</v>
      </c>
      <c r="CN92" s="390">
        <f t="shared" si="22"/>
        <v>4</v>
      </c>
      <c r="CO92" s="390">
        <f t="shared" si="23"/>
        <v>4</v>
      </c>
      <c r="CP92" s="387">
        <f t="shared" si="26"/>
        <v>1</v>
      </c>
      <c r="CQ92" s="379">
        <f t="shared" si="24"/>
        <v>1</v>
      </c>
      <c r="CR92" s="379" t="str">
        <f t="shared" si="25"/>
        <v>CUMPLIO</v>
      </c>
      <c r="DB92" s="381"/>
      <c r="DC92" s="381"/>
      <c r="DD92" s="381"/>
      <c r="DE92" s="381"/>
      <c r="DF92" s="381"/>
      <c r="DG92" s="381"/>
    </row>
    <row r="93" spans="1:111" s="83" customFormat="1" ht="127.5" customHeight="1" thickTop="1" thickBot="1">
      <c r="A93" s="83" t="s">
        <v>259</v>
      </c>
      <c r="B93" s="75" t="s">
        <v>237</v>
      </c>
      <c r="C93" s="75" t="s">
        <v>938</v>
      </c>
      <c r="D93" s="97" t="s">
        <v>903</v>
      </c>
      <c r="E93" s="75" t="s">
        <v>1321</v>
      </c>
      <c r="F93" s="75" t="s">
        <v>1322</v>
      </c>
      <c r="G93" s="77" t="s">
        <v>215</v>
      </c>
      <c r="H93" s="75" t="s">
        <v>860</v>
      </c>
      <c r="I93" s="76" t="s">
        <v>918</v>
      </c>
      <c r="J93" s="77" t="s">
        <v>919</v>
      </c>
      <c r="K93" s="76" t="s">
        <v>1354</v>
      </c>
      <c r="L93" s="77" t="s">
        <v>1348</v>
      </c>
      <c r="M93" s="76" t="s">
        <v>1355</v>
      </c>
      <c r="N93" s="82" t="s">
        <v>259</v>
      </c>
      <c r="O93" s="76" t="s">
        <v>1356</v>
      </c>
      <c r="P93" s="76" t="s">
        <v>262</v>
      </c>
      <c r="Q93" s="76" t="s">
        <v>1357</v>
      </c>
      <c r="R93" s="76" t="s">
        <v>1358</v>
      </c>
      <c r="S93" s="76" t="s">
        <v>1359</v>
      </c>
      <c r="T93" s="76" t="s">
        <v>892</v>
      </c>
      <c r="U93" s="76" t="s">
        <v>871</v>
      </c>
      <c r="V93" s="76" t="s">
        <v>872</v>
      </c>
      <c r="W93" s="76">
        <v>0</v>
      </c>
      <c r="X93" s="302">
        <v>1</v>
      </c>
      <c r="Y93" s="77"/>
      <c r="Z93" s="77"/>
      <c r="AA93" s="79">
        <v>1</v>
      </c>
      <c r="AB93" s="82"/>
      <c r="AC93" s="76"/>
      <c r="AD93" s="79">
        <v>1</v>
      </c>
      <c r="AE93" s="82"/>
      <c r="AF93" s="82"/>
      <c r="AG93" s="79">
        <v>1</v>
      </c>
      <c r="AH93" s="76"/>
      <c r="AI93" s="76"/>
      <c r="AJ93" s="79">
        <v>1</v>
      </c>
      <c r="AK93" s="86" t="s">
        <v>899</v>
      </c>
      <c r="AL93" s="86"/>
      <c r="AM93" s="86"/>
      <c r="AN93" s="117"/>
      <c r="AO93" s="76" t="s">
        <v>238</v>
      </c>
      <c r="AP93" s="82" t="s">
        <v>259</v>
      </c>
      <c r="AQ93" s="370">
        <f>+VLOOKUP(AP93,SharePoint!$BA$3:$BY$140,2,FALSE)</f>
        <v>0</v>
      </c>
      <c r="AR93" s="370">
        <f>+VLOOKUP(AP93,SharePoint!$BA$3:$BY$140,3,FALSE)</f>
        <v>0</v>
      </c>
      <c r="AS93" s="370">
        <f>+VLOOKUP(AP93,SharePoint!$BA$3:$BY$140,4,FALSE)</f>
        <v>10</v>
      </c>
      <c r="AT93" s="370">
        <f>+VLOOKUP(AP93,SharePoint!$BA$3:$BY$140,5,FALSE)</f>
        <v>0</v>
      </c>
      <c r="AU93" s="370">
        <f>+VLOOKUP(AP93,SharePoint!$BA$3:$BY$140,6,FALSE)</f>
        <v>0</v>
      </c>
      <c r="AV93" s="370">
        <f>+VLOOKUP(AP93,SharePoint!$BA$3:$BY$140,7,FALSE)</f>
        <v>14</v>
      </c>
      <c r="AW93" s="370">
        <f>+VLOOKUP(AP93,SharePoint!$BA$3:$BY$140,8,FALSE)</f>
        <v>0</v>
      </c>
      <c r="AX93" s="370">
        <f>+VLOOKUP(AP93,SharePoint!$BA$3:$BY$140,9,FALSE)</f>
        <v>0</v>
      </c>
      <c r="AY93" s="370">
        <f>+VLOOKUP(AP93,SharePoint!$BA$3:$BY$140,10,FALSE)</f>
        <v>2</v>
      </c>
      <c r="AZ93" s="370">
        <f>+VLOOKUP(AP93,SharePoint!$BA$3:$BY$140,11,FALSE)</f>
        <v>0</v>
      </c>
      <c r="BA93" s="370">
        <f>+VLOOKUP(AP93,SharePoint!$BA$3:$BY$140,12,FALSE)</f>
        <v>0</v>
      </c>
      <c r="BB93" s="370">
        <f>+VLOOKUP(AP93,SharePoint!$BA$3:$BY$140,13,FALSE)</f>
        <v>6</v>
      </c>
      <c r="BC93" s="226">
        <f>+VLOOKUP(AP93,SharePoint!$BA$3:$BY$140,14,FALSE)</f>
        <v>0</v>
      </c>
      <c r="BD93" s="226">
        <f>+VLOOKUP(AP93,SharePoint!$BA$3:$BY$140,15,FALSE)</f>
        <v>0</v>
      </c>
      <c r="BE93" s="226">
        <f>+VLOOKUP(AP93,SharePoint!$BA$3:$BY$140,16,FALSE)</f>
        <v>10</v>
      </c>
      <c r="BF93" s="226">
        <f>+VLOOKUP(AP93,SharePoint!$BA$3:$BY$140,17,FALSE)</f>
        <v>0</v>
      </c>
      <c r="BG93" s="226">
        <f>+VLOOKUP(AP93,SharePoint!$BA$3:$BY$140,18,FALSE)</f>
        <v>0</v>
      </c>
      <c r="BH93" s="226">
        <f>+VLOOKUP(AP93,SharePoint!$BA$3:$BY$140,19,FALSE)</f>
        <v>14</v>
      </c>
      <c r="BI93" s="226">
        <f>+VLOOKUP(AP93,SharePoint!$BA$3:$BY$140,20,FALSE)</f>
        <v>0</v>
      </c>
      <c r="BJ93" s="226">
        <f>+VLOOKUP(AP93,SharePoint!$BA$3:$BY$140,21,FALSE)</f>
        <v>0</v>
      </c>
      <c r="BK93" s="226">
        <f>+VLOOKUP(AP93,SharePoint!$BA$3:$BY$140,22,FALSE)</f>
        <v>2</v>
      </c>
      <c r="BL93" s="226">
        <f>+VLOOKUP(AP93,SharePoint!$BA$3:$BY$140,23,FALSE)</f>
        <v>0</v>
      </c>
      <c r="BM93" s="226">
        <f>+VLOOKUP(AP93,SharePoint!$BA$3:$BY$140,24,FALSE)</f>
        <v>0</v>
      </c>
      <c r="BN93" s="226">
        <f>+VLOOKUP(AP93,SharePoint!$BA$3:$BY$140,25,FALSE)</f>
        <v>6</v>
      </c>
      <c r="BO93" s="214" t="s">
        <v>873</v>
      </c>
      <c r="BP93" s="214" t="s">
        <v>873</v>
      </c>
      <c r="BQ93" s="215" t="s">
        <v>3076</v>
      </c>
      <c r="BR93" s="214" t="s">
        <v>873</v>
      </c>
      <c r="BS93" s="214" t="s">
        <v>873</v>
      </c>
      <c r="BT93" s="215" t="s">
        <v>3077</v>
      </c>
      <c r="BU93" s="214" t="s">
        <v>873</v>
      </c>
      <c r="BV93" s="214" t="s">
        <v>873</v>
      </c>
      <c r="BW93" s="214" t="s">
        <v>3132</v>
      </c>
      <c r="BX93" s="214" t="s">
        <v>875</v>
      </c>
      <c r="BY93" s="214" t="s">
        <v>875</v>
      </c>
      <c r="BZ93" s="214" t="s">
        <v>3358</v>
      </c>
      <c r="CA93" s="449">
        <v>2</v>
      </c>
      <c r="CB93" s="373" t="s">
        <v>3458</v>
      </c>
      <c r="CC93" s="359">
        <f t="shared" si="15"/>
        <v>32</v>
      </c>
      <c r="CD93" s="359">
        <f t="shared" si="16"/>
        <v>32</v>
      </c>
      <c r="CE93" s="382">
        <f t="shared" si="17"/>
        <v>1</v>
      </c>
      <c r="CF93" s="382">
        <f t="shared" si="28"/>
        <v>1</v>
      </c>
      <c r="CG93" s="327" t="s">
        <v>3509</v>
      </c>
      <c r="CH93" s="327" t="str">
        <f t="shared" si="18"/>
        <v xml:space="preserve">Porcentual </v>
      </c>
      <c r="CI93" s="327"/>
      <c r="CJ93" s="381">
        <v>2</v>
      </c>
      <c r="CK93" s="376" t="str">
        <f t="shared" si="19"/>
        <v>Dirección de Innovación y Desarrollo</v>
      </c>
      <c r="CL93" s="376" t="str">
        <f t="shared" si="20"/>
        <v xml:space="preserve">Porcentaje de solicitudes gestionadas de políticas, instrumentos, guías, metodologías y lineamientos </v>
      </c>
      <c r="CM93" s="376" t="str">
        <f t="shared" si="21"/>
        <v>Número de solicitudes de políticas, instrumentos, guías, metodologías y lineamientos gestionadas / Número de solicitudes de políticas, instrumentos, guías, metodologías y lineamientos identificadas * 100</v>
      </c>
      <c r="CN93" s="389">
        <f t="shared" si="22"/>
        <v>32</v>
      </c>
      <c r="CO93" s="389">
        <f t="shared" si="23"/>
        <v>32</v>
      </c>
      <c r="CP93" s="388">
        <f t="shared" si="26"/>
        <v>1</v>
      </c>
      <c r="CQ93" s="377">
        <f t="shared" si="24"/>
        <v>1</v>
      </c>
      <c r="CR93" s="377" t="str">
        <f t="shared" si="25"/>
        <v>CUMPLIO</v>
      </c>
      <c r="DB93" s="381"/>
      <c r="DC93" s="381"/>
      <c r="DD93" s="381"/>
      <c r="DE93" s="381"/>
      <c r="DF93" s="381"/>
      <c r="DG93" s="381"/>
    </row>
    <row r="94" spans="1:111" s="83" customFormat="1" ht="127.5" customHeight="1" thickTop="1" thickBot="1">
      <c r="A94" s="83" t="s">
        <v>364</v>
      </c>
      <c r="B94" s="75" t="s">
        <v>237</v>
      </c>
      <c r="C94" s="75" t="s">
        <v>938</v>
      </c>
      <c r="D94" s="97" t="s">
        <v>903</v>
      </c>
      <c r="E94" s="75" t="s">
        <v>1321</v>
      </c>
      <c r="F94" s="75" t="s">
        <v>1322</v>
      </c>
      <c r="G94" s="77" t="s">
        <v>215</v>
      </c>
      <c r="H94" s="75" t="s">
        <v>860</v>
      </c>
      <c r="I94" s="76" t="s">
        <v>918</v>
      </c>
      <c r="J94" s="77" t="s">
        <v>919</v>
      </c>
      <c r="K94" s="76" t="s">
        <v>1354</v>
      </c>
      <c r="L94" s="77" t="s">
        <v>1348</v>
      </c>
      <c r="M94" s="76" t="s">
        <v>730</v>
      </c>
      <c r="N94" s="438" t="s">
        <v>364</v>
      </c>
      <c r="O94" s="438" t="s">
        <v>731</v>
      </c>
      <c r="P94" s="438" t="s">
        <v>1360</v>
      </c>
      <c r="Q94" s="76" t="s">
        <v>1360</v>
      </c>
      <c r="R94" s="77" t="s">
        <v>876</v>
      </c>
      <c r="S94" s="76" t="s">
        <v>1361</v>
      </c>
      <c r="T94" s="76" t="s">
        <v>870</v>
      </c>
      <c r="U94" s="76" t="s">
        <v>157</v>
      </c>
      <c r="V94" s="76" t="s">
        <v>1362</v>
      </c>
      <c r="W94" s="76">
        <v>0</v>
      </c>
      <c r="X94" s="299">
        <v>6</v>
      </c>
      <c r="Y94" s="77"/>
      <c r="Z94" s="77"/>
      <c r="AA94" s="79"/>
      <c r="AB94" s="82"/>
      <c r="AC94" s="76"/>
      <c r="AD94" s="76">
        <v>2</v>
      </c>
      <c r="AE94" s="76"/>
      <c r="AF94" s="76">
        <v>1</v>
      </c>
      <c r="AG94" s="76">
        <v>1</v>
      </c>
      <c r="AH94" s="76">
        <v>1</v>
      </c>
      <c r="AI94" s="76">
        <v>1</v>
      </c>
      <c r="AJ94" s="76"/>
      <c r="AK94" s="86" t="s">
        <v>899</v>
      </c>
      <c r="AL94" s="86"/>
      <c r="AM94" s="86"/>
      <c r="AN94" s="117"/>
      <c r="AO94" s="76" t="s">
        <v>238</v>
      </c>
      <c r="AP94" s="82" t="s">
        <v>364</v>
      </c>
      <c r="AQ94" s="370">
        <f>+VLOOKUP(AP94,SharePoint!$BA$3:$BY$140,2,FALSE)</f>
        <v>0</v>
      </c>
      <c r="AR94" s="370">
        <f>+VLOOKUP(AP94,SharePoint!$BA$3:$BY$140,3,FALSE)</f>
        <v>0</v>
      </c>
      <c r="AS94" s="370">
        <f>+VLOOKUP(AP94,SharePoint!$BA$3:$BY$140,4,FALSE)</f>
        <v>0</v>
      </c>
      <c r="AT94" s="370">
        <f>+VLOOKUP(AP94,SharePoint!$BA$3:$BY$140,5,FALSE)</f>
        <v>0</v>
      </c>
      <c r="AU94" s="370">
        <f>+VLOOKUP(AP94,SharePoint!$BA$3:$BY$140,6,FALSE)</f>
        <v>0</v>
      </c>
      <c r="AV94" s="370">
        <f>+VLOOKUP(AP94,SharePoint!$BA$3:$BY$140,7,FALSE)</f>
        <v>2</v>
      </c>
      <c r="AW94" s="370">
        <f>+VLOOKUP(AP94,SharePoint!$BA$3:$BY$140,8,FALSE)</f>
        <v>0</v>
      </c>
      <c r="AX94" s="370">
        <f>+VLOOKUP(AP94,SharePoint!$BA$3:$BY$140,9,FALSE)</f>
        <v>2</v>
      </c>
      <c r="AY94" s="370">
        <f>+VLOOKUP(AP94,SharePoint!$BA$3:$BY$140,10,FALSE)</f>
        <v>0</v>
      </c>
      <c r="AZ94" s="370">
        <f>+VLOOKUP(AP94,SharePoint!$BA$3:$BY$140,11,FALSE)</f>
        <v>1</v>
      </c>
      <c r="BA94" s="370">
        <f>+VLOOKUP(AP94,SharePoint!$BA$3:$BY$140,12,FALSE)</f>
        <v>1</v>
      </c>
      <c r="BB94" s="370">
        <f>+VLOOKUP(AP94,SharePoint!$BA$3:$BY$140,13,FALSE)</f>
        <v>0</v>
      </c>
      <c r="BC94" s="226">
        <f>+VLOOKUP(AP94,SharePoint!$BA$3:$BY$140,14,FALSE)</f>
        <v>0</v>
      </c>
      <c r="BD94" s="226">
        <f>+VLOOKUP(AP94,SharePoint!$BA$3:$BY$140,15,FALSE)</f>
        <v>0</v>
      </c>
      <c r="BE94" s="226">
        <f>+VLOOKUP(AP94,SharePoint!$BA$3:$BY$140,16,FALSE)</f>
        <v>0</v>
      </c>
      <c r="BF94" s="226">
        <f>+VLOOKUP(AP94,SharePoint!$BA$3:$BY$140,17,FALSE)</f>
        <v>0</v>
      </c>
      <c r="BG94" s="226">
        <f>+VLOOKUP(AP94,SharePoint!$BA$3:$BY$140,18,FALSE)</f>
        <v>0</v>
      </c>
      <c r="BH94" s="226">
        <f>+VLOOKUP(AP94,SharePoint!$BA$3:$BY$140,19,FALSE)</f>
        <v>2</v>
      </c>
      <c r="BI94" s="226">
        <f>+VLOOKUP(AP94,SharePoint!$BA$3:$BY$140,20,FALSE)</f>
        <v>0</v>
      </c>
      <c r="BJ94" s="226">
        <f>+VLOOKUP(AP94,SharePoint!$BA$3:$BY$140,21,FALSE)</f>
        <v>1</v>
      </c>
      <c r="BK94" s="226">
        <f>+VLOOKUP(AP94,SharePoint!$BA$3:$BY$140,22,FALSE)</f>
        <v>1</v>
      </c>
      <c r="BL94" s="226">
        <f>+VLOOKUP(AP94,SharePoint!$BA$3:$BY$140,23,FALSE)</f>
        <v>1</v>
      </c>
      <c r="BM94" s="226">
        <f>+VLOOKUP(AP94,SharePoint!$BA$3:$BY$140,24,FALSE)</f>
        <v>1</v>
      </c>
      <c r="BN94" s="226">
        <f>+VLOOKUP(AP94,SharePoint!$BA$3:$BY$140,25,FALSE)</f>
        <v>0</v>
      </c>
      <c r="BO94" s="214" t="s">
        <v>873</v>
      </c>
      <c r="BP94" s="214" t="s">
        <v>873</v>
      </c>
      <c r="BQ94" s="214" t="s">
        <v>873</v>
      </c>
      <c r="BR94" s="214" t="s">
        <v>873</v>
      </c>
      <c r="BS94" s="214" t="s">
        <v>873</v>
      </c>
      <c r="BT94" s="215" t="s">
        <v>3005</v>
      </c>
      <c r="BU94" s="214" t="s">
        <v>873</v>
      </c>
      <c r="BV94" s="214" t="s">
        <v>3120</v>
      </c>
      <c r="BW94" s="214" t="s">
        <v>2947</v>
      </c>
      <c r="BX94" s="214" t="s">
        <v>3254</v>
      </c>
      <c r="BY94" s="214" t="s">
        <v>875</v>
      </c>
      <c r="BZ94" s="214" t="s">
        <v>875</v>
      </c>
      <c r="CA94" s="449">
        <v>0</v>
      </c>
      <c r="CB94" s="374" t="s">
        <v>3525</v>
      </c>
      <c r="CC94" s="328">
        <v>6</v>
      </c>
      <c r="CD94" s="328">
        <v>6</v>
      </c>
      <c r="CE94" s="394">
        <f t="shared" si="17"/>
        <v>1</v>
      </c>
      <c r="CF94" s="395">
        <f t="shared" si="28"/>
        <v>6</v>
      </c>
      <c r="CG94" s="391" t="s">
        <v>3509</v>
      </c>
      <c r="CH94" s="327" t="str">
        <f t="shared" si="18"/>
        <v>Numérica</v>
      </c>
      <c r="CI94" s="327"/>
      <c r="CJ94" s="381">
        <v>3</v>
      </c>
      <c r="CK94" s="378" t="str">
        <f t="shared" si="19"/>
        <v>Dirección de Innovación y Desarrollo</v>
      </c>
      <c r="CL94" s="378" t="str">
        <f t="shared" si="20"/>
        <v>Jornadas de socialización y acompañamiento técnico de instrumentos, guías, metodologías y lineamientos durante la vigencia 2025</v>
      </c>
      <c r="CM94" s="378" t="str">
        <f t="shared" si="21"/>
        <v>Número de jornadas de socializacion e implementación de  instrumentos, guías, metodologías y lineamientos</v>
      </c>
      <c r="CN94" s="390">
        <f t="shared" si="22"/>
        <v>6</v>
      </c>
      <c r="CO94" s="390">
        <f t="shared" si="23"/>
        <v>6</v>
      </c>
      <c r="CP94" s="387">
        <f t="shared" si="26"/>
        <v>1</v>
      </c>
      <c r="CQ94" s="378">
        <f t="shared" si="24"/>
        <v>6</v>
      </c>
      <c r="CR94" s="379" t="str">
        <f t="shared" si="25"/>
        <v>CUMPLIO</v>
      </c>
      <c r="DB94" s="381"/>
      <c r="DC94" s="381"/>
      <c r="DD94" s="381"/>
      <c r="DE94" s="381"/>
      <c r="DF94" s="381"/>
      <c r="DG94" s="381"/>
    </row>
    <row r="95" spans="1:111" s="83" customFormat="1" ht="127.5" customHeight="1" thickTop="1" thickBot="1">
      <c r="A95" s="83" t="s">
        <v>509</v>
      </c>
      <c r="B95" s="75" t="s">
        <v>151</v>
      </c>
      <c r="C95" s="75" t="s">
        <v>938</v>
      </c>
      <c r="D95" s="75" t="s">
        <v>903</v>
      </c>
      <c r="E95" s="75" t="s">
        <v>858</v>
      </c>
      <c r="F95" s="75" t="s">
        <v>1363</v>
      </c>
      <c r="G95" s="75" t="s">
        <v>215</v>
      </c>
      <c r="H95" s="75" t="s">
        <v>860</v>
      </c>
      <c r="I95" s="76" t="s">
        <v>1364</v>
      </c>
      <c r="J95" s="76" t="s">
        <v>1365</v>
      </c>
      <c r="K95" s="76" t="s">
        <v>1366</v>
      </c>
      <c r="L95" s="77" t="s">
        <v>875</v>
      </c>
      <c r="M95" s="77" t="s">
        <v>774</v>
      </c>
      <c r="N95" s="77" t="s">
        <v>509</v>
      </c>
      <c r="O95" s="77" t="s">
        <v>775</v>
      </c>
      <c r="P95" s="77" t="s">
        <v>1367</v>
      </c>
      <c r="Q95" s="77" t="s">
        <v>1368</v>
      </c>
      <c r="R95" s="77" t="s">
        <v>1369</v>
      </c>
      <c r="S95" s="77" t="s">
        <v>1370</v>
      </c>
      <c r="T95" s="76" t="s">
        <v>892</v>
      </c>
      <c r="U95" s="76" t="s">
        <v>871</v>
      </c>
      <c r="V95" s="76" t="s">
        <v>988</v>
      </c>
      <c r="W95" s="79">
        <v>0</v>
      </c>
      <c r="X95" s="302">
        <v>1</v>
      </c>
      <c r="Y95" s="76"/>
      <c r="Z95" s="76"/>
      <c r="AA95" s="76"/>
      <c r="AB95" s="76"/>
      <c r="AC95" s="76"/>
      <c r="AD95" s="79">
        <v>1</v>
      </c>
      <c r="AE95" s="76"/>
      <c r="AF95" s="76"/>
      <c r="AG95" s="76"/>
      <c r="AH95" s="76"/>
      <c r="AI95" s="76"/>
      <c r="AJ95" s="79">
        <v>1</v>
      </c>
      <c r="AK95" s="76" t="s">
        <v>873</v>
      </c>
      <c r="AL95" s="76" t="s">
        <v>873</v>
      </c>
      <c r="AM95" s="76" t="s">
        <v>873</v>
      </c>
      <c r="AN95" s="76" t="s">
        <v>873</v>
      </c>
      <c r="AO95" s="76" t="s">
        <v>317</v>
      </c>
      <c r="AP95" s="82" t="s">
        <v>509</v>
      </c>
      <c r="AQ95" s="370">
        <f>+VLOOKUP(AP95,SharePoint!$BA$3:$BY$140,2,FALSE)</f>
        <v>0</v>
      </c>
      <c r="AR95" s="370">
        <f>+VLOOKUP(AP95,SharePoint!$BA$3:$BY$140,3,FALSE)</f>
        <v>0</v>
      </c>
      <c r="AS95" s="370">
        <f>+VLOOKUP(AP95,SharePoint!$BA$3:$BY$140,4,FALSE)</f>
        <v>0</v>
      </c>
      <c r="AT95" s="370">
        <f>+VLOOKUP(AP95,SharePoint!$BA$3:$BY$140,5,FALSE)</f>
        <v>0</v>
      </c>
      <c r="AU95" s="370">
        <f>+VLOOKUP(AP95,SharePoint!$BA$3:$BY$140,6,FALSE)</f>
        <v>0</v>
      </c>
      <c r="AV95" s="370">
        <f>+VLOOKUP(AP95,SharePoint!$BA$3:$BY$140,7,FALSE)</f>
        <v>7</v>
      </c>
      <c r="AW95" s="370">
        <f>+VLOOKUP(AP95,SharePoint!$BA$3:$BY$140,8,FALSE)</f>
        <v>0</v>
      </c>
      <c r="AX95" s="370">
        <f>+VLOOKUP(AP95,SharePoint!$BA$3:$BY$140,9,FALSE)</f>
        <v>0</v>
      </c>
      <c r="AY95" s="370">
        <f>+VLOOKUP(AP95,SharePoint!$BA$3:$BY$140,10,FALSE)</f>
        <v>0</v>
      </c>
      <c r="AZ95" s="370">
        <f>+VLOOKUP(AP95,SharePoint!$BA$3:$BY$140,11,FALSE)</f>
        <v>0</v>
      </c>
      <c r="BA95" s="370">
        <f>+VLOOKUP(AP95,SharePoint!$BA$3:$BY$140,12,FALSE)</f>
        <v>0</v>
      </c>
      <c r="BB95" s="370">
        <f>+VLOOKUP(AP95,SharePoint!$BA$3:$BY$140,13,FALSE)</f>
        <v>21</v>
      </c>
      <c r="BC95" s="226">
        <f>+VLOOKUP(AP95,SharePoint!$BA$3:$BY$140,14,FALSE)</f>
        <v>0</v>
      </c>
      <c r="BD95" s="226">
        <f>+VLOOKUP(AP95,SharePoint!$BA$3:$BY$140,15,FALSE)</f>
        <v>0</v>
      </c>
      <c r="BE95" s="226">
        <f>+VLOOKUP(AP95,SharePoint!$BA$3:$BY$140,16,FALSE)</f>
        <v>0</v>
      </c>
      <c r="BF95" s="226">
        <f>+VLOOKUP(AP95,SharePoint!$BA$3:$BY$140,17,FALSE)</f>
        <v>0</v>
      </c>
      <c r="BG95" s="226">
        <f>+VLOOKUP(AP95,SharePoint!$BA$3:$BY$140,18,FALSE)</f>
        <v>0</v>
      </c>
      <c r="BH95" s="226">
        <f>+VLOOKUP(AP95,SharePoint!$BA$3:$BY$140,19,FALSE)</f>
        <v>8</v>
      </c>
      <c r="BI95" s="226">
        <f>+VLOOKUP(AP95,SharePoint!$BA$3:$BY$140,20,FALSE)</f>
        <v>0</v>
      </c>
      <c r="BJ95" s="226">
        <f>+VLOOKUP(AP95,SharePoint!$BA$3:$BY$140,21,FALSE)</f>
        <v>0</v>
      </c>
      <c r="BK95" s="226">
        <f>+VLOOKUP(AP95,SharePoint!$BA$3:$BY$140,22,FALSE)</f>
        <v>0</v>
      </c>
      <c r="BL95" s="226">
        <f>+VLOOKUP(AP95,SharePoint!$BA$3:$BY$140,23,FALSE)</f>
        <v>0</v>
      </c>
      <c r="BM95" s="226">
        <f>+VLOOKUP(AP95,SharePoint!$BA$3:$BY$140,24,FALSE)</f>
        <v>0</v>
      </c>
      <c r="BN95" s="226">
        <f>+VLOOKUP(AP95,SharePoint!$BA$3:$BY$140,25,FALSE)</f>
        <v>21</v>
      </c>
      <c r="BO95" s="214" t="s">
        <v>873</v>
      </c>
      <c r="BP95" s="214" t="s">
        <v>873</v>
      </c>
      <c r="BQ95" s="214" t="s">
        <v>873</v>
      </c>
      <c r="BR95" s="214" t="s">
        <v>873</v>
      </c>
      <c r="BS95" s="214" t="s">
        <v>873</v>
      </c>
      <c r="BT95" s="215" t="s">
        <v>777</v>
      </c>
      <c r="BU95" s="214" t="s">
        <v>873</v>
      </c>
      <c r="BV95" s="214" t="s">
        <v>873</v>
      </c>
      <c r="BW95" s="214" t="s">
        <v>873</v>
      </c>
      <c r="BX95" s="214" t="s">
        <v>875</v>
      </c>
      <c r="BY95" s="214" t="s">
        <v>875</v>
      </c>
      <c r="BZ95" s="214" t="s">
        <v>3280</v>
      </c>
      <c r="CA95" s="449">
        <v>1</v>
      </c>
      <c r="CB95" s="339" t="s">
        <v>3486</v>
      </c>
      <c r="CC95" s="359">
        <f t="shared" si="15"/>
        <v>28</v>
      </c>
      <c r="CD95" s="359">
        <f t="shared" si="16"/>
        <v>29</v>
      </c>
      <c r="CE95" s="382">
        <f t="shared" si="17"/>
        <v>0.96551724137931039</v>
      </c>
      <c r="CF95" s="382">
        <f t="shared" si="28"/>
        <v>1</v>
      </c>
      <c r="CG95" s="327" t="s">
        <v>3511</v>
      </c>
      <c r="CH95" s="327" t="str">
        <f t="shared" si="18"/>
        <v xml:space="preserve">Porcentual </v>
      </c>
      <c r="CI95" s="327"/>
      <c r="CJ95" s="381">
        <v>1</v>
      </c>
      <c r="CK95" s="376" t="str">
        <f t="shared" si="19"/>
        <v>Dirección Jurídica</v>
      </c>
      <c r="CL95" s="376" t="str">
        <f t="shared" si="20"/>
        <v>Porcentaje de sanciones enviadas en grado de consulta en contra de la SNS.</v>
      </c>
      <c r="CM95" s="376" t="str">
        <f t="shared" si="21"/>
        <v xml:space="preserve">(Numero de sanciones revocadas en grado de consulta en el periodo / Numero de sanciones enviadas al grado de consulta en el periodo)x100. </v>
      </c>
      <c r="CN95" s="389">
        <f t="shared" si="22"/>
        <v>28</v>
      </c>
      <c r="CO95" s="389">
        <f t="shared" si="23"/>
        <v>29</v>
      </c>
      <c r="CP95" s="388">
        <f t="shared" si="26"/>
        <v>0.96551724137931039</v>
      </c>
      <c r="CQ95" s="377">
        <f t="shared" si="24"/>
        <v>1</v>
      </c>
      <c r="CR95" s="377" t="str">
        <f t="shared" si="25"/>
        <v>INCUMPLIO</v>
      </c>
      <c r="DB95" s="381"/>
      <c r="DC95" s="381"/>
      <c r="DD95" s="381"/>
      <c r="DE95" s="381"/>
      <c r="DF95" s="381"/>
      <c r="DG95" s="381"/>
    </row>
    <row r="96" spans="1:111" s="83" customFormat="1" ht="127.5" customHeight="1" thickTop="1" thickBot="1">
      <c r="A96" s="83" t="s">
        <v>471</v>
      </c>
      <c r="B96" s="75" t="s">
        <v>151</v>
      </c>
      <c r="C96" s="75" t="s">
        <v>938</v>
      </c>
      <c r="D96" s="75" t="s">
        <v>903</v>
      </c>
      <c r="E96" s="75" t="s">
        <v>858</v>
      </c>
      <c r="F96" s="75" t="s">
        <v>1363</v>
      </c>
      <c r="G96" s="75" t="s">
        <v>215</v>
      </c>
      <c r="H96" s="75" t="s">
        <v>860</v>
      </c>
      <c r="I96" s="76" t="s">
        <v>1364</v>
      </c>
      <c r="J96" s="76" t="s">
        <v>1365</v>
      </c>
      <c r="K96" s="76" t="s">
        <v>1371</v>
      </c>
      <c r="L96" s="77" t="s">
        <v>875</v>
      </c>
      <c r="M96" s="77" t="s">
        <v>782</v>
      </c>
      <c r="N96" s="77" t="s">
        <v>471</v>
      </c>
      <c r="O96" s="77" t="s">
        <v>783</v>
      </c>
      <c r="P96" s="77" t="s">
        <v>784</v>
      </c>
      <c r="Q96" s="77" t="s">
        <v>1372</v>
      </c>
      <c r="R96" s="77" t="s">
        <v>1373</v>
      </c>
      <c r="S96" s="77" t="s">
        <v>1374</v>
      </c>
      <c r="T96" s="76" t="s">
        <v>892</v>
      </c>
      <c r="U96" s="76" t="s">
        <v>871</v>
      </c>
      <c r="V96" s="76" t="s">
        <v>988</v>
      </c>
      <c r="W96" s="75" t="s">
        <v>1375</v>
      </c>
      <c r="X96" s="302">
        <v>1</v>
      </c>
      <c r="Y96" s="76"/>
      <c r="Z96" s="76"/>
      <c r="AA96" s="76"/>
      <c r="AB96" s="76"/>
      <c r="AC96" s="76"/>
      <c r="AD96" s="79">
        <v>1</v>
      </c>
      <c r="AE96" s="76"/>
      <c r="AF96" s="76"/>
      <c r="AG96" s="76"/>
      <c r="AH96" s="76"/>
      <c r="AI96" s="76"/>
      <c r="AJ96" s="79">
        <v>1</v>
      </c>
      <c r="AK96" s="76" t="s">
        <v>873</v>
      </c>
      <c r="AL96" s="76" t="s">
        <v>873</v>
      </c>
      <c r="AM96" s="76" t="s">
        <v>873</v>
      </c>
      <c r="AN96" s="76" t="s">
        <v>873</v>
      </c>
      <c r="AO96" s="76" t="s">
        <v>317</v>
      </c>
      <c r="AP96" s="82" t="s">
        <v>471</v>
      </c>
      <c r="AQ96" s="370">
        <f>+VLOOKUP(AP96,SharePoint!$BA$3:$BY$140,2,FALSE)</f>
        <v>0</v>
      </c>
      <c r="AR96" s="370">
        <f>+VLOOKUP(AP96,SharePoint!$BA$3:$BY$140,3,FALSE)</f>
        <v>0</v>
      </c>
      <c r="AS96" s="370">
        <f>+VLOOKUP(AP96,SharePoint!$BA$3:$BY$140,4,FALSE)</f>
        <v>0</v>
      </c>
      <c r="AT96" s="370">
        <f>+VLOOKUP(AP96,SharePoint!$BA$3:$BY$140,5,FALSE)</f>
        <v>0</v>
      </c>
      <c r="AU96" s="370">
        <f>+VLOOKUP(AP96,SharePoint!$BA$3:$BY$140,6,FALSE)</f>
        <v>0</v>
      </c>
      <c r="AV96" s="370">
        <f>+VLOOKUP(AP96,SharePoint!$BA$3:$BY$140,7,FALSE)</f>
        <v>88</v>
      </c>
      <c r="AW96" s="370">
        <f>+VLOOKUP(AP96,SharePoint!$BA$3:$BY$140,8,FALSE)</f>
        <v>0</v>
      </c>
      <c r="AX96" s="370">
        <f>+VLOOKUP(AP96,SharePoint!$BA$3:$BY$140,9,FALSE)</f>
        <v>0</v>
      </c>
      <c r="AY96" s="370">
        <f>+VLOOKUP(AP96,SharePoint!$BA$3:$BY$140,10,FALSE)</f>
        <v>0</v>
      </c>
      <c r="AZ96" s="370">
        <f>+VLOOKUP(AP96,SharePoint!$BA$3:$BY$140,11,FALSE)</f>
        <v>0</v>
      </c>
      <c r="BA96" s="370">
        <f>+VLOOKUP(AP96,SharePoint!$BA$3:$BY$140,12,FALSE)</f>
        <v>0</v>
      </c>
      <c r="BB96" s="370">
        <f>+VLOOKUP(AP96,SharePoint!$BA$3:$BY$140,13,FALSE)</f>
        <v>115491</v>
      </c>
      <c r="BC96" s="226">
        <f>+VLOOKUP(AP96,SharePoint!$BA$3:$BY$140,14,FALSE)</f>
        <v>0</v>
      </c>
      <c r="BD96" s="226">
        <f>+VLOOKUP(AP96,SharePoint!$BA$3:$BY$140,15,FALSE)</f>
        <v>0</v>
      </c>
      <c r="BE96" s="226">
        <f>+VLOOKUP(AP96,SharePoint!$BA$3:$BY$140,16,FALSE)</f>
        <v>0</v>
      </c>
      <c r="BF96" s="226">
        <f>+VLOOKUP(AP96,SharePoint!$BA$3:$BY$140,17,FALSE)</f>
        <v>0</v>
      </c>
      <c r="BG96" s="226">
        <f>+VLOOKUP(AP96,SharePoint!$BA$3:$BY$140,18,FALSE)</f>
        <v>0</v>
      </c>
      <c r="BH96" s="226">
        <f>+VLOOKUP(AP96,SharePoint!$BA$3:$BY$140,19,FALSE)</f>
        <v>88</v>
      </c>
      <c r="BI96" s="226">
        <f>+VLOOKUP(AP96,SharePoint!$BA$3:$BY$140,20,FALSE)</f>
        <v>0</v>
      </c>
      <c r="BJ96" s="226">
        <f>+VLOOKUP(AP96,SharePoint!$BA$3:$BY$140,21,FALSE)</f>
        <v>0</v>
      </c>
      <c r="BK96" s="226">
        <f>+VLOOKUP(AP96,SharePoint!$BA$3:$BY$140,22,FALSE)</f>
        <v>0</v>
      </c>
      <c r="BL96" s="226">
        <f>+VLOOKUP(AP96,SharePoint!$BA$3:$BY$140,23,FALSE)</f>
        <v>0</v>
      </c>
      <c r="BM96" s="226">
        <f>+VLOOKUP(AP96,SharePoint!$BA$3:$BY$140,24,FALSE)</f>
        <v>0</v>
      </c>
      <c r="BN96" s="226">
        <f>+VLOOKUP(AP96,SharePoint!$BA$3:$BY$140,25,FALSE)</f>
        <v>123166</v>
      </c>
      <c r="BO96" s="214" t="s">
        <v>873</v>
      </c>
      <c r="BP96" s="214" t="s">
        <v>873</v>
      </c>
      <c r="BQ96" s="214" t="s">
        <v>873</v>
      </c>
      <c r="BR96" s="214" t="s">
        <v>873</v>
      </c>
      <c r="BS96" s="214" t="s">
        <v>873</v>
      </c>
      <c r="BT96" s="215" t="s">
        <v>785</v>
      </c>
      <c r="BU96" s="214" t="s">
        <v>873</v>
      </c>
      <c r="BV96" s="214" t="s">
        <v>873</v>
      </c>
      <c r="BW96" s="214" t="s">
        <v>873</v>
      </c>
      <c r="BX96" s="214" t="s">
        <v>875</v>
      </c>
      <c r="BY96" s="214" t="s">
        <v>875</v>
      </c>
      <c r="BZ96" s="214" t="s">
        <v>3274</v>
      </c>
      <c r="CA96" s="449">
        <v>1</v>
      </c>
      <c r="CB96" s="339" t="s">
        <v>3459</v>
      </c>
      <c r="CC96" s="359">
        <f t="shared" si="15"/>
        <v>115579</v>
      </c>
      <c r="CD96" s="359">
        <f t="shared" si="16"/>
        <v>123254</v>
      </c>
      <c r="CE96" s="382">
        <f t="shared" si="17"/>
        <v>0.93773021565223036</v>
      </c>
      <c r="CF96" s="382">
        <f t="shared" si="28"/>
        <v>1</v>
      </c>
      <c r="CG96" s="327" t="s">
        <v>3511</v>
      </c>
      <c r="CH96" s="327" t="str">
        <f t="shared" si="18"/>
        <v xml:space="preserve">Porcentual </v>
      </c>
      <c r="CI96" s="327"/>
      <c r="CJ96" s="381">
        <v>2</v>
      </c>
      <c r="CK96" s="378" t="str">
        <f t="shared" si="19"/>
        <v>Dirección Jurídica</v>
      </c>
      <c r="CL96" s="378" t="str">
        <f t="shared" si="20"/>
        <v>Porcentaje de requerimientos tramitados oportunamente en desarrollo de las acciones constitucionales de tutela</v>
      </c>
      <c r="CM96" s="378" t="str">
        <f t="shared" si="21"/>
        <v>(Número de requerimientos gestionados por el grupo de tutelas / Número de requerimientos notificados al grupo de tutelas en el periodo) x100.</v>
      </c>
      <c r="CN96" s="390">
        <f t="shared" si="22"/>
        <v>115579</v>
      </c>
      <c r="CO96" s="390">
        <f t="shared" si="23"/>
        <v>123254</v>
      </c>
      <c r="CP96" s="387">
        <f t="shared" si="26"/>
        <v>0.93773021565223036</v>
      </c>
      <c r="CQ96" s="379">
        <f t="shared" si="24"/>
        <v>1</v>
      </c>
      <c r="CR96" s="379" t="str">
        <f t="shared" si="25"/>
        <v>INCUMPLIO</v>
      </c>
      <c r="DB96" s="381"/>
      <c r="DC96" s="381"/>
      <c r="DD96" s="381"/>
      <c r="DE96" s="381"/>
      <c r="DF96" s="381"/>
      <c r="DG96" s="381"/>
    </row>
    <row r="97" spans="1:111" s="83" customFormat="1" ht="127.5" customHeight="1" thickTop="1" thickBot="1">
      <c r="A97" s="83" t="s">
        <v>277</v>
      </c>
      <c r="B97" s="75" t="s">
        <v>151</v>
      </c>
      <c r="C97" s="75" t="s">
        <v>938</v>
      </c>
      <c r="D97" s="75" t="s">
        <v>903</v>
      </c>
      <c r="E97" s="75" t="s">
        <v>858</v>
      </c>
      <c r="F97" s="75" t="s">
        <v>1363</v>
      </c>
      <c r="G97" s="75" t="s">
        <v>215</v>
      </c>
      <c r="H97" s="75" t="s">
        <v>860</v>
      </c>
      <c r="I97" s="76" t="s">
        <v>894</v>
      </c>
      <c r="J97" s="76" t="s">
        <v>895</v>
      </c>
      <c r="K97" s="76" t="s">
        <v>1371</v>
      </c>
      <c r="L97" s="77" t="s">
        <v>875</v>
      </c>
      <c r="M97" s="77" t="s">
        <v>1376</v>
      </c>
      <c r="N97" s="77" t="s">
        <v>277</v>
      </c>
      <c r="O97" s="77" t="s">
        <v>1377</v>
      </c>
      <c r="P97" s="77" t="s">
        <v>698</v>
      </c>
      <c r="Q97" s="77" t="s">
        <v>1378</v>
      </c>
      <c r="R97" s="77" t="s">
        <v>1379</v>
      </c>
      <c r="S97" s="77" t="s">
        <v>1380</v>
      </c>
      <c r="T97" s="76" t="s">
        <v>892</v>
      </c>
      <c r="U97" s="76" t="s">
        <v>871</v>
      </c>
      <c r="V97" s="76" t="s">
        <v>988</v>
      </c>
      <c r="W97" s="118" t="s">
        <v>1381</v>
      </c>
      <c r="X97" s="302">
        <v>1</v>
      </c>
      <c r="Y97" s="76"/>
      <c r="Z97" s="76"/>
      <c r="AA97" s="76"/>
      <c r="AB97" s="76"/>
      <c r="AC97" s="76"/>
      <c r="AD97" s="79">
        <v>1</v>
      </c>
      <c r="AE97" s="76"/>
      <c r="AF97" s="76"/>
      <c r="AG97" s="76"/>
      <c r="AH97" s="76"/>
      <c r="AI97" s="76"/>
      <c r="AJ97" s="79">
        <v>1</v>
      </c>
      <c r="AK97" s="76" t="s">
        <v>873</v>
      </c>
      <c r="AL97" s="76" t="s">
        <v>873</v>
      </c>
      <c r="AM97" s="76" t="s">
        <v>873</v>
      </c>
      <c r="AN97" s="76" t="s">
        <v>873</v>
      </c>
      <c r="AO97" s="76" t="s">
        <v>317</v>
      </c>
      <c r="AP97" s="82" t="s">
        <v>277</v>
      </c>
      <c r="AQ97" s="370">
        <f>+VLOOKUP(AP97,SharePoint!$BA$3:$BY$140,2,FALSE)</f>
        <v>0</v>
      </c>
      <c r="AR97" s="370">
        <f>+VLOOKUP(AP97,SharePoint!$BA$3:$BY$140,3,FALSE)</f>
        <v>0</v>
      </c>
      <c r="AS97" s="370">
        <f>+VLOOKUP(AP97,SharePoint!$BA$3:$BY$140,4,FALSE)</f>
        <v>0</v>
      </c>
      <c r="AT97" s="370">
        <f>+VLOOKUP(AP97,SharePoint!$BA$3:$BY$140,5,FALSE)</f>
        <v>0</v>
      </c>
      <c r="AU97" s="370">
        <f>+VLOOKUP(AP97,SharePoint!$BA$3:$BY$140,6,FALSE)</f>
        <v>0</v>
      </c>
      <c r="AV97" s="370">
        <f>+VLOOKUP(AP97,SharePoint!$BA$3:$BY$140,7,FALSE)</f>
        <v>14</v>
      </c>
      <c r="AW97" s="370">
        <f>+VLOOKUP(AP97,SharePoint!$BA$3:$BY$140,8,FALSE)</f>
        <v>0</v>
      </c>
      <c r="AX97" s="370">
        <f>+VLOOKUP(AP97,SharePoint!$BA$3:$BY$140,9,FALSE)</f>
        <v>0</v>
      </c>
      <c r="AY97" s="370">
        <f>+VLOOKUP(AP97,SharePoint!$BA$3:$BY$140,10,FALSE)</f>
        <v>0</v>
      </c>
      <c r="AZ97" s="370">
        <f>+VLOOKUP(AP97,SharePoint!$BA$3:$BY$140,11,FALSE)</f>
        <v>0</v>
      </c>
      <c r="BA97" s="370">
        <f>+VLOOKUP(AP97,SharePoint!$BA$3:$BY$140,12,FALSE)</f>
        <v>0</v>
      </c>
      <c r="BB97" s="370">
        <f>+VLOOKUP(AP97,SharePoint!$BA$3:$BY$140,13,FALSE)</f>
        <v>6</v>
      </c>
      <c r="BC97" s="226">
        <f>+VLOOKUP(AP97,SharePoint!$BA$3:$BY$140,14,FALSE)</f>
        <v>0</v>
      </c>
      <c r="BD97" s="226">
        <f>+VLOOKUP(AP97,SharePoint!$BA$3:$BY$140,15,FALSE)</f>
        <v>0</v>
      </c>
      <c r="BE97" s="226">
        <f>+VLOOKUP(AP97,SharePoint!$BA$3:$BY$140,16,FALSE)</f>
        <v>0</v>
      </c>
      <c r="BF97" s="226">
        <f>+VLOOKUP(AP97,SharePoint!$BA$3:$BY$140,17,FALSE)</f>
        <v>0</v>
      </c>
      <c r="BG97" s="226">
        <f>+VLOOKUP(AP97,SharePoint!$BA$3:$BY$140,18,FALSE)</f>
        <v>0</v>
      </c>
      <c r="BH97" s="226">
        <f>+VLOOKUP(AP97,SharePoint!$BA$3:$BY$140,19,FALSE)</f>
        <v>14</v>
      </c>
      <c r="BI97" s="226">
        <f>+VLOOKUP(AP97,SharePoint!$BA$3:$BY$140,20,FALSE)</f>
        <v>0</v>
      </c>
      <c r="BJ97" s="226">
        <f>+VLOOKUP(AP97,SharePoint!$BA$3:$BY$140,21,FALSE)</f>
        <v>0</v>
      </c>
      <c r="BK97" s="226">
        <f>+VLOOKUP(AP97,SharePoint!$BA$3:$BY$140,22,FALSE)</f>
        <v>0</v>
      </c>
      <c r="BL97" s="226">
        <f>+VLOOKUP(AP97,SharePoint!$BA$3:$BY$140,23,FALSE)</f>
        <v>0</v>
      </c>
      <c r="BM97" s="226">
        <f>+VLOOKUP(AP97,SharePoint!$BA$3:$BY$140,24,FALSE)</f>
        <v>0</v>
      </c>
      <c r="BN97" s="226">
        <f>+VLOOKUP(AP97,SharePoint!$BA$3:$BY$140,25,FALSE)</f>
        <v>6</v>
      </c>
      <c r="BO97" s="214" t="s">
        <v>873</v>
      </c>
      <c r="BP97" s="214" t="s">
        <v>873</v>
      </c>
      <c r="BQ97" s="214" t="s">
        <v>873</v>
      </c>
      <c r="BR97" s="214" t="s">
        <v>873</v>
      </c>
      <c r="BS97" s="214" t="s">
        <v>873</v>
      </c>
      <c r="BT97" s="215" t="s">
        <v>2816</v>
      </c>
      <c r="BU97" s="214" t="s">
        <v>873</v>
      </c>
      <c r="BV97" s="214" t="s">
        <v>873</v>
      </c>
      <c r="BW97" s="214" t="s">
        <v>873</v>
      </c>
      <c r="BX97" s="214" t="s">
        <v>875</v>
      </c>
      <c r="BY97" s="214" t="s">
        <v>875</v>
      </c>
      <c r="BZ97" s="214" t="s">
        <v>3349</v>
      </c>
      <c r="CA97" s="449">
        <v>1</v>
      </c>
      <c r="CB97" s="373" t="s">
        <v>3460</v>
      </c>
      <c r="CC97" s="359">
        <f t="shared" si="15"/>
        <v>20</v>
      </c>
      <c r="CD97" s="359">
        <f t="shared" si="16"/>
        <v>20</v>
      </c>
      <c r="CE97" s="382">
        <f t="shared" si="17"/>
        <v>1</v>
      </c>
      <c r="CF97" s="382">
        <f t="shared" si="28"/>
        <v>1</v>
      </c>
      <c r="CG97" s="327" t="s">
        <v>3509</v>
      </c>
      <c r="CH97" s="327" t="str">
        <f t="shared" si="18"/>
        <v xml:space="preserve">Porcentual </v>
      </c>
      <c r="CI97" s="327"/>
      <c r="CJ97" s="381">
        <v>3</v>
      </c>
      <c r="CK97" s="376" t="str">
        <f t="shared" si="19"/>
        <v>Dirección Jurídica</v>
      </c>
      <c r="CL97" s="376" t="str">
        <f t="shared" si="20"/>
        <v xml:space="preserve">Porcentaje de actos administrativos entregados para firma, numeración y su posterior notificación, que resuelven los recursos y solicitudes de revocatoria directa que se presenten dentro de los procesos de única instancia. </v>
      </c>
      <c r="CM97" s="376" t="str">
        <f t="shared" si="21"/>
        <v>(Número de proyectos de actos administrativos entregados para firma del Superintendente Nacional de Salud, que resuelven recursos y solicitudes de única instancia, que vencen dentro del periodo a reportar / No solicitudes de única instancia con vencimiento dentro del periodo a reportar) x 100.</v>
      </c>
      <c r="CN97" s="389">
        <f t="shared" si="22"/>
        <v>20</v>
      </c>
      <c r="CO97" s="389">
        <f t="shared" si="23"/>
        <v>20</v>
      </c>
      <c r="CP97" s="388">
        <f t="shared" si="26"/>
        <v>1</v>
      </c>
      <c r="CQ97" s="377">
        <f t="shared" si="24"/>
        <v>1</v>
      </c>
      <c r="CR97" s="377" t="str">
        <f t="shared" si="25"/>
        <v>CUMPLIO</v>
      </c>
      <c r="DB97" s="381"/>
      <c r="DC97" s="381"/>
      <c r="DD97" s="381"/>
      <c r="DE97" s="381"/>
      <c r="DF97" s="381"/>
      <c r="DG97" s="381"/>
    </row>
    <row r="98" spans="1:111" s="83" customFormat="1" ht="127.5" customHeight="1" thickTop="1" thickBot="1">
      <c r="A98" s="83" t="s">
        <v>282</v>
      </c>
      <c r="B98" s="75" t="s">
        <v>151</v>
      </c>
      <c r="C98" s="75" t="s">
        <v>938</v>
      </c>
      <c r="D98" s="75" t="s">
        <v>903</v>
      </c>
      <c r="E98" s="75" t="s">
        <v>858</v>
      </c>
      <c r="F98" s="75" t="s">
        <v>1363</v>
      </c>
      <c r="G98" s="75" t="s">
        <v>215</v>
      </c>
      <c r="H98" s="75" t="s">
        <v>860</v>
      </c>
      <c r="I98" s="76" t="s">
        <v>894</v>
      </c>
      <c r="J98" s="76" t="s">
        <v>895</v>
      </c>
      <c r="K98" s="76" t="s">
        <v>1371</v>
      </c>
      <c r="L98" s="77" t="s">
        <v>875</v>
      </c>
      <c r="M98" s="77" t="s">
        <v>699</v>
      </c>
      <c r="N98" s="77" t="s">
        <v>282</v>
      </c>
      <c r="O98" s="77" t="s">
        <v>1382</v>
      </c>
      <c r="P98" s="77" t="s">
        <v>701</v>
      </c>
      <c r="Q98" s="77" t="s">
        <v>1383</v>
      </c>
      <c r="R98" s="77" t="s">
        <v>1384</v>
      </c>
      <c r="S98" s="77" t="s">
        <v>1385</v>
      </c>
      <c r="T98" s="76" t="s">
        <v>892</v>
      </c>
      <c r="U98" s="76" t="s">
        <v>871</v>
      </c>
      <c r="V98" s="76" t="s">
        <v>988</v>
      </c>
      <c r="W98" s="75" t="s">
        <v>1386</v>
      </c>
      <c r="X98" s="302">
        <v>1</v>
      </c>
      <c r="Y98" s="76"/>
      <c r="Z98" s="76"/>
      <c r="AA98" s="76"/>
      <c r="AB98" s="76"/>
      <c r="AC98" s="76"/>
      <c r="AD98" s="79">
        <v>1</v>
      </c>
      <c r="AE98" s="76"/>
      <c r="AF98" s="76"/>
      <c r="AG98" s="76"/>
      <c r="AH98" s="76"/>
      <c r="AI98" s="76"/>
      <c r="AJ98" s="79">
        <v>1</v>
      </c>
      <c r="AK98" s="76" t="s">
        <v>873</v>
      </c>
      <c r="AL98" s="76" t="s">
        <v>873</v>
      </c>
      <c r="AM98" s="76" t="s">
        <v>873</v>
      </c>
      <c r="AN98" s="76" t="s">
        <v>873</v>
      </c>
      <c r="AO98" s="76" t="s">
        <v>317</v>
      </c>
      <c r="AP98" s="82" t="s">
        <v>282</v>
      </c>
      <c r="AQ98" s="370">
        <f>+VLOOKUP(AP98,SharePoint!$BA$3:$BY$140,2,FALSE)</f>
        <v>0</v>
      </c>
      <c r="AR98" s="370">
        <f>+VLOOKUP(AP98,SharePoint!$BA$3:$BY$140,3,FALSE)</f>
        <v>0</v>
      </c>
      <c r="AS98" s="370">
        <f>+VLOOKUP(AP98,SharePoint!$BA$3:$BY$140,4,FALSE)</f>
        <v>0</v>
      </c>
      <c r="AT98" s="370">
        <f>+VLOOKUP(AP98,SharePoint!$BA$3:$BY$140,5,FALSE)</f>
        <v>0</v>
      </c>
      <c r="AU98" s="370">
        <f>+VLOOKUP(AP98,SharePoint!$BA$3:$BY$140,6,FALSE)</f>
        <v>0</v>
      </c>
      <c r="AV98" s="370">
        <f>+VLOOKUP(AP98,SharePoint!$BA$3:$BY$140,7,FALSE)</f>
        <v>114</v>
      </c>
      <c r="AW98" s="370">
        <f>+VLOOKUP(AP98,SharePoint!$BA$3:$BY$140,8,FALSE)</f>
        <v>0</v>
      </c>
      <c r="AX98" s="370">
        <f>+VLOOKUP(AP98,SharePoint!$BA$3:$BY$140,9,FALSE)</f>
        <v>0</v>
      </c>
      <c r="AY98" s="370">
        <f>+VLOOKUP(AP98,SharePoint!$BA$3:$BY$140,10,FALSE)</f>
        <v>0</v>
      </c>
      <c r="AZ98" s="370">
        <f>+VLOOKUP(AP98,SharePoint!$BA$3:$BY$140,11,FALSE)</f>
        <v>0</v>
      </c>
      <c r="BA98" s="370">
        <f>+VLOOKUP(AP98,SharePoint!$BA$3:$BY$140,12,FALSE)</f>
        <v>0</v>
      </c>
      <c r="BB98" s="370">
        <f>+VLOOKUP(AP98,SharePoint!$BA$3:$BY$140,13,FALSE)</f>
        <v>58</v>
      </c>
      <c r="BC98" s="226">
        <f>+VLOOKUP(AP98,SharePoint!$BA$3:$BY$140,14,FALSE)</f>
        <v>0</v>
      </c>
      <c r="BD98" s="226">
        <f>+VLOOKUP(AP98,SharePoint!$BA$3:$BY$140,15,FALSE)</f>
        <v>0</v>
      </c>
      <c r="BE98" s="226">
        <f>+VLOOKUP(AP98,SharePoint!$BA$3:$BY$140,16,FALSE)</f>
        <v>0</v>
      </c>
      <c r="BF98" s="226">
        <f>+VLOOKUP(AP98,SharePoint!$BA$3:$BY$140,17,FALSE)</f>
        <v>0</v>
      </c>
      <c r="BG98" s="226">
        <f>+VLOOKUP(AP98,SharePoint!$BA$3:$BY$140,18,FALSE)</f>
        <v>0</v>
      </c>
      <c r="BH98" s="226">
        <f>+VLOOKUP(AP98,SharePoint!$BA$3:$BY$140,19,FALSE)</f>
        <v>114</v>
      </c>
      <c r="BI98" s="226">
        <f>+VLOOKUP(AP98,SharePoint!$BA$3:$BY$140,20,FALSE)</f>
        <v>0</v>
      </c>
      <c r="BJ98" s="226">
        <f>+VLOOKUP(AP98,SharePoint!$BA$3:$BY$140,21,FALSE)</f>
        <v>0</v>
      </c>
      <c r="BK98" s="226">
        <f>+VLOOKUP(AP98,SharePoint!$BA$3:$BY$140,22,FALSE)</f>
        <v>0</v>
      </c>
      <c r="BL98" s="226">
        <f>+VLOOKUP(AP98,SharePoint!$BA$3:$BY$140,23,FALSE)</f>
        <v>0</v>
      </c>
      <c r="BM98" s="226">
        <f>+VLOOKUP(AP98,SharePoint!$BA$3:$BY$140,24,FALSE)</f>
        <v>0</v>
      </c>
      <c r="BN98" s="226">
        <f>+VLOOKUP(AP98,SharePoint!$BA$3:$BY$140,25,FALSE)</f>
        <v>58</v>
      </c>
      <c r="BO98" s="214" t="s">
        <v>873</v>
      </c>
      <c r="BP98" s="214" t="s">
        <v>873</v>
      </c>
      <c r="BQ98" s="214" t="s">
        <v>873</v>
      </c>
      <c r="BR98" s="214" t="s">
        <v>873</v>
      </c>
      <c r="BS98" s="214" t="s">
        <v>873</v>
      </c>
      <c r="BT98" s="215" t="s">
        <v>2817</v>
      </c>
      <c r="BU98" s="214" t="s">
        <v>873</v>
      </c>
      <c r="BV98" s="214" t="s">
        <v>873</v>
      </c>
      <c r="BW98" s="214" t="s">
        <v>873</v>
      </c>
      <c r="BX98" s="214" t="s">
        <v>875</v>
      </c>
      <c r="BY98" s="214" t="s">
        <v>875</v>
      </c>
      <c r="BZ98" s="214" t="s">
        <v>3273</v>
      </c>
      <c r="CA98" s="449">
        <v>1</v>
      </c>
      <c r="CB98" s="373" t="s">
        <v>3461</v>
      </c>
      <c r="CC98" s="359">
        <f t="shared" si="15"/>
        <v>172</v>
      </c>
      <c r="CD98" s="359">
        <f t="shared" si="16"/>
        <v>172</v>
      </c>
      <c r="CE98" s="382">
        <f t="shared" si="17"/>
        <v>1</v>
      </c>
      <c r="CF98" s="382">
        <f t="shared" si="28"/>
        <v>1</v>
      </c>
      <c r="CG98" s="327" t="s">
        <v>3509</v>
      </c>
      <c r="CH98" s="327" t="str">
        <f t="shared" si="18"/>
        <v xml:space="preserve">Porcentual </v>
      </c>
      <c r="CI98" s="327"/>
      <c r="CJ98" s="381">
        <v>4</v>
      </c>
      <c r="CK98" s="378" t="str">
        <f t="shared" si="19"/>
        <v>Dirección Jurídica</v>
      </c>
      <c r="CL98" s="378" t="str">
        <f t="shared" si="20"/>
        <v>Actos administrativos entregados  para firma, numeración y su posterior notificación oportuna, que resuelven los recursos de apelación, queja y solicitudes de revocatoria directa que se presentaron dentro de los procesos sancionatorios en  segunda instancia.</v>
      </c>
      <c r="CM98" s="378" t="str">
        <f t="shared" si="21"/>
        <v>(Número de recursos entregados para la firma del Superintendente Nacional de Salud resolviendo solicitudes de segunda instancia que se vencen dentro del periodo a reportar / No solicitudes de segunda instancia con vencimiento dentro del periodo a reportar) x 100</v>
      </c>
      <c r="CN98" s="390">
        <f t="shared" si="22"/>
        <v>172</v>
      </c>
      <c r="CO98" s="390">
        <f t="shared" si="23"/>
        <v>172</v>
      </c>
      <c r="CP98" s="387">
        <f t="shared" si="26"/>
        <v>1</v>
      </c>
      <c r="CQ98" s="379">
        <f t="shared" si="24"/>
        <v>1</v>
      </c>
      <c r="CR98" s="379" t="str">
        <f t="shared" si="25"/>
        <v>CUMPLIO</v>
      </c>
      <c r="DB98" s="381"/>
      <c r="DC98" s="381"/>
      <c r="DD98" s="381"/>
      <c r="DE98" s="381"/>
      <c r="DF98" s="381"/>
      <c r="DG98" s="381"/>
    </row>
    <row r="99" spans="1:111" s="83" customFormat="1" ht="127.5" customHeight="1" thickTop="1" thickBot="1">
      <c r="A99" s="83" t="s">
        <v>475</v>
      </c>
      <c r="B99" s="75" t="s">
        <v>151</v>
      </c>
      <c r="C99" s="75" t="s">
        <v>938</v>
      </c>
      <c r="D99" s="75" t="s">
        <v>903</v>
      </c>
      <c r="E99" s="75" t="s">
        <v>858</v>
      </c>
      <c r="F99" s="75" t="s">
        <v>1387</v>
      </c>
      <c r="G99" s="75" t="s">
        <v>215</v>
      </c>
      <c r="H99" s="75" t="s">
        <v>860</v>
      </c>
      <c r="I99" s="76" t="s">
        <v>1364</v>
      </c>
      <c r="J99" s="76" t="s">
        <v>1365</v>
      </c>
      <c r="K99" s="76" t="s">
        <v>1371</v>
      </c>
      <c r="L99" s="77" t="s">
        <v>875</v>
      </c>
      <c r="M99" s="77" t="s">
        <v>1388</v>
      </c>
      <c r="N99" s="77" t="s">
        <v>475</v>
      </c>
      <c r="O99" s="77" t="s">
        <v>1389</v>
      </c>
      <c r="P99" s="77" t="s">
        <v>1390</v>
      </c>
      <c r="Q99" s="77" t="s">
        <v>1391</v>
      </c>
      <c r="R99" s="77" t="s">
        <v>1392</v>
      </c>
      <c r="S99" s="77" t="s">
        <v>1393</v>
      </c>
      <c r="T99" s="76" t="s">
        <v>892</v>
      </c>
      <c r="U99" s="76" t="s">
        <v>871</v>
      </c>
      <c r="V99" s="76" t="s">
        <v>988</v>
      </c>
      <c r="W99" s="75" t="s">
        <v>1394</v>
      </c>
      <c r="X99" s="314">
        <v>1</v>
      </c>
      <c r="Y99" s="75"/>
      <c r="Z99" s="75"/>
      <c r="AA99" s="75"/>
      <c r="AB99" s="75"/>
      <c r="AC99" s="75"/>
      <c r="AD99" s="110">
        <v>1</v>
      </c>
      <c r="AE99" s="75"/>
      <c r="AF99" s="75"/>
      <c r="AG99" s="75"/>
      <c r="AH99" s="75"/>
      <c r="AI99" s="75"/>
      <c r="AJ99" s="110">
        <v>1</v>
      </c>
      <c r="AK99" s="76" t="s">
        <v>873</v>
      </c>
      <c r="AL99" s="76" t="s">
        <v>873</v>
      </c>
      <c r="AM99" s="76" t="s">
        <v>873</v>
      </c>
      <c r="AN99" s="76" t="s">
        <v>873</v>
      </c>
      <c r="AO99" s="76" t="s">
        <v>317</v>
      </c>
      <c r="AP99" s="82" t="s">
        <v>475</v>
      </c>
      <c r="AQ99" s="370">
        <f>+VLOOKUP(AP99,SharePoint!$BA$3:$BY$140,2,FALSE)</f>
        <v>0</v>
      </c>
      <c r="AR99" s="370">
        <f>+VLOOKUP(AP99,SharePoint!$BA$3:$BY$140,3,FALSE)</f>
        <v>0</v>
      </c>
      <c r="AS99" s="370">
        <f>+VLOOKUP(AP99,SharePoint!$BA$3:$BY$140,4,FALSE)</f>
        <v>0</v>
      </c>
      <c r="AT99" s="370">
        <f>+VLOOKUP(AP99,SharePoint!$BA$3:$BY$140,5,FALSE)</f>
        <v>0</v>
      </c>
      <c r="AU99" s="370">
        <f>+VLOOKUP(AP99,SharePoint!$BA$3:$BY$140,6,FALSE)</f>
        <v>0</v>
      </c>
      <c r="AV99" s="370">
        <f>+VLOOKUP(AP99,SharePoint!$BA$3:$BY$140,7,FALSE)</f>
        <v>475</v>
      </c>
      <c r="AW99" s="370">
        <f>+VLOOKUP(AP99,SharePoint!$BA$3:$BY$140,8,FALSE)</f>
        <v>0</v>
      </c>
      <c r="AX99" s="370">
        <f>+VLOOKUP(AP99,SharePoint!$BA$3:$BY$140,9,FALSE)</f>
        <v>0</v>
      </c>
      <c r="AY99" s="370">
        <f>+VLOOKUP(AP99,SharePoint!$BA$3:$BY$140,10,FALSE)</f>
        <v>0</v>
      </c>
      <c r="AZ99" s="370">
        <f>+VLOOKUP(AP99,SharePoint!$BA$3:$BY$140,11,FALSE)</f>
        <v>0</v>
      </c>
      <c r="BA99" s="370">
        <f>+VLOOKUP(AP99,SharePoint!$BA$3:$BY$140,12,FALSE)</f>
        <v>0</v>
      </c>
      <c r="BB99" s="370">
        <f>+VLOOKUP(AP99,SharePoint!$BA$3:$BY$140,13,FALSE)</f>
        <v>524</v>
      </c>
      <c r="BC99" s="226">
        <f>+VLOOKUP(AP99,SharePoint!$BA$3:$BY$140,14,FALSE)</f>
        <v>0</v>
      </c>
      <c r="BD99" s="226">
        <f>+VLOOKUP(AP99,SharePoint!$BA$3:$BY$140,15,FALSE)</f>
        <v>0</v>
      </c>
      <c r="BE99" s="226">
        <f>+VLOOKUP(AP99,SharePoint!$BA$3:$BY$140,16,FALSE)</f>
        <v>0</v>
      </c>
      <c r="BF99" s="226">
        <f>+VLOOKUP(AP99,SharePoint!$BA$3:$BY$140,17,FALSE)</f>
        <v>0</v>
      </c>
      <c r="BG99" s="226">
        <f>+VLOOKUP(AP99,SharePoint!$BA$3:$BY$140,18,FALSE)</f>
        <v>0</v>
      </c>
      <c r="BH99" s="226">
        <f>+VLOOKUP(AP99,SharePoint!$BA$3:$BY$140,19,FALSE)</f>
        <v>484</v>
      </c>
      <c r="BI99" s="226">
        <f>+VLOOKUP(AP99,SharePoint!$BA$3:$BY$140,20,FALSE)</f>
        <v>0</v>
      </c>
      <c r="BJ99" s="226">
        <f>+VLOOKUP(AP99,SharePoint!$BA$3:$BY$140,21,FALSE)</f>
        <v>0</v>
      </c>
      <c r="BK99" s="226">
        <f>+VLOOKUP(AP99,SharePoint!$BA$3:$BY$140,22,FALSE)</f>
        <v>0</v>
      </c>
      <c r="BL99" s="226">
        <f>+VLOOKUP(AP99,SharePoint!$BA$3:$BY$140,23,FALSE)</f>
        <v>0</v>
      </c>
      <c r="BM99" s="226">
        <f>+VLOOKUP(AP99,SharePoint!$BA$3:$BY$140,24,FALSE)</f>
        <v>0</v>
      </c>
      <c r="BN99" s="226">
        <f>+VLOOKUP(AP99,SharePoint!$BA$3:$BY$140,25,FALSE)</f>
        <v>524</v>
      </c>
      <c r="BO99" s="214" t="s">
        <v>873</v>
      </c>
      <c r="BP99" s="214" t="s">
        <v>873</v>
      </c>
      <c r="BQ99" s="214" t="s">
        <v>873</v>
      </c>
      <c r="BR99" s="214" t="s">
        <v>873</v>
      </c>
      <c r="BS99" s="214" t="s">
        <v>873</v>
      </c>
      <c r="BT99" s="215" t="s">
        <v>721</v>
      </c>
      <c r="BU99" s="214" t="s">
        <v>873</v>
      </c>
      <c r="BV99" s="214" t="s">
        <v>873</v>
      </c>
      <c r="BW99" s="214" t="s">
        <v>873</v>
      </c>
      <c r="BX99" s="214" t="s">
        <v>875</v>
      </c>
      <c r="BY99" s="214" t="s">
        <v>875</v>
      </c>
      <c r="BZ99" s="214" t="s">
        <v>3275</v>
      </c>
      <c r="CA99" s="449">
        <v>1</v>
      </c>
      <c r="CB99" s="339" t="s">
        <v>3462</v>
      </c>
      <c r="CC99" s="359">
        <f t="shared" si="15"/>
        <v>999</v>
      </c>
      <c r="CD99" s="359">
        <f t="shared" si="16"/>
        <v>1008</v>
      </c>
      <c r="CE99" s="382">
        <f t="shared" si="17"/>
        <v>0.9910714285714286</v>
      </c>
      <c r="CF99" s="382">
        <f t="shared" si="28"/>
        <v>1</v>
      </c>
      <c r="CG99" s="327" t="s">
        <v>3511</v>
      </c>
      <c r="CH99" s="327" t="str">
        <f t="shared" si="18"/>
        <v xml:space="preserve">Porcentual </v>
      </c>
      <c r="CI99" s="327"/>
      <c r="CJ99" s="381">
        <v>5</v>
      </c>
      <c r="CK99" s="376" t="str">
        <f t="shared" si="19"/>
        <v>Dirección Jurídica</v>
      </c>
      <c r="CL99" s="376" t="str">
        <f t="shared" si="20"/>
        <v xml:space="preserve">Porcentaje de conceptos, solicitudes y derechos de petición tramitados. </v>
      </c>
      <c r="CM99" s="376" t="str">
        <f t="shared" si="21"/>
        <v xml:space="preserve">(Número de conceptos, derechos de petición y solicitudes tramitados  en el semestre/ Número de conceptos, solicitudes y derechos de petición recibidos en el periodo)x 100 </v>
      </c>
      <c r="CN99" s="389">
        <f t="shared" si="22"/>
        <v>999</v>
      </c>
      <c r="CO99" s="389">
        <f t="shared" si="23"/>
        <v>1008</v>
      </c>
      <c r="CP99" s="388">
        <f t="shared" si="26"/>
        <v>0.9910714285714286</v>
      </c>
      <c r="CQ99" s="377">
        <f t="shared" si="24"/>
        <v>1</v>
      </c>
      <c r="CR99" s="377" t="str">
        <f t="shared" si="25"/>
        <v>INCUMPLIO</v>
      </c>
      <c r="DB99" s="381"/>
      <c r="DC99" s="381"/>
      <c r="DD99" s="381"/>
      <c r="DE99" s="381"/>
      <c r="DF99" s="381"/>
      <c r="DG99" s="381"/>
    </row>
    <row r="100" spans="1:111" s="83" customFormat="1" ht="127.5" customHeight="1" thickTop="1" thickBot="1">
      <c r="A100" s="83" t="s">
        <v>324</v>
      </c>
      <c r="B100" s="75" t="s">
        <v>151</v>
      </c>
      <c r="C100" s="75" t="s">
        <v>938</v>
      </c>
      <c r="D100" s="75" t="s">
        <v>903</v>
      </c>
      <c r="E100" s="75" t="s">
        <v>858</v>
      </c>
      <c r="F100" s="75" t="s">
        <v>1387</v>
      </c>
      <c r="G100" s="75" t="s">
        <v>215</v>
      </c>
      <c r="H100" s="75" t="s">
        <v>860</v>
      </c>
      <c r="I100" s="76" t="s">
        <v>1364</v>
      </c>
      <c r="J100" s="76" t="s">
        <v>1365</v>
      </c>
      <c r="K100" s="76" t="s">
        <v>1395</v>
      </c>
      <c r="L100" s="77" t="s">
        <v>875</v>
      </c>
      <c r="M100" s="77" t="s">
        <v>325</v>
      </c>
      <c r="N100" s="88" t="s">
        <v>324</v>
      </c>
      <c r="O100" s="77" t="s">
        <v>326</v>
      </c>
      <c r="P100" s="77" t="s">
        <v>327</v>
      </c>
      <c r="Q100" s="77" t="s">
        <v>327</v>
      </c>
      <c r="R100" s="77" t="s">
        <v>876</v>
      </c>
      <c r="S100" s="77" t="s">
        <v>1396</v>
      </c>
      <c r="T100" s="76" t="s">
        <v>892</v>
      </c>
      <c r="U100" s="76" t="s">
        <v>157</v>
      </c>
      <c r="V100" s="76" t="s">
        <v>1397</v>
      </c>
      <c r="W100" s="76">
        <v>4</v>
      </c>
      <c r="X100" s="299">
        <v>4</v>
      </c>
      <c r="Y100" s="76"/>
      <c r="Z100" s="76">
        <v>1</v>
      </c>
      <c r="AA100" s="76"/>
      <c r="AB100" s="76">
        <v>1</v>
      </c>
      <c r="AC100" s="76"/>
      <c r="AD100" s="76"/>
      <c r="AE100" s="76">
        <v>1</v>
      </c>
      <c r="AF100" s="76"/>
      <c r="AG100" s="76"/>
      <c r="AH100" s="76">
        <v>1</v>
      </c>
      <c r="AI100" s="76"/>
      <c r="AJ100" s="76"/>
      <c r="AK100" s="76" t="s">
        <v>873</v>
      </c>
      <c r="AL100" s="76" t="s">
        <v>873</v>
      </c>
      <c r="AM100" s="76" t="s">
        <v>873</v>
      </c>
      <c r="AN100" s="76" t="s">
        <v>873</v>
      </c>
      <c r="AO100" s="76" t="s">
        <v>317</v>
      </c>
      <c r="AP100" s="82" t="s">
        <v>324</v>
      </c>
      <c r="AQ100" s="370">
        <f>+VLOOKUP(AP100,SharePoint!$BA$3:$BY$140,2,FALSE)</f>
        <v>0</v>
      </c>
      <c r="AR100" s="370">
        <f>+VLOOKUP(AP100,SharePoint!$BA$3:$BY$140,3,FALSE)</f>
        <v>1</v>
      </c>
      <c r="AS100" s="370">
        <f>+VLOOKUP(AP100,SharePoint!$BA$3:$BY$140,4,FALSE)</f>
        <v>0</v>
      </c>
      <c r="AT100" s="370">
        <f>+VLOOKUP(AP100,SharePoint!$BA$3:$BY$140,5,FALSE)</f>
        <v>1</v>
      </c>
      <c r="AU100" s="370">
        <f>+VLOOKUP(AP100,SharePoint!$BA$3:$BY$140,6,FALSE)</f>
        <v>0</v>
      </c>
      <c r="AV100" s="370">
        <f>+VLOOKUP(AP100,SharePoint!$BA$3:$BY$140,7,FALSE)</f>
        <v>0</v>
      </c>
      <c r="AW100" s="370">
        <f>+VLOOKUP(AP100,SharePoint!$BA$3:$BY$140,8,FALSE)</f>
        <v>1</v>
      </c>
      <c r="AX100" s="370">
        <f>+VLOOKUP(AP100,SharePoint!$BA$3:$BY$140,9,FALSE)</f>
        <v>0</v>
      </c>
      <c r="AY100" s="370">
        <f>+VLOOKUP(AP100,SharePoint!$BA$3:$BY$140,10,FALSE)</f>
        <v>0</v>
      </c>
      <c r="AZ100" s="370">
        <f>+VLOOKUP(AP100,SharePoint!$BA$3:$BY$140,11,FALSE)</f>
        <v>1</v>
      </c>
      <c r="BA100" s="370">
        <f>+VLOOKUP(AP100,SharePoint!$BA$3:$BY$140,12,FALSE)</f>
        <v>0</v>
      </c>
      <c r="BB100" s="370">
        <f>+VLOOKUP(AP100,SharePoint!$BA$3:$BY$140,13,FALSE)</f>
        <v>0</v>
      </c>
      <c r="BC100" s="226">
        <f>+VLOOKUP(AP100,SharePoint!$BA$3:$BY$140,14,FALSE)</f>
        <v>0</v>
      </c>
      <c r="BD100" s="226">
        <f>+VLOOKUP(AP100,SharePoint!$BA$3:$BY$140,15,FALSE)</f>
        <v>1</v>
      </c>
      <c r="BE100" s="226">
        <f>+VLOOKUP(AP100,SharePoint!$BA$3:$BY$140,16,FALSE)</f>
        <v>0</v>
      </c>
      <c r="BF100" s="226">
        <f>+VLOOKUP(AP100,SharePoint!$BA$3:$BY$140,17,FALSE)</f>
        <v>1</v>
      </c>
      <c r="BG100" s="226">
        <f>+VLOOKUP(AP100,SharePoint!$BA$3:$BY$140,18,FALSE)</f>
        <v>0</v>
      </c>
      <c r="BH100" s="226">
        <f>+VLOOKUP(AP100,SharePoint!$BA$3:$BY$140,19,FALSE)</f>
        <v>0</v>
      </c>
      <c r="BI100" s="226">
        <f>+VLOOKUP(AP100,SharePoint!$BA$3:$BY$140,20,FALSE)</f>
        <v>1</v>
      </c>
      <c r="BJ100" s="226">
        <f>+VLOOKUP(AP100,SharePoint!$BA$3:$BY$140,21,FALSE)</f>
        <v>0</v>
      </c>
      <c r="BK100" s="226">
        <f>+VLOOKUP(AP100,SharePoint!$BA$3:$BY$140,22,FALSE)</f>
        <v>0</v>
      </c>
      <c r="BL100" s="226">
        <f>+VLOOKUP(AP100,SharePoint!$BA$3:$BY$140,23,FALSE)</f>
        <v>1</v>
      </c>
      <c r="BM100" s="226">
        <f>+VLOOKUP(AP100,SharePoint!$BA$3:$BY$140,24,FALSE)</f>
        <v>0</v>
      </c>
      <c r="BN100" s="226">
        <f>+VLOOKUP(AP100,SharePoint!$BA$3:$BY$140,25,FALSE)</f>
        <v>0</v>
      </c>
      <c r="BO100" s="214" t="s">
        <v>873</v>
      </c>
      <c r="BP100" s="214" t="s">
        <v>328</v>
      </c>
      <c r="BQ100" s="214" t="s">
        <v>873</v>
      </c>
      <c r="BR100" s="215" t="s">
        <v>533</v>
      </c>
      <c r="BS100" s="214" t="s">
        <v>873</v>
      </c>
      <c r="BT100" s="214" t="s">
        <v>873</v>
      </c>
      <c r="BU100" s="214" t="s">
        <v>2936</v>
      </c>
      <c r="BV100" s="214" t="s">
        <v>873</v>
      </c>
      <c r="BW100" s="214" t="s">
        <v>873</v>
      </c>
      <c r="BX100" s="214" t="s">
        <v>3270</v>
      </c>
      <c r="BY100" s="214" t="s">
        <v>875</v>
      </c>
      <c r="BZ100" s="214" t="s">
        <v>875</v>
      </c>
      <c r="CA100" s="449">
        <v>1</v>
      </c>
      <c r="CB100" s="373" t="s">
        <v>3463</v>
      </c>
      <c r="CC100" s="359">
        <f t="shared" si="15"/>
        <v>4</v>
      </c>
      <c r="CD100" s="359">
        <f t="shared" si="16"/>
        <v>4</v>
      </c>
      <c r="CE100" s="343">
        <f t="shared" si="17"/>
        <v>1</v>
      </c>
      <c r="CF100" s="381">
        <f t="shared" si="28"/>
        <v>4</v>
      </c>
      <c r="CG100" s="327" t="s">
        <v>3509</v>
      </c>
      <c r="CH100" s="327" t="str">
        <f t="shared" si="18"/>
        <v>Numérica</v>
      </c>
      <c r="CI100" s="327"/>
      <c r="CJ100" s="381">
        <v>1</v>
      </c>
      <c r="CK100" s="378" t="str">
        <f t="shared" si="19"/>
        <v>Dirección Jurídica</v>
      </c>
      <c r="CL100" s="378" t="str">
        <f t="shared" si="20"/>
        <v>Publicación trimestral del boletín jurídico en la página web de la Entidad</v>
      </c>
      <c r="CM100" s="378" t="str">
        <f t="shared" si="21"/>
        <v>Número de boletines publicados en el periodo</v>
      </c>
      <c r="CN100" s="390">
        <f t="shared" si="22"/>
        <v>4</v>
      </c>
      <c r="CO100" s="390">
        <f t="shared" si="23"/>
        <v>4</v>
      </c>
      <c r="CP100" s="387">
        <f t="shared" si="26"/>
        <v>1</v>
      </c>
      <c r="CQ100" s="378">
        <f t="shared" si="24"/>
        <v>4</v>
      </c>
      <c r="CR100" s="379" t="str">
        <f t="shared" si="25"/>
        <v>CUMPLIO</v>
      </c>
      <c r="DB100" s="381"/>
      <c r="DC100" s="381"/>
      <c r="DD100" s="381"/>
      <c r="DE100" s="381"/>
      <c r="DF100" s="381"/>
      <c r="DG100" s="381"/>
    </row>
    <row r="101" spans="1:111" s="83" customFormat="1" ht="127.5" customHeight="1" thickTop="1" thickBot="1">
      <c r="A101" s="83" t="s">
        <v>336</v>
      </c>
      <c r="B101" s="75" t="s">
        <v>151</v>
      </c>
      <c r="C101" s="75" t="s">
        <v>938</v>
      </c>
      <c r="D101" s="75" t="s">
        <v>903</v>
      </c>
      <c r="E101" s="75" t="s">
        <v>858</v>
      </c>
      <c r="F101" s="75" t="s">
        <v>1363</v>
      </c>
      <c r="G101" s="75" t="s">
        <v>215</v>
      </c>
      <c r="H101" s="75" t="s">
        <v>860</v>
      </c>
      <c r="I101" s="76" t="s">
        <v>1364</v>
      </c>
      <c r="J101" s="76" t="s">
        <v>1365</v>
      </c>
      <c r="K101" s="76" t="s">
        <v>1398</v>
      </c>
      <c r="L101" s="77" t="s">
        <v>875</v>
      </c>
      <c r="M101" s="77" t="s">
        <v>337</v>
      </c>
      <c r="N101" s="88" t="s">
        <v>336</v>
      </c>
      <c r="O101" s="77" t="s">
        <v>338</v>
      </c>
      <c r="P101" s="77" t="s">
        <v>339</v>
      </c>
      <c r="Q101" s="77" t="s">
        <v>1399</v>
      </c>
      <c r="R101" s="77" t="s">
        <v>1400</v>
      </c>
      <c r="S101" s="77" t="s">
        <v>1401</v>
      </c>
      <c r="T101" s="76" t="s">
        <v>892</v>
      </c>
      <c r="U101" s="76" t="s">
        <v>871</v>
      </c>
      <c r="V101" s="76" t="s">
        <v>872</v>
      </c>
      <c r="W101" s="78" t="s">
        <v>1402</v>
      </c>
      <c r="X101" s="304">
        <v>1</v>
      </c>
      <c r="Y101" s="76"/>
      <c r="Z101" s="76"/>
      <c r="AA101" s="79">
        <v>1</v>
      </c>
      <c r="AB101" s="78"/>
      <c r="AC101" s="78"/>
      <c r="AD101" s="79">
        <v>1</v>
      </c>
      <c r="AE101" s="78"/>
      <c r="AF101" s="78"/>
      <c r="AG101" s="79">
        <v>1</v>
      </c>
      <c r="AH101" s="78"/>
      <c r="AI101" s="78"/>
      <c r="AJ101" s="79">
        <v>1</v>
      </c>
      <c r="AK101" s="76" t="s">
        <v>873</v>
      </c>
      <c r="AL101" s="76" t="s">
        <v>873</v>
      </c>
      <c r="AM101" s="76" t="s">
        <v>873</v>
      </c>
      <c r="AN101" s="76" t="s">
        <v>873</v>
      </c>
      <c r="AO101" s="76" t="s">
        <v>317</v>
      </c>
      <c r="AP101" s="82" t="s">
        <v>336</v>
      </c>
      <c r="AQ101" s="370">
        <f>+VLOOKUP(AP101,SharePoint!$BA$3:$BY$140,2,FALSE)</f>
        <v>0</v>
      </c>
      <c r="AR101" s="370">
        <f>+VLOOKUP(AP101,SharePoint!$BA$3:$BY$140,3,FALSE)</f>
        <v>0</v>
      </c>
      <c r="AS101" s="370">
        <f>+VLOOKUP(AP101,SharePoint!$BA$3:$BY$140,4,FALSE)</f>
        <v>155</v>
      </c>
      <c r="AT101" s="370">
        <f>+VLOOKUP(AP101,SharePoint!$BA$3:$BY$140,5,FALSE)</f>
        <v>0</v>
      </c>
      <c r="AU101" s="370">
        <f>+VLOOKUP(AP101,SharePoint!$BA$3:$BY$140,6,FALSE)</f>
        <v>0</v>
      </c>
      <c r="AV101" s="370">
        <f>+VLOOKUP(AP101,SharePoint!$BA$3:$BY$140,7,FALSE)</f>
        <v>153</v>
      </c>
      <c r="AW101" s="370">
        <f>+VLOOKUP(AP101,SharePoint!$BA$3:$BY$140,8,FALSE)</f>
        <v>0</v>
      </c>
      <c r="AX101" s="370">
        <f>+VLOOKUP(AP101,SharePoint!$BA$3:$BY$140,9,FALSE)</f>
        <v>0</v>
      </c>
      <c r="AY101" s="370">
        <f>+VLOOKUP(AP101,SharePoint!$BA$3:$BY$140,10,FALSE)</f>
        <v>123</v>
      </c>
      <c r="AZ101" s="370">
        <f>+VLOOKUP(AP101,SharePoint!$BA$3:$BY$140,11,FALSE)</f>
        <v>0</v>
      </c>
      <c r="BA101" s="370">
        <f>+VLOOKUP(AP101,SharePoint!$BA$3:$BY$140,12,FALSE)</f>
        <v>0</v>
      </c>
      <c r="BB101" s="370">
        <f>+VLOOKUP(AP101,SharePoint!$BA$3:$BY$140,13,FALSE)</f>
        <v>74</v>
      </c>
      <c r="BC101" s="226">
        <f>+VLOOKUP(AP101,SharePoint!$BA$3:$BY$140,14,FALSE)</f>
        <v>0</v>
      </c>
      <c r="BD101" s="226">
        <f>+VLOOKUP(AP101,SharePoint!$BA$3:$BY$140,15,FALSE)</f>
        <v>0</v>
      </c>
      <c r="BE101" s="226">
        <f>+VLOOKUP(AP101,SharePoint!$BA$3:$BY$140,16,FALSE)</f>
        <v>155</v>
      </c>
      <c r="BF101" s="226">
        <f>+VLOOKUP(AP101,SharePoint!$BA$3:$BY$140,17,FALSE)</f>
        <v>0</v>
      </c>
      <c r="BG101" s="226">
        <f>+VLOOKUP(AP101,SharePoint!$BA$3:$BY$140,18,FALSE)</f>
        <v>0</v>
      </c>
      <c r="BH101" s="226">
        <f>+VLOOKUP(AP101,SharePoint!$BA$3:$BY$140,19,FALSE)</f>
        <v>153</v>
      </c>
      <c r="BI101" s="226">
        <f>+VLOOKUP(AP101,SharePoint!$BA$3:$BY$140,20,FALSE)</f>
        <v>0</v>
      </c>
      <c r="BJ101" s="226">
        <f>+VLOOKUP(AP101,SharePoint!$BA$3:$BY$140,21,FALSE)</f>
        <v>0</v>
      </c>
      <c r="BK101" s="226">
        <f>+VLOOKUP(AP101,SharePoint!$BA$3:$BY$140,22,FALSE)</f>
        <v>123</v>
      </c>
      <c r="BL101" s="226">
        <f>+VLOOKUP(AP101,SharePoint!$BA$3:$BY$140,23,FALSE)</f>
        <v>0</v>
      </c>
      <c r="BM101" s="226">
        <f>+VLOOKUP(AP101,SharePoint!$BA$3:$BY$140,24,FALSE)</f>
        <v>0</v>
      </c>
      <c r="BN101" s="226">
        <f>+VLOOKUP(AP101,SharePoint!$BA$3:$BY$140,25,FALSE)</f>
        <v>74</v>
      </c>
      <c r="BO101" s="214" t="s">
        <v>873</v>
      </c>
      <c r="BP101" s="214" t="s">
        <v>873</v>
      </c>
      <c r="BQ101" s="215" t="s">
        <v>340</v>
      </c>
      <c r="BR101" s="214" t="s">
        <v>873</v>
      </c>
      <c r="BS101" s="214" t="s">
        <v>873</v>
      </c>
      <c r="BT101" s="215" t="s">
        <v>723</v>
      </c>
      <c r="BU101" s="214" t="s">
        <v>873</v>
      </c>
      <c r="BV101" s="214" t="s">
        <v>873</v>
      </c>
      <c r="BW101" s="214" t="s">
        <v>2892</v>
      </c>
      <c r="BX101" s="214" t="s">
        <v>875</v>
      </c>
      <c r="BY101" s="214" t="s">
        <v>875</v>
      </c>
      <c r="BZ101" s="214" t="s">
        <v>3276</v>
      </c>
      <c r="CA101" s="449">
        <v>1</v>
      </c>
      <c r="CB101" s="373" t="s">
        <v>3464</v>
      </c>
      <c r="CC101" s="359">
        <f t="shared" si="15"/>
        <v>505</v>
      </c>
      <c r="CD101" s="359">
        <f t="shared" si="16"/>
        <v>505</v>
      </c>
      <c r="CE101" s="382">
        <f t="shared" si="17"/>
        <v>1</v>
      </c>
      <c r="CF101" s="382">
        <f t="shared" si="28"/>
        <v>1</v>
      </c>
      <c r="CG101" s="327" t="s">
        <v>3509</v>
      </c>
      <c r="CH101" s="327" t="str">
        <f t="shared" si="18"/>
        <v xml:space="preserve">Porcentual </v>
      </c>
      <c r="CI101" s="327"/>
      <c r="CJ101" s="381">
        <v>2</v>
      </c>
      <c r="CK101" s="376" t="str">
        <f t="shared" si="19"/>
        <v>Dirección Jurídica</v>
      </c>
      <c r="CL101" s="376" t="str">
        <f t="shared" si="20"/>
        <v>Porcentaje de acciones contencioso administrativas y ordinarias tramitadas dentro de los términos de ley</v>
      </c>
      <c r="CM101" s="376" t="str">
        <f t="shared" si="21"/>
        <v>(Número de acciones contencioso administrativas y ordinarias tramitadas dentro de los términos de ley en el periodo/Total de acciones contencioso administrativas y ordinarias recibidas para trámite en el periodo) x100</v>
      </c>
      <c r="CN101" s="389">
        <f t="shared" si="22"/>
        <v>505</v>
      </c>
      <c r="CO101" s="389">
        <f t="shared" si="23"/>
        <v>505</v>
      </c>
      <c r="CP101" s="388">
        <f t="shared" si="26"/>
        <v>1</v>
      </c>
      <c r="CQ101" s="377">
        <f t="shared" si="24"/>
        <v>1</v>
      </c>
      <c r="CR101" s="377" t="str">
        <f t="shared" si="25"/>
        <v>CUMPLIO</v>
      </c>
      <c r="DB101" s="381"/>
      <c r="DC101" s="381"/>
      <c r="DD101" s="381"/>
      <c r="DE101" s="381"/>
      <c r="DF101" s="381"/>
      <c r="DG101" s="381"/>
    </row>
    <row r="102" spans="1:111" s="83" customFormat="1" ht="127.5" customHeight="1" thickTop="1" thickBot="1">
      <c r="A102" s="83" t="s">
        <v>342</v>
      </c>
      <c r="B102" s="75" t="s">
        <v>151</v>
      </c>
      <c r="C102" s="75" t="s">
        <v>938</v>
      </c>
      <c r="D102" s="75" t="s">
        <v>903</v>
      </c>
      <c r="E102" s="75" t="s">
        <v>858</v>
      </c>
      <c r="F102" s="75" t="s">
        <v>1363</v>
      </c>
      <c r="G102" s="75" t="s">
        <v>215</v>
      </c>
      <c r="H102" s="75" t="s">
        <v>860</v>
      </c>
      <c r="I102" s="76" t="s">
        <v>1364</v>
      </c>
      <c r="J102" s="76" t="s">
        <v>1365</v>
      </c>
      <c r="K102" s="76" t="s">
        <v>1033</v>
      </c>
      <c r="L102" s="77" t="s">
        <v>875</v>
      </c>
      <c r="M102" s="77" t="s">
        <v>343</v>
      </c>
      <c r="N102" s="77" t="s">
        <v>342</v>
      </c>
      <c r="O102" s="77" t="s">
        <v>1403</v>
      </c>
      <c r="P102" s="77" t="s">
        <v>1404</v>
      </c>
      <c r="Q102" s="77" t="s">
        <v>1405</v>
      </c>
      <c r="R102" s="77" t="s">
        <v>1406</v>
      </c>
      <c r="S102" s="77" t="s">
        <v>1407</v>
      </c>
      <c r="T102" s="76" t="s">
        <v>892</v>
      </c>
      <c r="U102" s="76" t="s">
        <v>871</v>
      </c>
      <c r="V102" s="76" t="s">
        <v>872</v>
      </c>
      <c r="W102" s="78" t="s">
        <v>1408</v>
      </c>
      <c r="X102" s="304">
        <v>1</v>
      </c>
      <c r="Y102" s="76"/>
      <c r="Z102" s="76"/>
      <c r="AA102" s="79">
        <v>1</v>
      </c>
      <c r="AB102" s="78"/>
      <c r="AC102" s="78"/>
      <c r="AD102" s="79">
        <v>1</v>
      </c>
      <c r="AE102" s="78"/>
      <c r="AF102" s="78"/>
      <c r="AG102" s="79">
        <v>1</v>
      </c>
      <c r="AH102" s="78"/>
      <c r="AI102" s="78"/>
      <c r="AJ102" s="79">
        <v>1</v>
      </c>
      <c r="AK102" s="76" t="s">
        <v>873</v>
      </c>
      <c r="AL102" s="76" t="s">
        <v>873</v>
      </c>
      <c r="AM102" s="76" t="s">
        <v>873</v>
      </c>
      <c r="AN102" s="76" t="s">
        <v>873</v>
      </c>
      <c r="AO102" s="76" t="s">
        <v>317</v>
      </c>
      <c r="AP102" s="82" t="s">
        <v>342</v>
      </c>
      <c r="AQ102" s="370">
        <f>+VLOOKUP(AP102,SharePoint!$BA$3:$BY$140,2,FALSE)</f>
        <v>0</v>
      </c>
      <c r="AR102" s="370">
        <f>+VLOOKUP(AP102,SharePoint!$BA$3:$BY$140,3,FALSE)</f>
        <v>0</v>
      </c>
      <c r="AS102" s="370">
        <f>+VLOOKUP(AP102,SharePoint!$BA$3:$BY$140,4,FALSE)</f>
        <v>197</v>
      </c>
      <c r="AT102" s="370">
        <f>+VLOOKUP(AP102,SharePoint!$BA$3:$BY$140,5,FALSE)</f>
        <v>0</v>
      </c>
      <c r="AU102" s="370">
        <f>+VLOOKUP(AP102,SharePoint!$BA$3:$BY$140,6,FALSE)</f>
        <v>0</v>
      </c>
      <c r="AV102" s="370">
        <f>+VLOOKUP(AP102,SharePoint!$BA$3:$BY$140,7,FALSE)</f>
        <v>75</v>
      </c>
      <c r="AW102" s="370">
        <f>+VLOOKUP(AP102,SharePoint!$BA$3:$BY$140,8,FALSE)</f>
        <v>0</v>
      </c>
      <c r="AX102" s="370">
        <f>+VLOOKUP(AP102,SharePoint!$BA$3:$BY$140,9,FALSE)</f>
        <v>0</v>
      </c>
      <c r="AY102" s="370">
        <f>+VLOOKUP(AP102,SharePoint!$BA$3:$BY$140,10,FALSE)</f>
        <v>36</v>
      </c>
      <c r="AZ102" s="370">
        <f>+VLOOKUP(AP102,SharePoint!$BA$3:$BY$140,11,FALSE)</f>
        <v>0</v>
      </c>
      <c r="BA102" s="370">
        <f>+VLOOKUP(AP102,SharePoint!$BA$3:$BY$140,12,FALSE)</f>
        <v>0</v>
      </c>
      <c r="BB102" s="370">
        <f>+VLOOKUP(AP102,SharePoint!$BA$3:$BY$140,13,FALSE)</f>
        <v>83</v>
      </c>
      <c r="BC102" s="226">
        <f>+VLOOKUP(AP102,SharePoint!$BA$3:$BY$140,14,FALSE)</f>
        <v>0</v>
      </c>
      <c r="BD102" s="226">
        <f>+VLOOKUP(AP102,SharePoint!$BA$3:$BY$140,15,FALSE)</f>
        <v>0</v>
      </c>
      <c r="BE102" s="226">
        <f>+VLOOKUP(AP102,SharePoint!$BA$3:$BY$140,16,FALSE)</f>
        <v>211</v>
      </c>
      <c r="BF102" s="226">
        <f>+VLOOKUP(AP102,SharePoint!$BA$3:$BY$140,17,FALSE)</f>
        <v>0</v>
      </c>
      <c r="BG102" s="226">
        <f>+VLOOKUP(AP102,SharePoint!$BA$3:$BY$140,18,FALSE)</f>
        <v>0</v>
      </c>
      <c r="BH102" s="226">
        <f>+VLOOKUP(AP102,SharePoint!$BA$3:$BY$140,19,FALSE)</f>
        <v>78</v>
      </c>
      <c r="BI102" s="226">
        <f>+VLOOKUP(AP102,SharePoint!$BA$3:$BY$140,20,FALSE)</f>
        <v>0</v>
      </c>
      <c r="BJ102" s="226">
        <f>+VLOOKUP(AP102,SharePoint!$BA$3:$BY$140,21,FALSE)</f>
        <v>0</v>
      </c>
      <c r="BK102" s="226">
        <f>+VLOOKUP(AP102,SharePoint!$BA$3:$BY$140,22,FALSE)</f>
        <v>36</v>
      </c>
      <c r="BL102" s="226">
        <f>+VLOOKUP(AP102,SharePoint!$BA$3:$BY$140,23,FALSE)</f>
        <v>0</v>
      </c>
      <c r="BM102" s="226">
        <f>+VLOOKUP(AP102,SharePoint!$BA$3:$BY$140,24,FALSE)</f>
        <v>0</v>
      </c>
      <c r="BN102" s="226">
        <f>+VLOOKUP(AP102,SharePoint!$BA$3:$BY$140,25,FALSE)</f>
        <v>83</v>
      </c>
      <c r="BO102" s="214" t="s">
        <v>873</v>
      </c>
      <c r="BP102" s="214" t="s">
        <v>873</v>
      </c>
      <c r="BQ102" s="215" t="s">
        <v>346</v>
      </c>
      <c r="BR102" s="214" t="s">
        <v>873</v>
      </c>
      <c r="BS102" s="214" t="s">
        <v>873</v>
      </c>
      <c r="BT102" s="215" t="s">
        <v>725</v>
      </c>
      <c r="BU102" s="214" t="s">
        <v>873</v>
      </c>
      <c r="BV102" s="214" t="s">
        <v>873</v>
      </c>
      <c r="BW102" s="214" t="s">
        <v>2893</v>
      </c>
      <c r="BX102" s="214" t="s">
        <v>875</v>
      </c>
      <c r="BY102" s="214" t="s">
        <v>875</v>
      </c>
      <c r="BZ102" s="214" t="s">
        <v>3277</v>
      </c>
      <c r="CA102" s="449">
        <v>1</v>
      </c>
      <c r="CB102" s="339" t="s">
        <v>3520</v>
      </c>
      <c r="CC102" s="359">
        <f t="shared" si="15"/>
        <v>391</v>
      </c>
      <c r="CD102" s="359">
        <f t="shared" si="16"/>
        <v>408</v>
      </c>
      <c r="CE102" s="382">
        <f t="shared" si="17"/>
        <v>0.95833333333333337</v>
      </c>
      <c r="CF102" s="382">
        <f t="shared" si="28"/>
        <v>1</v>
      </c>
      <c r="CG102" s="327" t="s">
        <v>3511</v>
      </c>
      <c r="CH102" s="327" t="str">
        <f t="shared" si="18"/>
        <v xml:space="preserve">Porcentual </v>
      </c>
      <c r="CI102" s="327"/>
      <c r="CJ102" s="381">
        <v>3</v>
      </c>
      <c r="CK102" s="378" t="str">
        <f t="shared" si="19"/>
        <v>Dirección Jurídica</v>
      </c>
      <c r="CL102" s="378" t="str">
        <f t="shared" si="20"/>
        <v>Porcentaje solicitudes de conciliaciones que cumplan requisitos de ley para ser presentadas al Comité de Conciliación</v>
      </c>
      <c r="CM102" s="378" t="str">
        <f t="shared" si="21"/>
        <v>(Número de solicitudes de conciliaciones que cumplan los requisitos de ley para ser presentadas ante el Comité de conciliación, en un término de 15 días hábiles siguientes / Número total de solicitudes de conciliaciones recibidas que cumplen con los requisitos de ley durante el periodo de reporte) x 100.</v>
      </c>
      <c r="CN102" s="390">
        <f t="shared" si="22"/>
        <v>391</v>
      </c>
      <c r="CO102" s="390">
        <f t="shared" si="23"/>
        <v>408</v>
      </c>
      <c r="CP102" s="387">
        <f t="shared" si="26"/>
        <v>0.95833333333333337</v>
      </c>
      <c r="CQ102" s="379">
        <f t="shared" si="24"/>
        <v>1</v>
      </c>
      <c r="CR102" s="379" t="str">
        <f t="shared" si="25"/>
        <v>INCUMPLIO</v>
      </c>
      <c r="DB102" s="381"/>
      <c r="DC102" s="381"/>
      <c r="DD102" s="381"/>
      <c r="DE102" s="381"/>
      <c r="DF102" s="381"/>
      <c r="DG102" s="381"/>
    </row>
    <row r="103" spans="1:111" s="83" customFormat="1" ht="127.5" customHeight="1" thickTop="1" thickBot="1">
      <c r="A103" s="83" t="s">
        <v>513</v>
      </c>
      <c r="B103" s="75" t="s">
        <v>151</v>
      </c>
      <c r="C103" s="75" t="s">
        <v>938</v>
      </c>
      <c r="D103" s="75" t="s">
        <v>903</v>
      </c>
      <c r="E103" s="75" t="s">
        <v>858</v>
      </c>
      <c r="F103" s="75" t="s">
        <v>1363</v>
      </c>
      <c r="G103" s="75" t="s">
        <v>215</v>
      </c>
      <c r="H103" s="75" t="s">
        <v>860</v>
      </c>
      <c r="I103" s="76" t="s">
        <v>1364</v>
      </c>
      <c r="J103" s="76" t="s">
        <v>1365</v>
      </c>
      <c r="K103" s="76" t="s">
        <v>1033</v>
      </c>
      <c r="L103" s="77" t="s">
        <v>875</v>
      </c>
      <c r="M103" s="77" t="s">
        <v>711</v>
      </c>
      <c r="N103" s="88" t="s">
        <v>513</v>
      </c>
      <c r="O103" s="77" t="s">
        <v>712</v>
      </c>
      <c r="P103" s="77" t="s">
        <v>713</v>
      </c>
      <c r="Q103" s="77" t="s">
        <v>1409</v>
      </c>
      <c r="R103" s="77" t="s">
        <v>1410</v>
      </c>
      <c r="S103" s="77" t="s">
        <v>1411</v>
      </c>
      <c r="T103" s="76" t="s">
        <v>892</v>
      </c>
      <c r="U103" s="76" t="s">
        <v>871</v>
      </c>
      <c r="V103" s="76" t="s">
        <v>988</v>
      </c>
      <c r="W103" s="77">
        <v>0</v>
      </c>
      <c r="X103" s="297">
        <v>1</v>
      </c>
      <c r="Y103" s="75"/>
      <c r="Z103" s="75"/>
      <c r="AA103" s="78"/>
      <c r="AB103" s="78"/>
      <c r="AC103" s="78"/>
      <c r="AD103" s="110">
        <v>1</v>
      </c>
      <c r="AE103" s="78"/>
      <c r="AF103" s="78"/>
      <c r="AG103" s="78"/>
      <c r="AH103" s="78"/>
      <c r="AI103" s="78"/>
      <c r="AJ103" s="110">
        <v>1</v>
      </c>
      <c r="AK103" s="76" t="s">
        <v>873</v>
      </c>
      <c r="AL103" s="76" t="s">
        <v>873</v>
      </c>
      <c r="AM103" s="76" t="s">
        <v>873</v>
      </c>
      <c r="AN103" s="76" t="s">
        <v>873</v>
      </c>
      <c r="AO103" s="76" t="s">
        <v>317</v>
      </c>
      <c r="AP103" s="82" t="s">
        <v>513</v>
      </c>
      <c r="AQ103" s="370">
        <f>+VLOOKUP(AP103,SharePoint!$BA$3:$BY$140,2,FALSE)</f>
        <v>0</v>
      </c>
      <c r="AR103" s="370">
        <f>+VLOOKUP(AP103,SharePoint!$BA$3:$BY$140,3,FALSE)</f>
        <v>0</v>
      </c>
      <c r="AS103" s="370">
        <f>+VLOOKUP(AP103,SharePoint!$BA$3:$BY$140,4,FALSE)</f>
        <v>0</v>
      </c>
      <c r="AT103" s="370">
        <f>+VLOOKUP(AP103,SharePoint!$BA$3:$BY$140,5,FALSE)</f>
        <v>0</v>
      </c>
      <c r="AU103" s="370">
        <f>+VLOOKUP(AP103,SharePoint!$BA$3:$BY$140,6,FALSE)</f>
        <v>0</v>
      </c>
      <c r="AV103" s="370">
        <f>+VLOOKUP(AP103,SharePoint!$BA$3:$BY$140,7,FALSE)</f>
        <v>2</v>
      </c>
      <c r="AW103" s="370">
        <f>+VLOOKUP(AP103,SharePoint!$BA$3:$BY$140,8,FALSE)</f>
        <v>0</v>
      </c>
      <c r="AX103" s="370">
        <f>+VLOOKUP(AP103,SharePoint!$BA$3:$BY$140,9,FALSE)</f>
        <v>0</v>
      </c>
      <c r="AY103" s="370">
        <f>+VLOOKUP(AP103,SharePoint!$BA$3:$BY$140,10,FALSE)</f>
        <v>0</v>
      </c>
      <c r="AZ103" s="370">
        <f>+VLOOKUP(AP103,SharePoint!$BA$3:$BY$140,11,FALSE)</f>
        <v>0</v>
      </c>
      <c r="BA103" s="370">
        <f>+VLOOKUP(AP103,SharePoint!$BA$3:$BY$140,12,FALSE)</f>
        <v>0</v>
      </c>
      <c r="BB103" s="370">
        <f>+VLOOKUP(AP103,SharePoint!$BA$3:$BY$140,13,FALSE)</f>
        <v>2</v>
      </c>
      <c r="BC103" s="226">
        <f>+VLOOKUP(AP103,SharePoint!$BA$3:$BY$140,14,FALSE)</f>
        <v>0</v>
      </c>
      <c r="BD103" s="226">
        <f>+VLOOKUP(AP103,SharePoint!$BA$3:$BY$140,15,FALSE)</f>
        <v>0</v>
      </c>
      <c r="BE103" s="226">
        <f>+VLOOKUP(AP103,SharePoint!$BA$3:$BY$140,16,FALSE)</f>
        <v>0</v>
      </c>
      <c r="BF103" s="226">
        <f>+VLOOKUP(AP103,SharePoint!$BA$3:$BY$140,17,FALSE)</f>
        <v>0</v>
      </c>
      <c r="BG103" s="226">
        <f>+VLOOKUP(AP103,SharePoint!$BA$3:$BY$140,18,FALSE)</f>
        <v>0</v>
      </c>
      <c r="BH103" s="226">
        <f>+VLOOKUP(AP103,SharePoint!$BA$3:$BY$140,19,FALSE)</f>
        <v>2</v>
      </c>
      <c r="BI103" s="226">
        <f>+VLOOKUP(AP103,SharePoint!$BA$3:$BY$140,20,FALSE)</f>
        <v>0</v>
      </c>
      <c r="BJ103" s="226">
        <f>+VLOOKUP(AP103,SharePoint!$BA$3:$BY$140,21,FALSE)</f>
        <v>0</v>
      </c>
      <c r="BK103" s="226">
        <f>+VLOOKUP(AP103,SharePoint!$BA$3:$BY$140,22,FALSE)</f>
        <v>0</v>
      </c>
      <c r="BL103" s="226">
        <f>+VLOOKUP(AP103,SharePoint!$BA$3:$BY$140,23,FALSE)</f>
        <v>0</v>
      </c>
      <c r="BM103" s="226">
        <f>+VLOOKUP(AP103,SharePoint!$BA$3:$BY$140,24,FALSE)</f>
        <v>0</v>
      </c>
      <c r="BN103" s="226">
        <f>+VLOOKUP(AP103,SharePoint!$BA$3:$BY$140,25,FALSE)</f>
        <v>2</v>
      </c>
      <c r="BO103" s="214" t="s">
        <v>873</v>
      </c>
      <c r="BP103" s="214" t="s">
        <v>873</v>
      </c>
      <c r="BQ103" s="214" t="s">
        <v>873</v>
      </c>
      <c r="BR103" s="214" t="s">
        <v>873</v>
      </c>
      <c r="BS103" s="214" t="s">
        <v>873</v>
      </c>
      <c r="BT103" s="215" t="s">
        <v>714</v>
      </c>
      <c r="BU103" s="214" t="s">
        <v>873</v>
      </c>
      <c r="BV103" s="214" t="s">
        <v>873</v>
      </c>
      <c r="BW103" s="214" t="s">
        <v>873</v>
      </c>
      <c r="BX103" s="214" t="s">
        <v>875</v>
      </c>
      <c r="BY103" s="214" t="s">
        <v>875</v>
      </c>
      <c r="BZ103" s="214" t="s">
        <v>3281</v>
      </c>
      <c r="CA103" s="449">
        <v>1</v>
      </c>
      <c r="CB103" s="373" t="s">
        <v>3465</v>
      </c>
      <c r="CC103" s="359">
        <f t="shared" si="15"/>
        <v>4</v>
      </c>
      <c r="CD103" s="359">
        <f t="shared" si="16"/>
        <v>4</v>
      </c>
      <c r="CE103" s="382">
        <f t="shared" si="17"/>
        <v>1</v>
      </c>
      <c r="CF103" s="382">
        <f t="shared" si="28"/>
        <v>1</v>
      </c>
      <c r="CG103" s="327" t="s">
        <v>3509</v>
      </c>
      <c r="CH103" s="327" t="str">
        <f t="shared" si="18"/>
        <v xml:space="preserve">Porcentual </v>
      </c>
      <c r="CI103" s="327"/>
      <c r="CJ103" s="381">
        <v>4</v>
      </c>
      <c r="CK103" s="376" t="str">
        <f t="shared" si="19"/>
        <v>Dirección Jurídica</v>
      </c>
      <c r="CL103" s="376" t="str">
        <f t="shared" si="20"/>
        <v>Cumplimiento de planes de políticas de prevención de daño antijurídico</v>
      </c>
      <c r="CM103" s="376" t="str">
        <f t="shared" si="21"/>
        <v>(Cantidad de actividades ejecutadas en el periodo / Cantidad de actividades planificadas en la política de prevención del daño antijurídico para el periodo)*100</v>
      </c>
      <c r="CN103" s="389">
        <f t="shared" si="22"/>
        <v>4</v>
      </c>
      <c r="CO103" s="389">
        <f t="shared" si="23"/>
        <v>4</v>
      </c>
      <c r="CP103" s="388">
        <f t="shared" si="26"/>
        <v>1</v>
      </c>
      <c r="CQ103" s="377">
        <f t="shared" si="24"/>
        <v>1</v>
      </c>
      <c r="CR103" s="377" t="str">
        <f t="shared" si="25"/>
        <v>CUMPLIO</v>
      </c>
      <c r="DB103" s="381"/>
      <c r="DC103" s="381"/>
      <c r="DD103" s="381"/>
      <c r="DE103" s="381"/>
      <c r="DF103" s="381"/>
      <c r="DG103" s="381"/>
    </row>
    <row r="104" spans="1:111" s="83" customFormat="1" ht="127.5" customHeight="1" thickTop="1" thickBot="1">
      <c r="A104" s="83" t="s">
        <v>515</v>
      </c>
      <c r="B104" s="75" t="s">
        <v>151</v>
      </c>
      <c r="C104" s="75" t="s">
        <v>938</v>
      </c>
      <c r="D104" s="75" t="s">
        <v>903</v>
      </c>
      <c r="E104" s="75" t="s">
        <v>858</v>
      </c>
      <c r="F104" s="75" t="s">
        <v>1363</v>
      </c>
      <c r="G104" s="75" t="s">
        <v>215</v>
      </c>
      <c r="H104" s="75" t="s">
        <v>860</v>
      </c>
      <c r="I104" s="76" t="s">
        <v>1364</v>
      </c>
      <c r="J104" s="76" t="s">
        <v>1365</v>
      </c>
      <c r="K104" s="76" t="s">
        <v>1033</v>
      </c>
      <c r="L104" s="77" t="s">
        <v>875</v>
      </c>
      <c r="M104" s="77" t="s">
        <v>1412</v>
      </c>
      <c r="N104" s="88" t="s">
        <v>515</v>
      </c>
      <c r="O104" s="77" t="s">
        <v>735</v>
      </c>
      <c r="P104" s="77" t="s">
        <v>1413</v>
      </c>
      <c r="Q104" s="77" t="s">
        <v>1414</v>
      </c>
      <c r="R104" s="77" t="s">
        <v>1415</v>
      </c>
      <c r="S104" s="77" t="s">
        <v>1416</v>
      </c>
      <c r="T104" s="76" t="s">
        <v>892</v>
      </c>
      <c r="U104" s="76" t="s">
        <v>871</v>
      </c>
      <c r="V104" s="76" t="s">
        <v>988</v>
      </c>
      <c r="W104" s="78">
        <v>0</v>
      </c>
      <c r="X104" s="297">
        <v>1</v>
      </c>
      <c r="Y104" s="75"/>
      <c r="Z104" s="75"/>
      <c r="AA104" s="78"/>
      <c r="AB104" s="78"/>
      <c r="AC104" s="78"/>
      <c r="AD104" s="110">
        <v>1</v>
      </c>
      <c r="AE104" s="78"/>
      <c r="AF104" s="78"/>
      <c r="AG104" s="78"/>
      <c r="AH104" s="78"/>
      <c r="AI104" s="78"/>
      <c r="AJ104" s="110">
        <v>1</v>
      </c>
      <c r="AK104" s="86" t="s">
        <v>899</v>
      </c>
      <c r="AL104" s="76" t="s">
        <v>1417</v>
      </c>
      <c r="AM104" s="77" t="s">
        <v>901</v>
      </c>
      <c r="AN104" s="100">
        <v>55250000</v>
      </c>
      <c r="AO104" s="76" t="s">
        <v>317</v>
      </c>
      <c r="AP104" s="82" t="s">
        <v>515</v>
      </c>
      <c r="AQ104" s="370">
        <f>+VLOOKUP(AP104,SharePoint!$BA$3:$BY$140,2,FALSE)</f>
        <v>0</v>
      </c>
      <c r="AR104" s="370">
        <f>+VLOOKUP(AP104,SharePoint!$BA$3:$BY$140,3,FALSE)</f>
        <v>0</v>
      </c>
      <c r="AS104" s="370">
        <f>+VLOOKUP(AP104,SharePoint!$BA$3:$BY$140,4,FALSE)</f>
        <v>0</v>
      </c>
      <c r="AT104" s="370">
        <f>+VLOOKUP(AP104,SharePoint!$BA$3:$BY$140,5,FALSE)</f>
        <v>0</v>
      </c>
      <c r="AU104" s="370">
        <f>+VLOOKUP(AP104,SharePoint!$BA$3:$BY$140,6,FALSE)</f>
        <v>0</v>
      </c>
      <c r="AV104" s="370">
        <f>+VLOOKUP(AP104,SharePoint!$BA$3:$BY$140,7,FALSE)</f>
        <v>3</v>
      </c>
      <c r="AW104" s="370">
        <f>+VLOOKUP(AP104,SharePoint!$BA$3:$BY$140,8,FALSE)</f>
        <v>0</v>
      </c>
      <c r="AX104" s="370">
        <f>+VLOOKUP(AP104,SharePoint!$BA$3:$BY$140,9,FALSE)</f>
        <v>0</v>
      </c>
      <c r="AY104" s="370">
        <f>+VLOOKUP(AP104,SharePoint!$BA$3:$BY$140,10,FALSE)</f>
        <v>0</v>
      </c>
      <c r="AZ104" s="370">
        <f>+VLOOKUP(AP104,SharePoint!$BA$3:$BY$140,11,FALSE)</f>
        <v>0</v>
      </c>
      <c r="BA104" s="370">
        <f>+VLOOKUP(AP104,SharePoint!$BA$3:$BY$140,12,FALSE)</f>
        <v>0</v>
      </c>
      <c r="BB104" s="370">
        <f>+VLOOKUP(AP104,SharePoint!$BA$3:$BY$140,13,FALSE)</f>
        <v>3</v>
      </c>
      <c r="BC104" s="226">
        <f>+VLOOKUP(AP104,SharePoint!$BA$3:$BY$140,14,FALSE)</f>
        <v>0</v>
      </c>
      <c r="BD104" s="226">
        <f>+VLOOKUP(AP104,SharePoint!$BA$3:$BY$140,15,FALSE)</f>
        <v>0</v>
      </c>
      <c r="BE104" s="226">
        <f>+VLOOKUP(AP104,SharePoint!$BA$3:$BY$140,16,FALSE)</f>
        <v>0</v>
      </c>
      <c r="BF104" s="226">
        <f>+VLOOKUP(AP104,SharePoint!$BA$3:$BY$140,17,FALSE)</f>
        <v>0</v>
      </c>
      <c r="BG104" s="226">
        <f>+VLOOKUP(AP104,SharePoint!$BA$3:$BY$140,18,FALSE)</f>
        <v>0</v>
      </c>
      <c r="BH104" s="226">
        <f>+VLOOKUP(AP104,SharePoint!$BA$3:$BY$140,19,FALSE)</f>
        <v>3</v>
      </c>
      <c r="BI104" s="226">
        <f>+VLOOKUP(AP104,SharePoint!$BA$3:$BY$140,20,FALSE)</f>
        <v>0</v>
      </c>
      <c r="BJ104" s="226">
        <f>+VLOOKUP(AP104,SharePoint!$BA$3:$BY$140,21,FALSE)</f>
        <v>0</v>
      </c>
      <c r="BK104" s="226">
        <f>+VLOOKUP(AP104,SharePoint!$BA$3:$BY$140,22,FALSE)</f>
        <v>0</v>
      </c>
      <c r="BL104" s="226">
        <f>+VLOOKUP(AP104,SharePoint!$BA$3:$BY$140,23,FALSE)</f>
        <v>0</v>
      </c>
      <c r="BM104" s="226">
        <f>+VLOOKUP(AP104,SharePoint!$BA$3:$BY$140,24,FALSE)</f>
        <v>0</v>
      </c>
      <c r="BN104" s="226">
        <f>+VLOOKUP(AP104,SharePoint!$BA$3:$BY$140,25,FALSE)</f>
        <v>3</v>
      </c>
      <c r="BO104" s="214" t="s">
        <v>873</v>
      </c>
      <c r="BP104" s="214" t="s">
        <v>873</v>
      </c>
      <c r="BQ104" s="214" t="s">
        <v>873</v>
      </c>
      <c r="BR104" s="214" t="s">
        <v>873</v>
      </c>
      <c r="BS104" s="214" t="s">
        <v>873</v>
      </c>
      <c r="BT104" s="215" t="s">
        <v>737</v>
      </c>
      <c r="BU104" s="214" t="s">
        <v>873</v>
      </c>
      <c r="BV104" s="214" t="s">
        <v>873</v>
      </c>
      <c r="BW104" s="214" t="s">
        <v>873</v>
      </c>
      <c r="BX104" s="214" t="s">
        <v>875</v>
      </c>
      <c r="BY104" s="214" t="s">
        <v>875</v>
      </c>
      <c r="BZ104" s="214" t="s">
        <v>3282</v>
      </c>
      <c r="CA104" s="449">
        <v>1</v>
      </c>
      <c r="CB104" s="373" t="s">
        <v>3466</v>
      </c>
      <c r="CC104" s="359">
        <f t="shared" si="15"/>
        <v>6</v>
      </c>
      <c r="CD104" s="359">
        <f t="shared" si="16"/>
        <v>6</v>
      </c>
      <c r="CE104" s="382">
        <f t="shared" si="17"/>
        <v>1</v>
      </c>
      <c r="CF104" s="382">
        <f t="shared" si="28"/>
        <v>1</v>
      </c>
      <c r="CG104" s="327" t="s">
        <v>3509</v>
      </c>
      <c r="CH104" s="327" t="str">
        <f t="shared" si="18"/>
        <v xml:space="preserve">Porcentual </v>
      </c>
      <c r="CI104" s="327"/>
      <c r="CJ104" s="381">
        <v>5</v>
      </c>
      <c r="CK104" s="378" t="str">
        <f t="shared" si="19"/>
        <v>Dirección Jurídica</v>
      </c>
      <c r="CL104" s="378" t="str">
        <f t="shared" si="20"/>
        <v>Porcentaje de acciones cumplidas para el diseño del sistema integral de seguimiento a sentencias</v>
      </c>
      <c r="CM104" s="378" t="str">
        <f t="shared" si="21"/>
        <v xml:space="preserve">Numero de acciones realizadas para el diseño del sistema integral / Total de acciones programadas para el diseño del sistema integral de seguimiento a sentencias *100 </v>
      </c>
      <c r="CN104" s="390">
        <f t="shared" si="22"/>
        <v>6</v>
      </c>
      <c r="CO104" s="390">
        <f t="shared" si="23"/>
        <v>6</v>
      </c>
      <c r="CP104" s="387">
        <f t="shared" si="26"/>
        <v>1</v>
      </c>
      <c r="CQ104" s="379">
        <f t="shared" si="24"/>
        <v>1</v>
      </c>
      <c r="CR104" s="379" t="str">
        <f t="shared" si="25"/>
        <v>CUMPLIO</v>
      </c>
      <c r="DB104" s="381"/>
      <c r="DC104" s="381"/>
      <c r="DD104" s="381"/>
      <c r="DE104" s="381"/>
      <c r="DF104" s="381"/>
      <c r="DG104" s="381"/>
    </row>
    <row r="105" spans="1:111" s="83" customFormat="1" ht="127.5" customHeight="1" thickTop="1" thickBot="1">
      <c r="A105" s="83" t="s">
        <v>318</v>
      </c>
      <c r="B105" s="75" t="s">
        <v>151</v>
      </c>
      <c r="C105" s="75" t="s">
        <v>938</v>
      </c>
      <c r="D105" s="75" t="s">
        <v>903</v>
      </c>
      <c r="E105" s="75" t="s">
        <v>858</v>
      </c>
      <c r="F105" s="75" t="s">
        <v>1363</v>
      </c>
      <c r="G105" s="75" t="s">
        <v>215</v>
      </c>
      <c r="H105" s="75" t="s">
        <v>860</v>
      </c>
      <c r="I105" s="76" t="s">
        <v>1364</v>
      </c>
      <c r="J105" s="76" t="s">
        <v>1365</v>
      </c>
      <c r="K105" s="76" t="s">
        <v>1371</v>
      </c>
      <c r="L105" s="77" t="s">
        <v>875</v>
      </c>
      <c r="M105" s="77" t="s">
        <v>319</v>
      </c>
      <c r="N105" s="88" t="s">
        <v>318</v>
      </c>
      <c r="O105" s="77" t="s">
        <v>320</v>
      </c>
      <c r="P105" s="77" t="s">
        <v>321</v>
      </c>
      <c r="Q105" s="77" t="s">
        <v>321</v>
      </c>
      <c r="R105" s="77" t="s">
        <v>876</v>
      </c>
      <c r="S105" s="77" t="s">
        <v>1418</v>
      </c>
      <c r="T105" s="76" t="s">
        <v>870</v>
      </c>
      <c r="U105" s="76" t="s">
        <v>157</v>
      </c>
      <c r="V105" s="76" t="s">
        <v>872</v>
      </c>
      <c r="W105" s="77">
        <v>0</v>
      </c>
      <c r="X105" s="298">
        <v>10</v>
      </c>
      <c r="Y105" s="75">
        <v>1</v>
      </c>
      <c r="Z105" s="75"/>
      <c r="AA105" s="78"/>
      <c r="AB105" s="78"/>
      <c r="AC105" s="78"/>
      <c r="AD105" s="77">
        <v>5</v>
      </c>
      <c r="AE105" s="293">
        <v>0</v>
      </c>
      <c r="AF105" s="77"/>
      <c r="AG105" s="77"/>
      <c r="AH105" s="77"/>
      <c r="AI105" s="77"/>
      <c r="AJ105" s="293">
        <v>4</v>
      </c>
      <c r="AK105" s="76" t="s">
        <v>873</v>
      </c>
      <c r="AL105" s="76" t="s">
        <v>873</v>
      </c>
      <c r="AM105" s="76" t="s">
        <v>873</v>
      </c>
      <c r="AN105" s="76" t="s">
        <v>873</v>
      </c>
      <c r="AO105" s="76" t="s">
        <v>317</v>
      </c>
      <c r="AP105" s="82" t="s">
        <v>318</v>
      </c>
      <c r="AQ105" s="370">
        <f>+VLOOKUP(AP105,SharePoint!$BA$3:$BY$140,2,FALSE)</f>
        <v>1</v>
      </c>
      <c r="AR105" s="370">
        <f>+VLOOKUP(AP105,SharePoint!$BA$3:$BY$140,3,FALSE)</f>
        <v>0</v>
      </c>
      <c r="AS105" s="370">
        <f>+VLOOKUP(AP105,SharePoint!$BA$3:$BY$140,4,FALSE)</f>
        <v>0</v>
      </c>
      <c r="AT105" s="370">
        <f>+VLOOKUP(AP105,SharePoint!$BA$3:$BY$140,5,FALSE)</f>
        <v>0</v>
      </c>
      <c r="AU105" s="370">
        <f>+VLOOKUP(AP105,SharePoint!$BA$3:$BY$140,6,FALSE)</f>
        <v>0</v>
      </c>
      <c r="AV105" s="370">
        <f>+VLOOKUP(AP105,SharePoint!$BA$3:$BY$140,7,FALSE)</f>
        <v>5</v>
      </c>
      <c r="AW105" s="370">
        <f>+VLOOKUP(AP105,SharePoint!$BA$3:$BY$140,8,FALSE)</f>
        <v>0</v>
      </c>
      <c r="AX105" s="370">
        <f>+VLOOKUP(AP105,SharePoint!$BA$3:$BY$140,9,FALSE)</f>
        <v>0</v>
      </c>
      <c r="AY105" s="370">
        <f>+VLOOKUP(AP105,SharePoint!$BA$3:$BY$140,10,FALSE)</f>
        <v>0</v>
      </c>
      <c r="AZ105" s="370">
        <f>+VLOOKUP(AP105,SharePoint!$BA$3:$BY$140,11,FALSE)</f>
        <v>0</v>
      </c>
      <c r="BA105" s="370">
        <f>+VLOOKUP(AP105,SharePoint!$BA$3:$BY$140,12,FALSE)</f>
        <v>0</v>
      </c>
      <c r="BB105" s="370">
        <f>+VLOOKUP(AP105,SharePoint!$BA$3:$BY$140,13,FALSE)</f>
        <v>4</v>
      </c>
      <c r="BC105" s="226">
        <f>+VLOOKUP(AP105,SharePoint!$BA$3:$BY$140,14,FALSE)</f>
        <v>1</v>
      </c>
      <c r="BD105" s="226">
        <f>+VLOOKUP(AP105,SharePoint!$BA$3:$BY$140,15,FALSE)</f>
        <v>0</v>
      </c>
      <c r="BE105" s="226">
        <f>+VLOOKUP(AP105,SharePoint!$BA$3:$BY$140,16,FALSE)</f>
        <v>0</v>
      </c>
      <c r="BF105" s="226">
        <f>+VLOOKUP(AP105,SharePoint!$BA$3:$BY$140,17,FALSE)</f>
        <v>0</v>
      </c>
      <c r="BG105" s="226">
        <f>+VLOOKUP(AP105,SharePoint!$BA$3:$BY$140,18,FALSE)</f>
        <v>0</v>
      </c>
      <c r="BH105" s="226">
        <f>+VLOOKUP(AP105,SharePoint!$BA$3:$BY$140,19,FALSE)</f>
        <v>5</v>
      </c>
      <c r="BI105" s="226">
        <f>+VLOOKUP(AP105,SharePoint!$BA$3:$BY$140,20,FALSE)</f>
        <v>0</v>
      </c>
      <c r="BJ105" s="226">
        <f>+VLOOKUP(AP105,SharePoint!$BA$3:$BY$140,21,FALSE)</f>
        <v>0</v>
      </c>
      <c r="BK105" s="226">
        <f>+VLOOKUP(AP105,SharePoint!$BA$3:$BY$140,22,FALSE)</f>
        <v>0</v>
      </c>
      <c r="BL105" s="226">
        <f>+VLOOKUP(AP105,SharePoint!$BA$3:$BY$140,23,FALSE)</f>
        <v>0</v>
      </c>
      <c r="BM105" s="226">
        <f>+VLOOKUP(AP105,SharePoint!$BA$3:$BY$140,24,FALSE)</f>
        <v>0</v>
      </c>
      <c r="BN105" s="226">
        <f>+VLOOKUP(AP105,SharePoint!$BA$3:$BY$140,25,FALSE)</f>
        <v>4</v>
      </c>
      <c r="BO105" s="215" t="s">
        <v>322</v>
      </c>
      <c r="BP105" s="214" t="s">
        <v>873</v>
      </c>
      <c r="BQ105" s="214" t="s">
        <v>873</v>
      </c>
      <c r="BR105" s="214" t="s">
        <v>873</v>
      </c>
      <c r="BS105" s="214" t="s">
        <v>873</v>
      </c>
      <c r="BT105" s="215" t="s">
        <v>3078</v>
      </c>
      <c r="BU105" s="214" t="s">
        <v>873</v>
      </c>
      <c r="BV105" s="214" t="s">
        <v>873</v>
      </c>
      <c r="BW105" s="214" t="s">
        <v>873</v>
      </c>
      <c r="BX105" s="214" t="s">
        <v>875</v>
      </c>
      <c r="BY105" s="214" t="s">
        <v>875</v>
      </c>
      <c r="BZ105" s="214" t="s">
        <v>3279</v>
      </c>
      <c r="CA105" s="449">
        <v>2</v>
      </c>
      <c r="CB105" s="339" t="s">
        <v>3487</v>
      </c>
      <c r="CC105" s="359">
        <f t="shared" si="15"/>
        <v>10</v>
      </c>
      <c r="CD105" s="359">
        <f t="shared" si="16"/>
        <v>10</v>
      </c>
      <c r="CE105" s="343">
        <f t="shared" si="17"/>
        <v>1</v>
      </c>
      <c r="CF105" s="381">
        <f t="shared" si="28"/>
        <v>10</v>
      </c>
      <c r="CG105" s="327" t="s">
        <v>3509</v>
      </c>
      <c r="CH105" s="327" t="str">
        <f t="shared" si="18"/>
        <v>Numérica</v>
      </c>
      <c r="CI105" s="327"/>
      <c r="CJ105" s="381">
        <v>1</v>
      </c>
      <c r="CK105" s="376" t="str">
        <f t="shared" si="19"/>
        <v>Dirección Jurídica</v>
      </c>
      <c r="CL105" s="376" t="str">
        <f t="shared" si="20"/>
        <v>Actividades ejecutadas en el cronograma de implementación y sostenibilidad de la política de gestión y desempeño de Defensa Jurídica.</v>
      </c>
      <c r="CM105" s="376" t="str">
        <f t="shared" si="21"/>
        <v>Número de actividades ejecutadas en el cronograma de implementación y sostenibilidad de la política de gestión y desempeño de Defensa Jurídica.</v>
      </c>
      <c r="CN105" s="389">
        <f t="shared" si="22"/>
        <v>10</v>
      </c>
      <c r="CO105" s="389">
        <f t="shared" si="23"/>
        <v>10</v>
      </c>
      <c r="CP105" s="388">
        <f t="shared" si="26"/>
        <v>1</v>
      </c>
      <c r="CQ105" s="376">
        <f t="shared" si="24"/>
        <v>10</v>
      </c>
      <c r="CR105" s="377" t="str">
        <f t="shared" si="25"/>
        <v>CUMPLIO</v>
      </c>
      <c r="DB105" s="381"/>
      <c r="DC105" s="381"/>
      <c r="DD105" s="381"/>
      <c r="DE105" s="381"/>
      <c r="DF105" s="381"/>
      <c r="DG105" s="381"/>
    </row>
    <row r="106" spans="1:111" s="83" customFormat="1" ht="127.5" customHeight="1" thickTop="1" thickBot="1">
      <c r="A106" s="83" t="s">
        <v>330</v>
      </c>
      <c r="B106" s="75" t="s">
        <v>151</v>
      </c>
      <c r="C106" s="75" t="s">
        <v>938</v>
      </c>
      <c r="D106" s="75" t="s">
        <v>903</v>
      </c>
      <c r="E106" s="75" t="s">
        <v>858</v>
      </c>
      <c r="F106" s="75" t="s">
        <v>1387</v>
      </c>
      <c r="G106" s="75" t="s">
        <v>215</v>
      </c>
      <c r="H106" s="75" t="s">
        <v>860</v>
      </c>
      <c r="I106" s="76" t="s">
        <v>1364</v>
      </c>
      <c r="J106" s="76" t="s">
        <v>1365</v>
      </c>
      <c r="K106" s="76" t="s">
        <v>1371</v>
      </c>
      <c r="L106" s="77" t="s">
        <v>875</v>
      </c>
      <c r="M106" s="77" t="s">
        <v>331</v>
      </c>
      <c r="N106" s="88" t="s">
        <v>330</v>
      </c>
      <c r="O106" s="77" t="s">
        <v>332</v>
      </c>
      <c r="P106" s="77" t="s">
        <v>333</v>
      </c>
      <c r="Q106" s="77" t="s">
        <v>333</v>
      </c>
      <c r="R106" s="77" t="s">
        <v>876</v>
      </c>
      <c r="S106" s="77" t="s">
        <v>1419</v>
      </c>
      <c r="T106" s="76" t="s">
        <v>870</v>
      </c>
      <c r="U106" s="76" t="s">
        <v>157</v>
      </c>
      <c r="V106" s="76" t="s">
        <v>1362</v>
      </c>
      <c r="W106" s="77">
        <v>0</v>
      </c>
      <c r="X106" s="298">
        <v>32</v>
      </c>
      <c r="Y106" s="78"/>
      <c r="Z106" s="77">
        <v>1</v>
      </c>
      <c r="AA106" s="77">
        <v>6</v>
      </c>
      <c r="AB106" s="77">
        <v>1</v>
      </c>
      <c r="AC106" s="77"/>
      <c r="AD106" s="77">
        <v>7</v>
      </c>
      <c r="AE106" s="77"/>
      <c r="AF106" s="77">
        <v>1</v>
      </c>
      <c r="AG106" s="77">
        <v>6</v>
      </c>
      <c r="AH106" s="111">
        <v>1</v>
      </c>
      <c r="AI106" s="77"/>
      <c r="AJ106" s="77">
        <v>9</v>
      </c>
      <c r="AK106" s="86" t="s">
        <v>899</v>
      </c>
      <c r="AL106" s="77" t="s">
        <v>1420</v>
      </c>
      <c r="AM106" s="77" t="s">
        <v>901</v>
      </c>
      <c r="AN106" s="100">
        <v>177696660</v>
      </c>
      <c r="AO106" s="76" t="s">
        <v>317</v>
      </c>
      <c r="AP106" s="82" t="s">
        <v>330</v>
      </c>
      <c r="AQ106" s="370">
        <f>+VLOOKUP(AP106,SharePoint!$BA$3:$BY$140,2,FALSE)</f>
        <v>0</v>
      </c>
      <c r="AR106" s="370">
        <f>+VLOOKUP(AP106,SharePoint!$BA$3:$BY$140,3,FALSE)</f>
        <v>1</v>
      </c>
      <c r="AS106" s="370">
        <f>+VLOOKUP(AP106,SharePoint!$BA$3:$BY$140,4,FALSE)</f>
        <v>4</v>
      </c>
      <c r="AT106" s="370">
        <f>+VLOOKUP(AP106,SharePoint!$BA$3:$BY$140,5,FALSE)</f>
        <v>1</v>
      </c>
      <c r="AU106" s="370">
        <f>+VLOOKUP(AP106,SharePoint!$BA$3:$BY$140,6,FALSE)</f>
        <v>0</v>
      </c>
      <c r="AV106" s="370">
        <f>+VLOOKUP(AP106,SharePoint!$BA$3:$BY$140,7,FALSE)</f>
        <v>7</v>
      </c>
      <c r="AW106" s="370">
        <f>+VLOOKUP(AP106,SharePoint!$BA$3:$BY$140,8,FALSE)</f>
        <v>0</v>
      </c>
      <c r="AX106" s="370">
        <f>+VLOOKUP(AP106,SharePoint!$BA$3:$BY$140,9,FALSE)</f>
        <v>1</v>
      </c>
      <c r="AY106" s="370">
        <f>+VLOOKUP(AP106,SharePoint!$BA$3:$BY$140,10,FALSE)</f>
        <v>6</v>
      </c>
      <c r="AZ106" s="370">
        <f>+VLOOKUP(AP106,SharePoint!$BA$3:$BY$140,11,FALSE)</f>
        <v>1</v>
      </c>
      <c r="BA106" s="370">
        <f>+VLOOKUP(AP106,SharePoint!$BA$3:$BY$140,12,FALSE)</f>
        <v>0</v>
      </c>
      <c r="BB106" s="370">
        <f>+VLOOKUP(AP106,SharePoint!$BA$3:$BY$140,13,FALSE)</f>
        <v>11</v>
      </c>
      <c r="BC106" s="226">
        <f>+VLOOKUP(AP106,SharePoint!$BA$3:$BY$140,14,FALSE)</f>
        <v>0</v>
      </c>
      <c r="BD106" s="226">
        <f>+VLOOKUP(AP106,SharePoint!$BA$3:$BY$140,15,FALSE)</f>
        <v>1</v>
      </c>
      <c r="BE106" s="226">
        <f>+VLOOKUP(AP106,SharePoint!$BA$3:$BY$140,16,FALSE)</f>
        <v>6</v>
      </c>
      <c r="BF106" s="226">
        <f>+VLOOKUP(AP106,SharePoint!$BA$3:$BY$140,17,FALSE)</f>
        <v>1</v>
      </c>
      <c r="BG106" s="226">
        <f>+VLOOKUP(AP106,SharePoint!$BA$3:$BY$140,18,FALSE)</f>
        <v>0</v>
      </c>
      <c r="BH106" s="226">
        <f>+VLOOKUP(AP106,SharePoint!$BA$3:$BY$140,19,FALSE)</f>
        <v>7</v>
      </c>
      <c r="BI106" s="226">
        <f>+VLOOKUP(AP106,SharePoint!$BA$3:$BY$140,20,FALSE)</f>
        <v>0</v>
      </c>
      <c r="BJ106" s="226">
        <f>+VLOOKUP(AP106,SharePoint!$BA$3:$BY$140,21,FALSE)</f>
        <v>1</v>
      </c>
      <c r="BK106" s="226">
        <f>+VLOOKUP(AP106,SharePoint!$BA$3:$BY$140,22,FALSE)</f>
        <v>6</v>
      </c>
      <c r="BL106" s="226">
        <f>+VLOOKUP(AP106,SharePoint!$BA$3:$BY$140,23,FALSE)</f>
        <v>1</v>
      </c>
      <c r="BM106" s="226">
        <f>+VLOOKUP(AP106,SharePoint!$BA$3:$BY$140,24,FALSE)</f>
        <v>0</v>
      </c>
      <c r="BN106" s="226">
        <f>+VLOOKUP(AP106,SharePoint!$BA$3:$BY$140,25,FALSE)</f>
        <v>9</v>
      </c>
      <c r="BO106" s="214" t="s">
        <v>873</v>
      </c>
      <c r="BP106" s="215" t="s">
        <v>334</v>
      </c>
      <c r="BQ106" s="215" t="s">
        <v>347</v>
      </c>
      <c r="BR106" s="215" t="s">
        <v>535</v>
      </c>
      <c r="BS106" s="214" t="s">
        <v>873</v>
      </c>
      <c r="BT106" s="215" t="s">
        <v>722</v>
      </c>
      <c r="BU106" s="214" t="s">
        <v>873</v>
      </c>
      <c r="BV106" s="214" t="s">
        <v>2890</v>
      </c>
      <c r="BW106" s="214" t="s">
        <v>2891</v>
      </c>
      <c r="BX106" s="214" t="s">
        <v>3271</v>
      </c>
      <c r="BY106" s="214" t="s">
        <v>875</v>
      </c>
      <c r="BZ106" s="214" t="s">
        <v>875</v>
      </c>
      <c r="CA106" s="449">
        <v>2</v>
      </c>
      <c r="CB106" s="339" t="s">
        <v>3542</v>
      </c>
      <c r="CC106" s="359">
        <f t="shared" si="15"/>
        <v>32</v>
      </c>
      <c r="CD106" s="328">
        <v>32</v>
      </c>
      <c r="CE106" s="343">
        <f t="shared" si="17"/>
        <v>1</v>
      </c>
      <c r="CF106" s="381">
        <f t="shared" si="28"/>
        <v>32</v>
      </c>
      <c r="CG106" s="327" t="s">
        <v>3511</v>
      </c>
      <c r="CH106" s="327" t="str">
        <f t="shared" si="18"/>
        <v>Numérica</v>
      </c>
      <c r="CI106" s="327"/>
      <c r="CJ106" s="381">
        <v>2</v>
      </c>
      <c r="CK106" s="378" t="str">
        <f t="shared" si="19"/>
        <v>Dirección Jurídica</v>
      </c>
      <c r="CL106" s="378" t="str">
        <f t="shared" si="20"/>
        <v>Actividades ejecutadas en el cronograma de implementación y sostenibilidad de la política de gestión y desempeño de Mejora Normativa</v>
      </c>
      <c r="CM106" s="378" t="str">
        <f t="shared" si="21"/>
        <v>Número de actividades ejecutadas en el cronograma de implementación y sostenibilidad de la política de gestión y desempeño de Mejora Normativa.</v>
      </c>
      <c r="CN106" s="390">
        <f t="shared" si="22"/>
        <v>32</v>
      </c>
      <c r="CO106" s="390">
        <f t="shared" si="23"/>
        <v>32</v>
      </c>
      <c r="CP106" s="387">
        <f t="shared" si="26"/>
        <v>1</v>
      </c>
      <c r="CQ106" s="379">
        <f t="shared" si="24"/>
        <v>32</v>
      </c>
      <c r="CR106" s="379" t="str">
        <f t="shared" si="25"/>
        <v>INCUMPLIO</v>
      </c>
      <c r="DB106" s="381"/>
      <c r="DC106" s="381"/>
      <c r="DD106" s="381"/>
      <c r="DE106" s="381"/>
      <c r="DF106" s="381"/>
      <c r="DG106" s="381"/>
    </row>
    <row r="107" spans="1:111" s="83" customFormat="1" ht="127.5" customHeight="1" thickTop="1" thickBot="1">
      <c r="A107" s="83" t="s">
        <v>480</v>
      </c>
      <c r="B107" s="75" t="s">
        <v>151</v>
      </c>
      <c r="C107" s="75" t="s">
        <v>856</v>
      </c>
      <c r="D107" s="75" t="s">
        <v>903</v>
      </c>
      <c r="E107" s="75" t="s">
        <v>1421</v>
      </c>
      <c r="F107" s="75" t="s">
        <v>1421</v>
      </c>
      <c r="G107" s="75" t="s">
        <v>215</v>
      </c>
      <c r="H107" s="75" t="s">
        <v>860</v>
      </c>
      <c r="I107" s="76" t="s">
        <v>1422</v>
      </c>
      <c r="J107" s="76" t="s">
        <v>1423</v>
      </c>
      <c r="K107" s="76" t="s">
        <v>1212</v>
      </c>
      <c r="L107" s="77" t="s">
        <v>1424</v>
      </c>
      <c r="M107" s="78" t="s">
        <v>481</v>
      </c>
      <c r="N107" s="78" t="s">
        <v>480</v>
      </c>
      <c r="O107" s="429" t="s">
        <v>1425</v>
      </c>
      <c r="P107" s="78" t="s">
        <v>483</v>
      </c>
      <c r="Q107" s="78" t="s">
        <v>1209</v>
      </c>
      <c r="R107" s="78" t="s">
        <v>1426</v>
      </c>
      <c r="S107" s="78" t="s">
        <v>1427</v>
      </c>
      <c r="T107" s="76" t="s">
        <v>892</v>
      </c>
      <c r="U107" s="76" t="s">
        <v>871</v>
      </c>
      <c r="V107" s="76" t="s">
        <v>872</v>
      </c>
      <c r="W107" s="78" t="s">
        <v>1428</v>
      </c>
      <c r="X107" s="297">
        <v>1</v>
      </c>
      <c r="Y107" s="76"/>
      <c r="Z107" s="76"/>
      <c r="AA107" s="86" t="s">
        <v>1381</v>
      </c>
      <c r="AB107" s="76"/>
      <c r="AC107" s="76"/>
      <c r="AD107" s="86" t="s">
        <v>1429</v>
      </c>
      <c r="AE107" s="76"/>
      <c r="AF107" s="76"/>
      <c r="AG107" s="86" t="s">
        <v>1430</v>
      </c>
      <c r="AH107" s="76"/>
      <c r="AI107" s="76"/>
      <c r="AJ107" s="86" t="s">
        <v>1431</v>
      </c>
      <c r="AK107" s="76" t="s">
        <v>1432</v>
      </c>
      <c r="AL107" s="76" t="s">
        <v>1433</v>
      </c>
      <c r="AM107" s="76" t="s">
        <v>1434</v>
      </c>
      <c r="AN107" s="87">
        <v>10000000</v>
      </c>
      <c r="AO107" s="76" t="s">
        <v>1435</v>
      </c>
      <c r="AP107" s="82" t="s">
        <v>480</v>
      </c>
      <c r="AQ107" s="370">
        <f>+VLOOKUP(AP107,SharePoint!$BA$3:$BY$140,2,FALSE)</f>
        <v>0</v>
      </c>
      <c r="AR107" s="370">
        <f>+VLOOKUP(AP107,SharePoint!$BA$3:$BY$140,3,FALSE)</f>
        <v>0</v>
      </c>
      <c r="AS107" s="370">
        <f>+VLOOKUP(AP107,SharePoint!$BA$3:$BY$140,4,FALSE)</f>
        <v>11</v>
      </c>
      <c r="AT107" s="370">
        <f>+VLOOKUP(AP107,SharePoint!$BA$3:$BY$140,5,FALSE)</f>
        <v>0</v>
      </c>
      <c r="AU107" s="370">
        <f>+VLOOKUP(AP107,SharePoint!$BA$3:$BY$140,6,FALSE)</f>
        <v>0</v>
      </c>
      <c r="AV107" s="370">
        <f>+VLOOKUP(AP107,SharePoint!$BA$3:$BY$140,7,FALSE)</f>
        <v>19</v>
      </c>
      <c r="AW107" s="370">
        <f>+VLOOKUP(AP107,SharePoint!$BA$3:$BY$140,8,FALSE)</f>
        <v>0</v>
      </c>
      <c r="AX107" s="370">
        <f>+VLOOKUP(AP107,SharePoint!$BA$3:$BY$140,9,FALSE)</f>
        <v>0</v>
      </c>
      <c r="AY107" s="370">
        <f>+VLOOKUP(AP107,SharePoint!$BA$3:$BY$140,10,FALSE)</f>
        <v>11</v>
      </c>
      <c r="AZ107" s="370">
        <f>+VLOOKUP(AP107,SharePoint!$BA$3:$BY$140,11,FALSE)</f>
        <v>0</v>
      </c>
      <c r="BA107" s="370">
        <f>+VLOOKUP(AP107,SharePoint!$BA$3:$BY$140,12,FALSE)</f>
        <v>0</v>
      </c>
      <c r="BB107" s="370">
        <f>+VLOOKUP(AP107,SharePoint!$BA$3:$BY$140,13,FALSE)</f>
        <v>22</v>
      </c>
      <c r="BC107" s="226">
        <f>+VLOOKUP(AP107,SharePoint!$BA$3:$BY$140,14,FALSE)</f>
        <v>0</v>
      </c>
      <c r="BD107" s="226">
        <f>+VLOOKUP(AP107,SharePoint!$BA$3:$BY$140,15,FALSE)</f>
        <v>0</v>
      </c>
      <c r="BE107" s="226">
        <f>+VLOOKUP(AP107,SharePoint!$BA$3:$BY$140,16,FALSE)</f>
        <v>11</v>
      </c>
      <c r="BF107" s="226">
        <f>+VLOOKUP(AP107,SharePoint!$BA$3:$BY$140,17,FALSE)</f>
        <v>0</v>
      </c>
      <c r="BG107" s="226">
        <f>+VLOOKUP(AP107,SharePoint!$BA$3:$BY$140,18,FALSE)</f>
        <v>0</v>
      </c>
      <c r="BH107" s="226">
        <f>+VLOOKUP(AP107,SharePoint!$BA$3:$BY$140,19,FALSE)</f>
        <v>19</v>
      </c>
      <c r="BI107" s="226">
        <f>+VLOOKUP(AP107,SharePoint!$BA$3:$BY$140,20,FALSE)</f>
        <v>0</v>
      </c>
      <c r="BJ107" s="226">
        <f>+VLOOKUP(AP107,SharePoint!$BA$3:$BY$140,21,FALSE)</f>
        <v>0</v>
      </c>
      <c r="BK107" s="226">
        <f>+VLOOKUP(AP107,SharePoint!$BA$3:$BY$140,22,FALSE)</f>
        <v>11</v>
      </c>
      <c r="BL107" s="226">
        <f>+VLOOKUP(AP107,SharePoint!$BA$3:$BY$140,23,FALSE)</f>
        <v>0</v>
      </c>
      <c r="BM107" s="226">
        <f>+VLOOKUP(AP107,SharePoint!$BA$3:$BY$140,24,FALSE)</f>
        <v>0</v>
      </c>
      <c r="BN107" s="226">
        <f>+VLOOKUP(AP107,SharePoint!$BA$3:$BY$140,25,FALSE)</f>
        <v>22</v>
      </c>
      <c r="BO107" s="214" t="s">
        <v>873</v>
      </c>
      <c r="BP107" s="214" t="s">
        <v>873</v>
      </c>
      <c r="BQ107" s="215" t="s">
        <v>3079</v>
      </c>
      <c r="BR107" s="214" t="s">
        <v>873</v>
      </c>
      <c r="BS107" s="214" t="s">
        <v>873</v>
      </c>
      <c r="BT107" s="215" t="s">
        <v>765</v>
      </c>
      <c r="BU107" s="214" t="s">
        <v>873</v>
      </c>
      <c r="BV107" s="214" t="s">
        <v>873</v>
      </c>
      <c r="BW107" s="214" t="s">
        <v>2920</v>
      </c>
      <c r="BX107" s="214" t="s">
        <v>875</v>
      </c>
      <c r="BY107" s="214" t="s">
        <v>875</v>
      </c>
      <c r="BZ107" s="214" t="s">
        <v>3330</v>
      </c>
      <c r="CA107" s="449">
        <v>1</v>
      </c>
      <c r="CB107" s="373" t="s">
        <v>3467</v>
      </c>
      <c r="CC107" s="359">
        <f t="shared" si="15"/>
        <v>63</v>
      </c>
      <c r="CD107" s="359">
        <f t="shared" si="16"/>
        <v>63</v>
      </c>
      <c r="CE107" s="382">
        <f t="shared" si="17"/>
        <v>1</v>
      </c>
      <c r="CF107" s="382">
        <f t="shared" si="28"/>
        <v>1</v>
      </c>
      <c r="CG107" s="327" t="s">
        <v>3509</v>
      </c>
      <c r="CH107" s="327" t="str">
        <f t="shared" si="18"/>
        <v xml:space="preserve">Porcentual </v>
      </c>
      <c r="CI107" s="327"/>
      <c r="CJ107" s="381">
        <v>1</v>
      </c>
      <c r="CK107" s="376" t="str">
        <f t="shared" si="19"/>
        <v xml:space="preserve">Secretaria General </v>
      </c>
      <c r="CL107" s="376" t="str">
        <f t="shared" si="20"/>
        <v xml:space="preserve">Porcentaje de avance en la ejecución del Plan Estratégico de Desarrollo del Talento Humano </v>
      </c>
      <c r="CM107" s="376" t="str">
        <f t="shared" si="21"/>
        <v>(Número de actividades ejecutadas en el periodo / Número de actividades programadas en el cronograma del Plan Estratégico de Desarrollo del Talento Humano en el periodo)*100</v>
      </c>
      <c r="CN107" s="389">
        <f t="shared" si="22"/>
        <v>63</v>
      </c>
      <c r="CO107" s="389">
        <f t="shared" si="23"/>
        <v>63</v>
      </c>
      <c r="CP107" s="388">
        <f t="shared" si="26"/>
        <v>1</v>
      </c>
      <c r="CQ107" s="377">
        <f t="shared" si="24"/>
        <v>1</v>
      </c>
      <c r="CR107" s="377" t="str">
        <f t="shared" si="25"/>
        <v>CUMPLIO</v>
      </c>
      <c r="DB107" s="381"/>
      <c r="DC107" s="381"/>
      <c r="DD107" s="381"/>
      <c r="DE107" s="381"/>
      <c r="DF107" s="381"/>
      <c r="DG107" s="381"/>
    </row>
    <row r="108" spans="1:111" s="83" customFormat="1" ht="127.5" customHeight="1" thickTop="1" thickBot="1">
      <c r="A108" s="83" t="s">
        <v>486</v>
      </c>
      <c r="B108" s="75" t="s">
        <v>151</v>
      </c>
      <c r="C108" s="75" t="s">
        <v>856</v>
      </c>
      <c r="D108" s="75" t="s">
        <v>903</v>
      </c>
      <c r="E108" s="75" t="s">
        <v>1421</v>
      </c>
      <c r="F108" s="75" t="s">
        <v>1421</v>
      </c>
      <c r="G108" s="75" t="s">
        <v>215</v>
      </c>
      <c r="H108" s="75" t="s">
        <v>860</v>
      </c>
      <c r="I108" s="76" t="s">
        <v>1422</v>
      </c>
      <c r="J108" s="76" t="s">
        <v>1423</v>
      </c>
      <c r="K108" s="76" t="s">
        <v>1212</v>
      </c>
      <c r="L108" s="77" t="s">
        <v>1424</v>
      </c>
      <c r="M108" s="77" t="s">
        <v>487</v>
      </c>
      <c r="N108" s="77" t="s">
        <v>486</v>
      </c>
      <c r="O108" s="430" t="s">
        <v>488</v>
      </c>
      <c r="P108" s="77" t="s">
        <v>489</v>
      </c>
      <c r="Q108" s="77" t="s">
        <v>1436</v>
      </c>
      <c r="R108" s="77" t="s">
        <v>1437</v>
      </c>
      <c r="S108" s="77" t="s">
        <v>1438</v>
      </c>
      <c r="T108" s="76" t="s">
        <v>892</v>
      </c>
      <c r="U108" s="76" t="s">
        <v>871</v>
      </c>
      <c r="V108" s="76" t="s">
        <v>872</v>
      </c>
      <c r="W108" s="78" t="s">
        <v>1439</v>
      </c>
      <c r="X108" s="297">
        <v>1</v>
      </c>
      <c r="Y108" s="78"/>
      <c r="Z108" s="78"/>
      <c r="AA108" s="78" t="s">
        <v>1440</v>
      </c>
      <c r="AB108" s="78"/>
      <c r="AC108" s="78"/>
      <c r="AD108" s="78" t="s">
        <v>1440</v>
      </c>
      <c r="AE108" s="78"/>
      <c r="AF108" s="78"/>
      <c r="AG108" s="78" t="s">
        <v>1440</v>
      </c>
      <c r="AH108" s="78"/>
      <c r="AI108" s="78"/>
      <c r="AJ108" s="78" t="s">
        <v>1441</v>
      </c>
      <c r="AK108" s="76" t="s">
        <v>873</v>
      </c>
      <c r="AL108" s="76" t="s">
        <v>873</v>
      </c>
      <c r="AM108" s="76" t="s">
        <v>873</v>
      </c>
      <c r="AN108" s="76" t="s">
        <v>873</v>
      </c>
      <c r="AO108" s="76" t="s">
        <v>1435</v>
      </c>
      <c r="AP108" s="82" t="s">
        <v>486</v>
      </c>
      <c r="AQ108" s="370">
        <f>+VLOOKUP(AP108,SharePoint!$BA$3:$BY$140,2,FALSE)</f>
        <v>0</v>
      </c>
      <c r="AR108" s="370">
        <f>+VLOOKUP(AP108,SharePoint!$BA$3:$BY$140,3,FALSE)</f>
        <v>0</v>
      </c>
      <c r="AS108" s="370">
        <f>+VLOOKUP(AP108,SharePoint!$BA$3:$BY$140,4,FALSE)</f>
        <v>1</v>
      </c>
      <c r="AT108" s="370">
        <f>+VLOOKUP(AP108,SharePoint!$BA$3:$BY$140,5,FALSE)</f>
        <v>0</v>
      </c>
      <c r="AU108" s="370">
        <f>+VLOOKUP(AP108,SharePoint!$BA$3:$BY$140,6,FALSE)</f>
        <v>0</v>
      </c>
      <c r="AV108" s="370">
        <f>+VLOOKUP(AP108,SharePoint!$BA$3:$BY$140,7,FALSE)</f>
        <v>1</v>
      </c>
      <c r="AW108" s="370">
        <f>+VLOOKUP(AP108,SharePoint!$BA$3:$BY$140,8,FALSE)</f>
        <v>0</v>
      </c>
      <c r="AX108" s="370">
        <f>+VLOOKUP(AP108,SharePoint!$BA$3:$BY$140,9,FALSE)</f>
        <v>0</v>
      </c>
      <c r="AY108" s="370">
        <f>+VLOOKUP(AP108,SharePoint!$BA$3:$BY$140,10,FALSE)</f>
        <v>1</v>
      </c>
      <c r="AZ108" s="370">
        <f>+VLOOKUP(AP108,SharePoint!$BA$3:$BY$140,11,FALSE)</f>
        <v>0</v>
      </c>
      <c r="BA108" s="370">
        <f>+VLOOKUP(AP108,SharePoint!$BA$3:$BY$140,12,FALSE)</f>
        <v>0</v>
      </c>
      <c r="BB108" s="370">
        <f>+VLOOKUP(AP108,SharePoint!$BA$3:$BY$140,13,FALSE)</f>
        <v>52</v>
      </c>
      <c r="BC108" s="226">
        <f>+VLOOKUP(AP108,SharePoint!$BA$3:$BY$140,14,FALSE)</f>
        <v>0</v>
      </c>
      <c r="BD108" s="226">
        <f>+VLOOKUP(AP108,SharePoint!$BA$3:$BY$140,15,FALSE)</f>
        <v>0</v>
      </c>
      <c r="BE108" s="226">
        <f>+VLOOKUP(AP108,SharePoint!$BA$3:$BY$140,16,FALSE)</f>
        <v>1</v>
      </c>
      <c r="BF108" s="226">
        <f>+VLOOKUP(AP108,SharePoint!$BA$3:$BY$140,17,FALSE)</f>
        <v>0</v>
      </c>
      <c r="BG108" s="226">
        <f>+VLOOKUP(AP108,SharePoint!$BA$3:$BY$140,18,FALSE)</f>
        <v>0</v>
      </c>
      <c r="BH108" s="226">
        <f>+VLOOKUP(AP108,SharePoint!$BA$3:$BY$140,19,FALSE)</f>
        <v>1</v>
      </c>
      <c r="BI108" s="226">
        <f>+VLOOKUP(AP108,SharePoint!$BA$3:$BY$140,20,FALSE)</f>
        <v>0</v>
      </c>
      <c r="BJ108" s="226">
        <f>+VLOOKUP(AP108,SharePoint!$BA$3:$BY$140,21,FALSE)</f>
        <v>0</v>
      </c>
      <c r="BK108" s="226">
        <f>+VLOOKUP(AP108,SharePoint!$BA$3:$BY$140,22,FALSE)</f>
        <v>1</v>
      </c>
      <c r="BL108" s="226">
        <f>+VLOOKUP(AP108,SharePoint!$BA$3:$BY$140,23,FALSE)</f>
        <v>0</v>
      </c>
      <c r="BM108" s="226">
        <f>+VLOOKUP(AP108,SharePoint!$BA$3:$BY$140,24,FALSE)</f>
        <v>0</v>
      </c>
      <c r="BN108" s="226">
        <f>+VLOOKUP(AP108,SharePoint!$BA$3:$BY$140,25,FALSE)</f>
        <v>52</v>
      </c>
      <c r="BO108" s="214" t="s">
        <v>873</v>
      </c>
      <c r="BP108" s="214" t="s">
        <v>873</v>
      </c>
      <c r="BQ108" s="215" t="s">
        <v>3080</v>
      </c>
      <c r="BR108" s="214" t="s">
        <v>873</v>
      </c>
      <c r="BS108" s="214" t="s">
        <v>873</v>
      </c>
      <c r="BT108" s="215" t="s">
        <v>2824</v>
      </c>
      <c r="BU108" s="214" t="s">
        <v>873</v>
      </c>
      <c r="BV108" s="214" t="s">
        <v>873</v>
      </c>
      <c r="BW108" s="214" t="s">
        <v>2918</v>
      </c>
      <c r="BX108" s="214" t="s">
        <v>875</v>
      </c>
      <c r="BY108" s="214" t="s">
        <v>875</v>
      </c>
      <c r="BZ108" s="214" t="s">
        <v>3331</v>
      </c>
      <c r="CA108" s="449">
        <v>1</v>
      </c>
      <c r="CB108" s="373" t="s">
        <v>3468</v>
      </c>
      <c r="CC108" s="359">
        <f t="shared" si="15"/>
        <v>55</v>
      </c>
      <c r="CD108" s="359">
        <f t="shared" si="16"/>
        <v>55</v>
      </c>
      <c r="CE108" s="382">
        <f t="shared" si="17"/>
        <v>1</v>
      </c>
      <c r="CF108" s="382">
        <f t="shared" si="28"/>
        <v>1</v>
      </c>
      <c r="CG108" s="327" t="s">
        <v>3509</v>
      </c>
      <c r="CH108" s="327" t="str">
        <f t="shared" si="18"/>
        <v xml:space="preserve">Porcentual </v>
      </c>
      <c r="CI108" s="327"/>
      <c r="CJ108" s="381">
        <v>2</v>
      </c>
      <c r="CK108" s="378" t="str">
        <f t="shared" si="19"/>
        <v xml:space="preserve">Secretaria General </v>
      </c>
      <c r="CL108" s="378" t="str">
        <f t="shared" si="20"/>
        <v>Porcentaje de avance en la ejecución del Plan institucional de capacitación</v>
      </c>
      <c r="CM108" s="378" t="str">
        <f t="shared" si="21"/>
        <v>(Número de actividades ejecutadas en el período / Número de actividades programadas en el cronograma del Plan institucional de capacitación)*100</v>
      </c>
      <c r="CN108" s="390">
        <f t="shared" si="22"/>
        <v>55</v>
      </c>
      <c r="CO108" s="390">
        <f t="shared" si="23"/>
        <v>55</v>
      </c>
      <c r="CP108" s="387">
        <f t="shared" si="26"/>
        <v>1</v>
      </c>
      <c r="CQ108" s="379">
        <f t="shared" si="24"/>
        <v>1</v>
      </c>
      <c r="CR108" s="379" t="str">
        <f t="shared" si="25"/>
        <v>CUMPLIO</v>
      </c>
      <c r="DB108" s="381"/>
      <c r="DC108" s="381"/>
      <c r="DD108" s="381"/>
      <c r="DE108" s="381"/>
      <c r="DF108" s="381"/>
      <c r="DG108" s="381"/>
    </row>
    <row r="109" spans="1:111" s="83" customFormat="1" ht="127.5" customHeight="1" thickTop="1" thickBot="1">
      <c r="A109" s="83" t="s">
        <v>492</v>
      </c>
      <c r="B109" s="75" t="s">
        <v>151</v>
      </c>
      <c r="C109" s="75" t="s">
        <v>856</v>
      </c>
      <c r="D109" s="75" t="s">
        <v>903</v>
      </c>
      <c r="E109" s="75" t="s">
        <v>1421</v>
      </c>
      <c r="F109" s="75" t="s">
        <v>1421</v>
      </c>
      <c r="G109" s="75" t="s">
        <v>215</v>
      </c>
      <c r="H109" s="75" t="s">
        <v>860</v>
      </c>
      <c r="I109" s="76" t="s">
        <v>1422</v>
      </c>
      <c r="J109" s="76" t="s">
        <v>1423</v>
      </c>
      <c r="K109" s="76" t="s">
        <v>1212</v>
      </c>
      <c r="L109" s="77" t="s">
        <v>1424</v>
      </c>
      <c r="M109" s="77" t="s">
        <v>1442</v>
      </c>
      <c r="N109" s="77" t="s">
        <v>492</v>
      </c>
      <c r="O109" s="430" t="s">
        <v>1443</v>
      </c>
      <c r="P109" s="77" t="s">
        <v>495</v>
      </c>
      <c r="Q109" s="77" t="s">
        <v>1436</v>
      </c>
      <c r="R109" s="77" t="s">
        <v>1444</v>
      </c>
      <c r="S109" s="77" t="s">
        <v>1445</v>
      </c>
      <c r="T109" s="76" t="s">
        <v>892</v>
      </c>
      <c r="U109" s="76" t="s">
        <v>871</v>
      </c>
      <c r="V109" s="76" t="s">
        <v>872</v>
      </c>
      <c r="W109" s="78" t="s">
        <v>1446</v>
      </c>
      <c r="X109" s="297">
        <v>1</v>
      </c>
      <c r="Y109" s="78"/>
      <c r="Z109" s="78"/>
      <c r="AA109" s="292" t="s">
        <v>1447</v>
      </c>
      <c r="AB109" s="292"/>
      <c r="AC109" s="292"/>
      <c r="AD109" s="292" t="s">
        <v>3513</v>
      </c>
      <c r="AE109" s="392"/>
      <c r="AF109" s="292"/>
      <c r="AG109" s="292" t="s">
        <v>1381</v>
      </c>
      <c r="AH109" s="292"/>
      <c r="AI109" s="392"/>
      <c r="AJ109" s="292" t="s">
        <v>3514</v>
      </c>
      <c r="AK109" s="76" t="s">
        <v>873</v>
      </c>
      <c r="AL109" s="76" t="s">
        <v>873</v>
      </c>
      <c r="AM109" s="76" t="s">
        <v>873</v>
      </c>
      <c r="AN109" s="76" t="s">
        <v>873</v>
      </c>
      <c r="AO109" s="76" t="s">
        <v>1435</v>
      </c>
      <c r="AP109" s="82" t="s">
        <v>492</v>
      </c>
      <c r="AQ109" s="370">
        <f>+VLOOKUP(AP109,SharePoint!$BA$3:$BY$140,2,FALSE)</f>
        <v>0</v>
      </c>
      <c r="AR109" s="370">
        <f>+VLOOKUP(AP109,SharePoint!$BA$3:$BY$140,3,FALSE)</f>
        <v>0</v>
      </c>
      <c r="AS109" s="370">
        <f>+VLOOKUP(AP109,SharePoint!$BA$3:$BY$140,4,FALSE)</f>
        <v>14</v>
      </c>
      <c r="AT109" s="370">
        <f>+VLOOKUP(AP109,SharePoint!$BA$3:$BY$140,5,FALSE)</f>
        <v>0</v>
      </c>
      <c r="AU109" s="370">
        <f>+VLOOKUP(AP109,SharePoint!$BA$3:$BY$140,6,FALSE)</f>
        <v>0</v>
      </c>
      <c r="AV109" s="370">
        <f>+VLOOKUP(AP109,SharePoint!$BA$3:$BY$140,7,FALSE)</f>
        <v>27</v>
      </c>
      <c r="AW109" s="370">
        <f>+VLOOKUP(AP109,SharePoint!$BA$3:$BY$140,8,FALSE)</f>
        <v>0</v>
      </c>
      <c r="AX109" s="370">
        <f>+VLOOKUP(AP109,SharePoint!$BA$3:$BY$140,9,FALSE)</f>
        <v>0</v>
      </c>
      <c r="AY109" s="370">
        <f>+VLOOKUP(AP109,SharePoint!$BA$3:$BY$140,10,FALSE)</f>
        <v>11</v>
      </c>
      <c r="AZ109" s="370">
        <f>+VLOOKUP(AP109,SharePoint!$BA$3:$BY$140,11,FALSE)</f>
        <v>0</v>
      </c>
      <c r="BA109" s="370">
        <f>+VLOOKUP(AP109,SharePoint!$BA$3:$BY$140,12,FALSE)</f>
        <v>0</v>
      </c>
      <c r="BB109" s="370">
        <f>+VLOOKUP(AP109,SharePoint!$BA$3:$BY$140,13,FALSE)</f>
        <v>35</v>
      </c>
      <c r="BC109" s="226">
        <f>+VLOOKUP(AP109,SharePoint!$BA$3:$BY$140,14,FALSE)</f>
        <v>0</v>
      </c>
      <c r="BD109" s="226">
        <f>+VLOOKUP(AP109,SharePoint!$BA$3:$BY$140,15,FALSE)</f>
        <v>0</v>
      </c>
      <c r="BE109" s="226">
        <f>+VLOOKUP(AP109,SharePoint!$BA$3:$BY$140,16,FALSE)</f>
        <v>14</v>
      </c>
      <c r="BF109" s="226">
        <f>+VLOOKUP(AP109,SharePoint!$BA$3:$BY$140,17,FALSE)</f>
        <v>0</v>
      </c>
      <c r="BG109" s="226">
        <f>+VLOOKUP(AP109,SharePoint!$BA$3:$BY$140,18,FALSE)</f>
        <v>0</v>
      </c>
      <c r="BH109" s="226">
        <f>+VLOOKUP(AP109,SharePoint!$BA$3:$BY$140,19,FALSE)</f>
        <v>27</v>
      </c>
      <c r="BI109" s="226">
        <f>+VLOOKUP(AP109,SharePoint!$BA$3:$BY$140,20,FALSE)</f>
        <v>0</v>
      </c>
      <c r="BJ109" s="226">
        <f>+VLOOKUP(AP109,SharePoint!$BA$3:$BY$140,21,FALSE)</f>
        <v>0</v>
      </c>
      <c r="BK109" s="226">
        <f>+VLOOKUP(AP109,SharePoint!$BA$3:$BY$140,22,FALSE)</f>
        <v>11</v>
      </c>
      <c r="BL109" s="226">
        <f>+VLOOKUP(AP109,SharePoint!$BA$3:$BY$140,23,FALSE)</f>
        <v>0</v>
      </c>
      <c r="BM109" s="226">
        <f>+VLOOKUP(AP109,SharePoint!$BA$3:$BY$140,24,FALSE)</f>
        <v>0</v>
      </c>
      <c r="BN109" s="226">
        <f>+VLOOKUP(AP109,SharePoint!$BA$3:$BY$140,25,FALSE)</f>
        <v>35</v>
      </c>
      <c r="BO109" s="214" t="s">
        <v>873</v>
      </c>
      <c r="BP109" s="214" t="s">
        <v>873</v>
      </c>
      <c r="BQ109" s="215" t="s">
        <v>3081</v>
      </c>
      <c r="BR109" s="214" t="s">
        <v>873</v>
      </c>
      <c r="BS109" s="214" t="s">
        <v>873</v>
      </c>
      <c r="BT109" s="215" t="s">
        <v>767</v>
      </c>
      <c r="BU109" s="214" t="s">
        <v>873</v>
      </c>
      <c r="BV109" s="214" t="s">
        <v>873</v>
      </c>
      <c r="BW109" s="214" t="s">
        <v>2919</v>
      </c>
      <c r="BX109" s="214" t="s">
        <v>875</v>
      </c>
      <c r="BY109" s="214" t="s">
        <v>875</v>
      </c>
      <c r="BZ109" s="214" t="s">
        <v>3332</v>
      </c>
      <c r="CA109" s="449">
        <v>1</v>
      </c>
      <c r="CB109" s="373" t="s">
        <v>3536</v>
      </c>
      <c r="CC109" s="359">
        <f t="shared" si="15"/>
        <v>87</v>
      </c>
      <c r="CD109" s="359">
        <f t="shared" si="16"/>
        <v>87</v>
      </c>
      <c r="CE109" s="382">
        <f t="shared" si="17"/>
        <v>1</v>
      </c>
      <c r="CF109" s="382">
        <f t="shared" si="28"/>
        <v>1</v>
      </c>
      <c r="CG109" s="327" t="s">
        <v>3509</v>
      </c>
      <c r="CH109" s="327" t="str">
        <f t="shared" si="18"/>
        <v xml:space="preserve">Porcentual </v>
      </c>
      <c r="CI109" s="327"/>
      <c r="CJ109" s="381">
        <v>3</v>
      </c>
      <c r="CK109" s="376" t="str">
        <f t="shared" si="19"/>
        <v xml:space="preserve">Secretaria General </v>
      </c>
      <c r="CL109" s="376" t="str">
        <f t="shared" si="20"/>
        <v xml:space="preserve">Porcentaje de avance en la ejecución del Plan de bienestar social y estímulos </v>
      </c>
      <c r="CM109" s="376" t="str">
        <f t="shared" si="21"/>
        <v>(Número de actividades ejecutadas en el período / Número de actividades programadas en el cronograma del Plan de bienestar social y estímulos)*100</v>
      </c>
      <c r="CN109" s="389">
        <f t="shared" si="22"/>
        <v>87</v>
      </c>
      <c r="CO109" s="389">
        <f t="shared" si="23"/>
        <v>87</v>
      </c>
      <c r="CP109" s="388">
        <f t="shared" si="26"/>
        <v>1</v>
      </c>
      <c r="CQ109" s="377">
        <f t="shared" si="24"/>
        <v>1</v>
      </c>
      <c r="CR109" s="377" t="str">
        <f t="shared" si="25"/>
        <v>CUMPLIO</v>
      </c>
      <c r="DB109" s="381"/>
      <c r="DC109" s="381"/>
      <c r="DD109" s="381"/>
      <c r="DE109" s="381"/>
      <c r="DF109" s="381"/>
      <c r="DG109" s="381"/>
    </row>
    <row r="110" spans="1:111" s="83" customFormat="1" ht="127.5" customHeight="1" thickTop="1" thickBot="1">
      <c r="A110" s="83" t="s">
        <v>498</v>
      </c>
      <c r="B110" s="75" t="s">
        <v>151</v>
      </c>
      <c r="C110" s="75" t="s">
        <v>856</v>
      </c>
      <c r="D110" s="75" t="s">
        <v>903</v>
      </c>
      <c r="E110" s="75" t="s">
        <v>1421</v>
      </c>
      <c r="F110" s="75" t="s">
        <v>1421</v>
      </c>
      <c r="G110" s="75" t="s">
        <v>215</v>
      </c>
      <c r="H110" s="75" t="s">
        <v>860</v>
      </c>
      <c r="I110" s="76" t="s">
        <v>1422</v>
      </c>
      <c r="J110" s="76" t="s">
        <v>1423</v>
      </c>
      <c r="K110" s="76" t="s">
        <v>1212</v>
      </c>
      <c r="L110" s="77" t="s">
        <v>1424</v>
      </c>
      <c r="M110" s="77" t="s">
        <v>1448</v>
      </c>
      <c r="N110" s="77" t="s">
        <v>498</v>
      </c>
      <c r="O110" s="430" t="s">
        <v>500</v>
      </c>
      <c r="P110" s="77" t="s">
        <v>501</v>
      </c>
      <c r="Q110" s="77" t="s">
        <v>1209</v>
      </c>
      <c r="R110" s="77" t="s">
        <v>1449</v>
      </c>
      <c r="S110" s="77" t="s">
        <v>1450</v>
      </c>
      <c r="T110" s="76" t="s">
        <v>892</v>
      </c>
      <c r="U110" s="76" t="s">
        <v>871</v>
      </c>
      <c r="V110" s="76" t="s">
        <v>872</v>
      </c>
      <c r="W110" s="78" t="s">
        <v>3515</v>
      </c>
      <c r="X110" s="297">
        <v>1</v>
      </c>
      <c r="Y110" s="78"/>
      <c r="Z110" s="78"/>
      <c r="AA110" s="292" t="s">
        <v>1451</v>
      </c>
      <c r="AB110" s="292"/>
      <c r="AC110" s="292"/>
      <c r="AD110" s="292" t="s">
        <v>1452</v>
      </c>
      <c r="AE110" s="292"/>
      <c r="AF110" s="292"/>
      <c r="AG110" s="292" t="s">
        <v>1447</v>
      </c>
      <c r="AH110" s="292"/>
      <c r="AI110" s="292"/>
      <c r="AJ110" s="292" t="s">
        <v>1452</v>
      </c>
      <c r="AK110" s="76" t="s">
        <v>873</v>
      </c>
      <c r="AL110" s="76" t="s">
        <v>873</v>
      </c>
      <c r="AM110" s="76" t="s">
        <v>873</v>
      </c>
      <c r="AN110" s="76" t="s">
        <v>873</v>
      </c>
      <c r="AO110" s="76" t="s">
        <v>1435</v>
      </c>
      <c r="AP110" s="82" t="s">
        <v>498</v>
      </c>
      <c r="AQ110" s="370">
        <f>+VLOOKUP(AP110,SharePoint!$BA$3:$BY$140,2,FALSE)</f>
        <v>0</v>
      </c>
      <c r="AR110" s="370">
        <f>+VLOOKUP(AP110,SharePoint!$BA$3:$BY$140,3,FALSE)</f>
        <v>0</v>
      </c>
      <c r="AS110" s="370">
        <f>+VLOOKUP(AP110,SharePoint!$BA$3:$BY$140,4,FALSE)</f>
        <v>10</v>
      </c>
      <c r="AT110" s="370">
        <f>+VLOOKUP(AP110,SharePoint!$BA$3:$BY$140,5,FALSE)</f>
        <v>0</v>
      </c>
      <c r="AU110" s="370">
        <f>+VLOOKUP(AP110,SharePoint!$BA$3:$BY$140,6,FALSE)</f>
        <v>0</v>
      </c>
      <c r="AV110" s="370">
        <f>+VLOOKUP(AP110,SharePoint!$BA$3:$BY$140,7,FALSE)</f>
        <v>18</v>
      </c>
      <c r="AW110" s="370">
        <f>+VLOOKUP(AP110,SharePoint!$BA$3:$BY$140,8,FALSE)</f>
        <v>0</v>
      </c>
      <c r="AX110" s="370">
        <f>+VLOOKUP(AP110,SharePoint!$BA$3:$BY$140,9,FALSE)</f>
        <v>0</v>
      </c>
      <c r="AY110" s="370">
        <f>+VLOOKUP(AP110,SharePoint!$BA$3:$BY$140,10,FALSE)</f>
        <v>10</v>
      </c>
      <c r="AZ110" s="370">
        <f>+VLOOKUP(AP110,SharePoint!$BA$3:$BY$140,11,FALSE)</f>
        <v>0</v>
      </c>
      <c r="BA110" s="370">
        <f>+VLOOKUP(AP110,SharePoint!$BA$3:$BY$140,12,FALSE)</f>
        <v>0</v>
      </c>
      <c r="BB110" s="370">
        <f>+VLOOKUP(AP110,SharePoint!$BA$3:$BY$140,13,FALSE)</f>
        <v>18</v>
      </c>
      <c r="BC110" s="226">
        <f>+VLOOKUP(AP110,SharePoint!$BA$3:$BY$140,14,FALSE)</f>
        <v>0</v>
      </c>
      <c r="BD110" s="226">
        <f>+VLOOKUP(AP110,SharePoint!$BA$3:$BY$140,15,FALSE)</f>
        <v>0</v>
      </c>
      <c r="BE110" s="226">
        <f>+VLOOKUP(AP110,SharePoint!$BA$3:$BY$140,16,FALSE)</f>
        <v>10</v>
      </c>
      <c r="BF110" s="226">
        <f>+VLOOKUP(AP110,SharePoint!$BA$3:$BY$140,17,FALSE)</f>
        <v>0</v>
      </c>
      <c r="BG110" s="226">
        <f>+VLOOKUP(AP110,SharePoint!$BA$3:$BY$140,18,FALSE)</f>
        <v>0</v>
      </c>
      <c r="BH110" s="226">
        <f>+VLOOKUP(AP110,SharePoint!$BA$3:$BY$140,19,FALSE)</f>
        <v>18</v>
      </c>
      <c r="BI110" s="226">
        <f>+VLOOKUP(AP110,SharePoint!$BA$3:$BY$140,20,FALSE)</f>
        <v>0</v>
      </c>
      <c r="BJ110" s="226">
        <f>+VLOOKUP(AP110,SharePoint!$BA$3:$BY$140,21,FALSE)</f>
        <v>0</v>
      </c>
      <c r="BK110" s="226">
        <f>+VLOOKUP(AP110,SharePoint!$BA$3:$BY$140,22,FALSE)</f>
        <v>12</v>
      </c>
      <c r="BL110" s="226">
        <f>+VLOOKUP(AP110,SharePoint!$BA$3:$BY$140,23,FALSE)</f>
        <v>0</v>
      </c>
      <c r="BM110" s="226">
        <f>+VLOOKUP(AP110,SharePoint!$BA$3:$BY$140,24,FALSE)</f>
        <v>0</v>
      </c>
      <c r="BN110" s="226">
        <f>+VLOOKUP(AP110,SharePoint!$BA$3:$BY$140,25,FALSE)</f>
        <v>18</v>
      </c>
      <c r="BO110" s="214" t="s">
        <v>873</v>
      </c>
      <c r="BP110" s="214" t="s">
        <v>873</v>
      </c>
      <c r="BQ110" s="215" t="s">
        <v>3081</v>
      </c>
      <c r="BR110" s="214" t="s">
        <v>873</v>
      </c>
      <c r="BS110" s="214" t="s">
        <v>873</v>
      </c>
      <c r="BT110" s="215" t="s">
        <v>769</v>
      </c>
      <c r="BU110" s="214" t="s">
        <v>873</v>
      </c>
      <c r="BV110" s="214" t="s">
        <v>873</v>
      </c>
      <c r="BW110" s="214" t="s">
        <v>3137</v>
      </c>
      <c r="BX110" s="214" t="s">
        <v>875</v>
      </c>
      <c r="BY110" s="214" t="s">
        <v>875</v>
      </c>
      <c r="BZ110" s="214" t="s">
        <v>3374</v>
      </c>
      <c r="CA110" s="449">
        <v>1</v>
      </c>
      <c r="CB110" s="373" t="s">
        <v>3531</v>
      </c>
      <c r="CC110" s="359">
        <v>60</v>
      </c>
      <c r="CD110" s="359">
        <v>60</v>
      </c>
      <c r="CE110" s="393">
        <f t="shared" si="17"/>
        <v>1</v>
      </c>
      <c r="CF110" s="382">
        <f t="shared" si="28"/>
        <v>1</v>
      </c>
      <c r="CG110" s="327" t="s">
        <v>3509</v>
      </c>
      <c r="CH110" s="327" t="str">
        <f t="shared" si="18"/>
        <v xml:space="preserve">Porcentual </v>
      </c>
      <c r="CI110" s="327"/>
      <c r="CJ110" s="381">
        <v>4</v>
      </c>
      <c r="CK110" s="378" t="str">
        <f t="shared" si="19"/>
        <v xml:space="preserve">Secretaria General </v>
      </c>
      <c r="CL110" s="378" t="str">
        <f t="shared" si="20"/>
        <v>Porcentaje de avance en la ejecución del Plan anual de Seguridad y Salud en el Trabajo</v>
      </c>
      <c r="CM110" s="378" t="str">
        <f t="shared" si="21"/>
        <v>(Número de actividades ejecutadas en el periodo / Número de actividades programadas en el cronograma del Plan anual de Seguridad y Salud en el Trabajo) *100</v>
      </c>
      <c r="CN110" s="390">
        <f t="shared" si="22"/>
        <v>60</v>
      </c>
      <c r="CO110" s="390">
        <f t="shared" si="23"/>
        <v>60</v>
      </c>
      <c r="CP110" s="387">
        <f t="shared" si="26"/>
        <v>1</v>
      </c>
      <c r="CQ110" s="379">
        <f t="shared" si="24"/>
        <v>1</v>
      </c>
      <c r="CR110" s="379" t="str">
        <f t="shared" si="25"/>
        <v>CUMPLIO</v>
      </c>
      <c r="DB110" s="381"/>
      <c r="DC110" s="381"/>
      <c r="DD110" s="381"/>
      <c r="DE110" s="381"/>
      <c r="DF110" s="381"/>
      <c r="DG110" s="381"/>
    </row>
    <row r="111" spans="1:111" s="83" customFormat="1" ht="127.5" customHeight="1" thickTop="1" thickBot="1">
      <c r="A111" s="83" t="s">
        <v>503</v>
      </c>
      <c r="B111" s="75" t="s">
        <v>151</v>
      </c>
      <c r="C111" s="75" t="s">
        <v>856</v>
      </c>
      <c r="D111" s="75" t="s">
        <v>903</v>
      </c>
      <c r="E111" s="75" t="s">
        <v>1421</v>
      </c>
      <c r="F111" s="75" t="s">
        <v>1421</v>
      </c>
      <c r="G111" s="75" t="s">
        <v>215</v>
      </c>
      <c r="H111" s="75" t="s">
        <v>860</v>
      </c>
      <c r="I111" s="76" t="s">
        <v>1422</v>
      </c>
      <c r="J111" s="76" t="s">
        <v>1423</v>
      </c>
      <c r="K111" s="76" t="s">
        <v>1212</v>
      </c>
      <c r="L111" s="77" t="s">
        <v>1424</v>
      </c>
      <c r="M111" s="77" t="s">
        <v>504</v>
      </c>
      <c r="N111" s="77" t="s">
        <v>503</v>
      </c>
      <c r="O111" s="77" t="s">
        <v>1453</v>
      </c>
      <c r="P111" s="77" t="s">
        <v>1454</v>
      </c>
      <c r="Q111" s="77" t="s">
        <v>1209</v>
      </c>
      <c r="R111" s="77" t="s">
        <v>1455</v>
      </c>
      <c r="S111" s="77" t="s">
        <v>1456</v>
      </c>
      <c r="T111" s="76" t="s">
        <v>892</v>
      </c>
      <c r="U111" s="76" t="s">
        <v>871</v>
      </c>
      <c r="V111" s="76" t="s">
        <v>872</v>
      </c>
      <c r="W111" s="78" t="s">
        <v>1457</v>
      </c>
      <c r="X111" s="297">
        <v>1</v>
      </c>
      <c r="Y111" s="78"/>
      <c r="Z111" s="78"/>
      <c r="AA111" s="78" t="s">
        <v>1440</v>
      </c>
      <c r="AB111" s="78"/>
      <c r="AC111" s="78"/>
      <c r="AD111" s="78" t="s">
        <v>1284</v>
      </c>
      <c r="AE111" s="78"/>
      <c r="AF111" s="78"/>
      <c r="AG111" s="78" t="s">
        <v>1347</v>
      </c>
      <c r="AH111" s="78"/>
      <c r="AI111" s="78"/>
      <c r="AJ111" s="78" t="s">
        <v>1458</v>
      </c>
      <c r="AK111" s="76" t="s">
        <v>873</v>
      </c>
      <c r="AL111" s="76" t="s">
        <v>873</v>
      </c>
      <c r="AM111" s="76" t="s">
        <v>873</v>
      </c>
      <c r="AN111" s="76" t="s">
        <v>873</v>
      </c>
      <c r="AO111" s="76" t="s">
        <v>1435</v>
      </c>
      <c r="AP111" s="82" t="s">
        <v>503</v>
      </c>
      <c r="AQ111" s="370">
        <f>+VLOOKUP(AP111,SharePoint!$BA$3:$BY$140,2,FALSE)</f>
        <v>0</v>
      </c>
      <c r="AR111" s="370">
        <f>+VLOOKUP(AP111,SharePoint!$BA$3:$BY$140,3,FALSE)</f>
        <v>0</v>
      </c>
      <c r="AS111" s="370">
        <f>+VLOOKUP(AP111,SharePoint!$BA$3:$BY$140,4,FALSE)</f>
        <v>1</v>
      </c>
      <c r="AT111" s="370">
        <f>+VLOOKUP(AP111,SharePoint!$BA$3:$BY$140,5,FALSE)</f>
        <v>0</v>
      </c>
      <c r="AU111" s="370">
        <f>+VLOOKUP(AP111,SharePoint!$BA$3:$BY$140,6,FALSE)</f>
        <v>0</v>
      </c>
      <c r="AV111" s="370">
        <v>5</v>
      </c>
      <c r="AW111" s="370">
        <f>+VLOOKUP(AP111,SharePoint!$BA$3:$BY$140,8,FALSE)</f>
        <v>0</v>
      </c>
      <c r="AX111" s="370">
        <f>+VLOOKUP(AP111,SharePoint!$BA$3:$BY$140,9,FALSE)</f>
        <v>0</v>
      </c>
      <c r="AY111" s="370">
        <f>+VLOOKUP(AP111,SharePoint!$BA$3:$BY$140,10,FALSE)</f>
        <v>2</v>
      </c>
      <c r="AZ111" s="370">
        <f>+VLOOKUP(AP111,SharePoint!$BA$3:$BY$140,11,FALSE)</f>
        <v>0</v>
      </c>
      <c r="BA111" s="370">
        <f>+VLOOKUP(AP111,SharePoint!$BA$3:$BY$140,12,FALSE)</f>
        <v>0</v>
      </c>
      <c r="BB111" s="370">
        <f>+VLOOKUP(AP111,SharePoint!$BA$3:$BY$140,13,FALSE)</f>
        <v>8</v>
      </c>
      <c r="BC111" s="226">
        <f>+VLOOKUP(AP111,SharePoint!$BA$3:$BY$140,14,FALSE)</f>
        <v>0</v>
      </c>
      <c r="BD111" s="226">
        <f>+VLOOKUP(AP111,SharePoint!$BA$3:$BY$140,15,FALSE)</f>
        <v>0</v>
      </c>
      <c r="BE111" s="226">
        <f>+VLOOKUP(AP111,SharePoint!$BA$3:$BY$140,16,FALSE)</f>
        <v>1</v>
      </c>
      <c r="BF111" s="226">
        <f>+VLOOKUP(AP111,SharePoint!$BA$3:$BY$140,17,FALSE)</f>
        <v>0</v>
      </c>
      <c r="BG111" s="226">
        <f>+VLOOKUP(AP111,SharePoint!$BA$3:$BY$140,18,FALSE)</f>
        <v>0</v>
      </c>
      <c r="BH111" s="226">
        <f>+VLOOKUP(AP111,SharePoint!$BA$3:$BY$140,19,FALSE)</f>
        <v>5</v>
      </c>
      <c r="BI111" s="226">
        <f>+VLOOKUP(AP111,SharePoint!$BA$3:$BY$140,20,FALSE)</f>
        <v>0</v>
      </c>
      <c r="BJ111" s="226">
        <f>+VLOOKUP(AP111,SharePoint!$BA$3:$BY$140,21,FALSE)</f>
        <v>0</v>
      </c>
      <c r="BK111" s="226">
        <f>+VLOOKUP(AP111,SharePoint!$BA$3:$BY$140,22,FALSE)</f>
        <v>2</v>
      </c>
      <c r="BL111" s="226">
        <f>+VLOOKUP(AP111,SharePoint!$BA$3:$BY$140,23,FALSE)</f>
        <v>0</v>
      </c>
      <c r="BM111" s="226">
        <f>+VLOOKUP(AP111,SharePoint!$BA$3:$BY$140,24,FALSE)</f>
        <v>0</v>
      </c>
      <c r="BN111" s="226">
        <f>+VLOOKUP(AP111,SharePoint!$BA$3:$BY$140,25,FALSE)</f>
        <v>8</v>
      </c>
      <c r="BO111" s="214" t="s">
        <v>873</v>
      </c>
      <c r="BP111" s="214" t="s">
        <v>873</v>
      </c>
      <c r="BQ111" s="215" t="s">
        <v>507</v>
      </c>
      <c r="BR111" s="214" t="s">
        <v>873</v>
      </c>
      <c r="BS111" s="214" t="s">
        <v>873</v>
      </c>
      <c r="BT111" s="215" t="s">
        <v>772</v>
      </c>
      <c r="BU111" s="214" t="s">
        <v>873</v>
      </c>
      <c r="BV111" s="214" t="s">
        <v>873</v>
      </c>
      <c r="BW111" s="214" t="s">
        <v>2951</v>
      </c>
      <c r="BX111" s="214" t="s">
        <v>875</v>
      </c>
      <c r="BY111" s="214" t="s">
        <v>875</v>
      </c>
      <c r="BZ111" s="214" t="s">
        <v>3334</v>
      </c>
      <c r="CA111" s="449">
        <v>1</v>
      </c>
      <c r="CB111" s="373" t="s">
        <v>3560</v>
      </c>
      <c r="CC111" s="328">
        <v>16</v>
      </c>
      <c r="CD111" s="328">
        <v>16</v>
      </c>
      <c r="CE111" s="382">
        <f t="shared" si="17"/>
        <v>1</v>
      </c>
      <c r="CF111" s="382">
        <f t="shared" si="28"/>
        <v>1</v>
      </c>
      <c r="CG111" s="327" t="s">
        <v>3509</v>
      </c>
      <c r="CH111" s="327" t="str">
        <f t="shared" si="18"/>
        <v xml:space="preserve">Porcentual </v>
      </c>
      <c r="CI111" s="327"/>
      <c r="CJ111" s="381">
        <v>5</v>
      </c>
      <c r="CK111" s="376" t="str">
        <f t="shared" si="19"/>
        <v xml:space="preserve">Secretaria General </v>
      </c>
      <c r="CL111" s="376" t="str">
        <f t="shared" si="20"/>
        <v>Porcentaje acumulado de avance en la ejecución del cronograma para la implementación de la  política de integridad</v>
      </c>
      <c r="CM111" s="376" t="str">
        <f t="shared" si="21"/>
        <v>(Número de actividades ejecutadas en el periodo / Número de actividades programadas en el cronograma para la implementación de la  política de integridad)*100</v>
      </c>
      <c r="CN111" s="389">
        <f t="shared" si="22"/>
        <v>16</v>
      </c>
      <c r="CO111" s="389">
        <f t="shared" si="23"/>
        <v>16</v>
      </c>
      <c r="CP111" s="388">
        <f t="shared" si="26"/>
        <v>1</v>
      </c>
      <c r="CQ111" s="377">
        <f t="shared" si="24"/>
        <v>1</v>
      </c>
      <c r="CR111" s="377" t="str">
        <f t="shared" si="25"/>
        <v>CUMPLIO</v>
      </c>
      <c r="DB111" s="381"/>
      <c r="DC111" s="381"/>
      <c r="DD111" s="381"/>
      <c r="DE111" s="381"/>
      <c r="DF111" s="381"/>
      <c r="DG111" s="381"/>
    </row>
    <row r="112" spans="1:111" s="83" customFormat="1" ht="127.5" customHeight="1" thickTop="1" thickBot="1">
      <c r="A112" s="83" t="s">
        <v>180</v>
      </c>
      <c r="B112" s="75" t="s">
        <v>151</v>
      </c>
      <c r="C112" s="75" t="s">
        <v>856</v>
      </c>
      <c r="D112" s="75" t="s">
        <v>903</v>
      </c>
      <c r="E112" s="75" t="s">
        <v>1421</v>
      </c>
      <c r="F112" s="75" t="s">
        <v>1421</v>
      </c>
      <c r="G112" s="75" t="s">
        <v>215</v>
      </c>
      <c r="H112" s="75" t="s">
        <v>860</v>
      </c>
      <c r="I112" s="76" t="s">
        <v>1459</v>
      </c>
      <c r="J112" s="76" t="s">
        <v>1460</v>
      </c>
      <c r="K112" s="76" t="s">
        <v>1212</v>
      </c>
      <c r="L112" s="77" t="s">
        <v>875</v>
      </c>
      <c r="M112" s="77" t="s">
        <v>639</v>
      </c>
      <c r="N112" s="76" t="s">
        <v>180</v>
      </c>
      <c r="O112" s="76" t="s">
        <v>640</v>
      </c>
      <c r="P112" s="76" t="s">
        <v>1461</v>
      </c>
      <c r="Q112" s="76" t="s">
        <v>1462</v>
      </c>
      <c r="R112" s="76" t="s">
        <v>1463</v>
      </c>
      <c r="S112" s="76" t="s">
        <v>1464</v>
      </c>
      <c r="T112" s="76" t="s">
        <v>892</v>
      </c>
      <c r="U112" s="76" t="s">
        <v>871</v>
      </c>
      <c r="V112" s="76" t="s">
        <v>910</v>
      </c>
      <c r="W112" s="76">
        <v>3</v>
      </c>
      <c r="X112" s="300">
        <v>1</v>
      </c>
      <c r="Y112" s="76"/>
      <c r="Z112" s="76"/>
      <c r="AA112" s="76"/>
      <c r="AB112" s="79">
        <v>0.15</v>
      </c>
      <c r="AC112" s="76"/>
      <c r="AD112" s="76"/>
      <c r="AE112" s="76"/>
      <c r="AF112" s="79">
        <v>0.65</v>
      </c>
      <c r="AG112" s="76"/>
      <c r="AH112" s="76"/>
      <c r="AI112" s="76"/>
      <c r="AJ112" s="79">
        <v>1</v>
      </c>
      <c r="AK112" s="76" t="s">
        <v>873</v>
      </c>
      <c r="AL112" s="76" t="s">
        <v>873</v>
      </c>
      <c r="AM112" s="76" t="s">
        <v>873</v>
      </c>
      <c r="AN112" s="76" t="s">
        <v>873</v>
      </c>
      <c r="AO112" s="76" t="s">
        <v>1435</v>
      </c>
      <c r="AP112" s="82" t="s">
        <v>180</v>
      </c>
      <c r="AQ112" s="370">
        <f>+VLOOKUP(AP112,SharePoint!$BA$3:$BY$140,2,FALSE)</f>
        <v>0</v>
      </c>
      <c r="AR112" s="370">
        <f>+VLOOKUP(AP112,SharePoint!$BA$3:$BY$140,3,FALSE)</f>
        <v>0</v>
      </c>
      <c r="AS112" s="370">
        <f>+VLOOKUP(AP112,SharePoint!$BA$3:$BY$140,4,FALSE)</f>
        <v>0</v>
      </c>
      <c r="AT112" s="370">
        <f>+VLOOKUP(AP112,SharePoint!$BA$3:$BY$140,5,FALSE)</f>
        <v>4</v>
      </c>
      <c r="AU112" s="370">
        <f>+VLOOKUP(AP112,SharePoint!$BA$3:$BY$140,6,FALSE)</f>
        <v>0</v>
      </c>
      <c r="AV112" s="370">
        <f>+VLOOKUP(AP112,SharePoint!$BA$3:$BY$140,7,FALSE)</f>
        <v>0</v>
      </c>
      <c r="AW112" s="370">
        <f>+VLOOKUP(AP112,SharePoint!$BA$3:$BY$140,8,FALSE)</f>
        <v>0</v>
      </c>
      <c r="AX112" s="370">
        <f>+VLOOKUP(AP112,SharePoint!$BA$3:$BY$140,9,FALSE)</f>
        <v>9</v>
      </c>
      <c r="AY112" s="370">
        <f>+VLOOKUP(AP112,SharePoint!$BA$3:$BY$140,10,FALSE)</f>
        <v>0</v>
      </c>
      <c r="AZ112" s="370">
        <f>+VLOOKUP(AP112,SharePoint!$BA$3:$BY$140,11,FALSE)</f>
        <v>0</v>
      </c>
      <c r="BA112" s="370">
        <f>+VLOOKUP(AP112,SharePoint!$BA$3:$BY$140,12,FALSE)</f>
        <v>0</v>
      </c>
      <c r="BB112" s="370">
        <f>+VLOOKUP(AP112,SharePoint!$BA$3:$BY$140,13,FALSE)</f>
        <v>6</v>
      </c>
      <c r="BC112" s="226">
        <f>+VLOOKUP(AP112,SharePoint!$BA$3:$BY$140,14,FALSE)</f>
        <v>0</v>
      </c>
      <c r="BD112" s="226">
        <f>+VLOOKUP(AP112,SharePoint!$BA$3:$BY$140,15,FALSE)</f>
        <v>0</v>
      </c>
      <c r="BE112" s="226">
        <f>+VLOOKUP(AP112,SharePoint!$BA$3:$BY$140,16,FALSE)</f>
        <v>0</v>
      </c>
      <c r="BF112" s="226">
        <f>+VLOOKUP(AP112,SharePoint!$BA$3:$BY$140,17,FALSE)</f>
        <v>4</v>
      </c>
      <c r="BG112" s="226">
        <f>+VLOOKUP(AP112,SharePoint!$BA$3:$BY$140,18,FALSE)</f>
        <v>0</v>
      </c>
      <c r="BH112" s="226">
        <f>+VLOOKUP(AP112,SharePoint!$BA$3:$BY$140,19,FALSE)</f>
        <v>0</v>
      </c>
      <c r="BI112" s="226">
        <f>+VLOOKUP(AP112,SharePoint!$BA$3:$BY$140,20,FALSE)</f>
        <v>0</v>
      </c>
      <c r="BJ112" s="226">
        <f>+VLOOKUP(AP112,SharePoint!$BA$3:$BY$140,21,FALSE)</f>
        <v>9</v>
      </c>
      <c r="BK112" s="226">
        <f>+VLOOKUP(AP112,SharePoint!$BA$3:$BY$140,22,FALSE)</f>
        <v>0</v>
      </c>
      <c r="BL112" s="226">
        <f>+VLOOKUP(AP112,SharePoint!$BA$3:$BY$140,23,FALSE)</f>
        <v>0</v>
      </c>
      <c r="BM112" s="226">
        <f>+VLOOKUP(AP112,SharePoint!$BA$3:$BY$140,24,FALSE)</f>
        <v>0</v>
      </c>
      <c r="BN112" s="226">
        <f>+VLOOKUP(AP112,SharePoint!$BA$3:$BY$140,25,FALSE)</f>
        <v>6</v>
      </c>
      <c r="BO112" s="214" t="s">
        <v>873</v>
      </c>
      <c r="BP112" s="214" t="s">
        <v>873</v>
      </c>
      <c r="BQ112" s="214" t="s">
        <v>873</v>
      </c>
      <c r="BR112" s="215" t="s">
        <v>3082</v>
      </c>
      <c r="BS112" s="214" t="s">
        <v>873</v>
      </c>
      <c r="BT112" s="214" t="s">
        <v>873</v>
      </c>
      <c r="BU112" s="214" t="s">
        <v>873</v>
      </c>
      <c r="BV112" s="214" t="s">
        <v>2913</v>
      </c>
      <c r="BW112" s="214" t="s">
        <v>873</v>
      </c>
      <c r="BX112" s="214" t="s">
        <v>875</v>
      </c>
      <c r="BY112" s="214" t="s">
        <v>875</v>
      </c>
      <c r="BZ112" s="214" t="s">
        <v>3299</v>
      </c>
      <c r="CA112" s="449">
        <v>2</v>
      </c>
      <c r="CB112" s="373" t="s">
        <v>3469</v>
      </c>
      <c r="CC112" s="359">
        <f t="shared" si="15"/>
        <v>19</v>
      </c>
      <c r="CD112" s="359">
        <f t="shared" si="16"/>
        <v>19</v>
      </c>
      <c r="CE112" s="382">
        <f t="shared" si="17"/>
        <v>1</v>
      </c>
      <c r="CF112" s="382">
        <f t="shared" si="28"/>
        <v>1</v>
      </c>
      <c r="CG112" s="327" t="s">
        <v>3509</v>
      </c>
      <c r="CH112" s="327" t="str">
        <f t="shared" si="18"/>
        <v xml:space="preserve">Porcentual </v>
      </c>
      <c r="CI112" s="327"/>
      <c r="CJ112" s="381">
        <v>1</v>
      </c>
      <c r="CK112" s="378" t="str">
        <f t="shared" si="19"/>
        <v xml:space="preserve">Secretaria General </v>
      </c>
      <c r="CL112" s="378" t="str">
        <f t="shared" si="20"/>
        <v>Porcentaje de Capacitaciones, Autocapacitaciones y Charlas de Sensibilización y preservación del orden interno en materia disciplinaria</v>
      </c>
      <c r="CM112" s="378" t="str">
        <f t="shared" si="21"/>
        <v>(Número de Capacitaciones, Autocapacitaciones y Charlas de Sensibilización y de preservación del orden interno, sobre acciones preventivas disciplinarias y normatividad vigente realizadas en el periodo/  Número de Capacitaciones, Autocapacitaciones y Charlas de Sensibilización y de preservación del orden interno, sobre acciones preventivas disciplinarias y normatividad vigente a realizar  en el periodo)*100</v>
      </c>
      <c r="CN112" s="390">
        <f t="shared" si="22"/>
        <v>19</v>
      </c>
      <c r="CO112" s="390">
        <f t="shared" si="23"/>
        <v>19</v>
      </c>
      <c r="CP112" s="387">
        <f t="shared" si="26"/>
        <v>1</v>
      </c>
      <c r="CQ112" s="379">
        <f t="shared" si="24"/>
        <v>1</v>
      </c>
      <c r="CR112" s="379" t="str">
        <f t="shared" si="25"/>
        <v>CUMPLIO</v>
      </c>
      <c r="DB112" s="381"/>
      <c r="DC112" s="381"/>
      <c r="DD112" s="381"/>
      <c r="DE112" s="381"/>
      <c r="DF112" s="381"/>
      <c r="DG112" s="381"/>
    </row>
    <row r="113" spans="1:111" s="83" customFormat="1" ht="127.5" customHeight="1" thickTop="1" thickBot="1">
      <c r="A113" s="83" t="s">
        <v>182</v>
      </c>
      <c r="B113" s="75" t="s">
        <v>151</v>
      </c>
      <c r="C113" s="75" t="s">
        <v>856</v>
      </c>
      <c r="D113" s="75" t="s">
        <v>903</v>
      </c>
      <c r="E113" s="75" t="s">
        <v>1421</v>
      </c>
      <c r="F113" s="75" t="s">
        <v>1465</v>
      </c>
      <c r="G113" s="75" t="s">
        <v>215</v>
      </c>
      <c r="H113" s="75" t="s">
        <v>860</v>
      </c>
      <c r="I113" s="76" t="s">
        <v>1459</v>
      </c>
      <c r="J113" s="76" t="s">
        <v>1460</v>
      </c>
      <c r="K113" s="76" t="s">
        <v>1466</v>
      </c>
      <c r="L113" s="77" t="s">
        <v>875</v>
      </c>
      <c r="M113" s="77" t="s">
        <v>1467</v>
      </c>
      <c r="N113" s="76" t="s">
        <v>182</v>
      </c>
      <c r="O113" s="76" t="s">
        <v>621</v>
      </c>
      <c r="P113" s="76" t="s">
        <v>1468</v>
      </c>
      <c r="Q113" s="76" t="s">
        <v>1469</v>
      </c>
      <c r="R113" s="76" t="s">
        <v>1470</v>
      </c>
      <c r="S113" s="76" t="s">
        <v>1471</v>
      </c>
      <c r="T113" s="76" t="s">
        <v>892</v>
      </c>
      <c r="U113" s="76" t="s">
        <v>871</v>
      </c>
      <c r="V113" s="76" t="s">
        <v>1472</v>
      </c>
      <c r="W113" s="76">
        <v>6</v>
      </c>
      <c r="X113" s="300">
        <v>1</v>
      </c>
      <c r="Y113" s="76"/>
      <c r="Z113" s="79">
        <v>0.15</v>
      </c>
      <c r="AA113" s="76"/>
      <c r="AB113" s="79">
        <v>0.3</v>
      </c>
      <c r="AC113" s="76"/>
      <c r="AD113" s="79">
        <v>0.45</v>
      </c>
      <c r="AE113" s="76"/>
      <c r="AF113" s="79">
        <v>0.6</v>
      </c>
      <c r="AG113" s="76"/>
      <c r="AH113" s="79">
        <v>0.75</v>
      </c>
      <c r="AI113" s="76"/>
      <c r="AJ113" s="79">
        <v>1</v>
      </c>
      <c r="AK113" s="76" t="s">
        <v>873</v>
      </c>
      <c r="AL113" s="76" t="s">
        <v>873</v>
      </c>
      <c r="AM113" s="76" t="s">
        <v>873</v>
      </c>
      <c r="AN113" s="76" t="s">
        <v>873</v>
      </c>
      <c r="AO113" s="76" t="s">
        <v>1435</v>
      </c>
      <c r="AP113" s="82" t="s">
        <v>182</v>
      </c>
      <c r="AQ113" s="370">
        <f>+VLOOKUP(AP113,SharePoint!$BA$3:$BY$140,2,FALSE)</f>
        <v>0</v>
      </c>
      <c r="AR113" s="370">
        <f>+VLOOKUP(AP113,SharePoint!$BA$3:$BY$140,3,FALSE)</f>
        <v>95</v>
      </c>
      <c r="AS113" s="370">
        <f>+VLOOKUP(AP113,SharePoint!$BA$3:$BY$140,4,FALSE)</f>
        <v>0</v>
      </c>
      <c r="AT113" s="370">
        <f>+VLOOKUP(AP113,SharePoint!$BA$3:$BY$140,5,FALSE)</f>
        <v>101</v>
      </c>
      <c r="AU113" s="370">
        <f>+VLOOKUP(AP113,SharePoint!$BA$3:$BY$140,6,FALSE)</f>
        <v>0</v>
      </c>
      <c r="AV113" s="370">
        <f>+VLOOKUP(AP113,SharePoint!$BA$3:$BY$140,7,FALSE)</f>
        <v>64</v>
      </c>
      <c r="AW113" s="370">
        <f>+VLOOKUP(AP113,SharePoint!$BA$3:$BY$140,8,FALSE)</f>
        <v>0</v>
      </c>
      <c r="AX113" s="370">
        <f>+VLOOKUP(AP113,SharePoint!$BA$3:$BY$140,9,FALSE)</f>
        <v>63</v>
      </c>
      <c r="AY113" s="370">
        <f>+VLOOKUP(AP113,SharePoint!$BA$3:$BY$140,10,FALSE)</f>
        <v>0</v>
      </c>
      <c r="AZ113" s="370">
        <f>+VLOOKUP(AP113,SharePoint!$BA$3:$BY$140,11,FALSE)</f>
        <v>29</v>
      </c>
      <c r="BA113" s="370">
        <f>+VLOOKUP(AP113,SharePoint!$BA$3:$BY$140,12,FALSE)</f>
        <v>0</v>
      </c>
      <c r="BB113" s="370">
        <f>+VLOOKUP(AP113,SharePoint!$BA$3:$BY$140,13,FALSE)</f>
        <v>26</v>
      </c>
      <c r="BC113" s="226">
        <f>+VLOOKUP(AP113,SharePoint!$BA$3:$BY$140,14,FALSE)</f>
        <v>0</v>
      </c>
      <c r="BD113" s="226">
        <f>+VLOOKUP(AP113,SharePoint!$BA$3:$BY$140,15,FALSE)</f>
        <v>95</v>
      </c>
      <c r="BE113" s="226">
        <f>+VLOOKUP(AP113,SharePoint!$BA$3:$BY$140,16,FALSE)</f>
        <v>0</v>
      </c>
      <c r="BF113" s="226">
        <f>+VLOOKUP(AP113,SharePoint!$BA$3:$BY$140,17,FALSE)</f>
        <v>101</v>
      </c>
      <c r="BG113" s="226">
        <f>+VLOOKUP(AP113,SharePoint!$BA$3:$BY$140,18,FALSE)</f>
        <v>0</v>
      </c>
      <c r="BH113" s="226">
        <f>+VLOOKUP(AP113,SharePoint!$BA$3:$BY$140,19,FALSE)</f>
        <v>64</v>
      </c>
      <c r="BI113" s="226">
        <f>+VLOOKUP(AP113,SharePoint!$BA$3:$BY$140,20,FALSE)</f>
        <v>0</v>
      </c>
      <c r="BJ113" s="226">
        <f>+VLOOKUP(AP113,SharePoint!$BA$3:$BY$140,21,FALSE)</f>
        <v>63</v>
      </c>
      <c r="BK113" s="226">
        <f>+VLOOKUP(AP113,SharePoint!$BA$3:$BY$140,22,FALSE)</f>
        <v>0</v>
      </c>
      <c r="BL113" s="226">
        <f>+VLOOKUP(AP113,SharePoint!$BA$3:$BY$140,23,FALSE)</f>
        <v>29</v>
      </c>
      <c r="BM113" s="226">
        <f>+VLOOKUP(AP113,SharePoint!$BA$3:$BY$140,24,FALSE)</f>
        <v>0</v>
      </c>
      <c r="BN113" s="226">
        <f>+VLOOKUP(AP113,SharePoint!$BA$3:$BY$140,25,FALSE)</f>
        <v>26</v>
      </c>
      <c r="BO113" s="214" t="s">
        <v>873</v>
      </c>
      <c r="BP113" s="215" t="s">
        <v>623</v>
      </c>
      <c r="BQ113" s="214" t="s">
        <v>873</v>
      </c>
      <c r="BR113" s="215" t="s">
        <v>624</v>
      </c>
      <c r="BS113" s="214" t="s">
        <v>873</v>
      </c>
      <c r="BT113" s="215" t="s">
        <v>625</v>
      </c>
      <c r="BU113" s="214" t="s">
        <v>873</v>
      </c>
      <c r="BV113" s="214" t="s">
        <v>2915</v>
      </c>
      <c r="BW113" s="214" t="s">
        <v>873</v>
      </c>
      <c r="BX113" s="214" t="s">
        <v>3335</v>
      </c>
      <c r="BY113" s="214" t="s">
        <v>875</v>
      </c>
      <c r="BZ113" s="214" t="s">
        <v>875</v>
      </c>
      <c r="CA113" s="449">
        <v>1</v>
      </c>
      <c r="CB113" s="373" t="s">
        <v>3488</v>
      </c>
      <c r="CC113" s="359">
        <f t="shared" si="15"/>
        <v>378</v>
      </c>
      <c r="CD113" s="359">
        <f t="shared" si="16"/>
        <v>378</v>
      </c>
      <c r="CE113" s="382">
        <f t="shared" si="17"/>
        <v>1</v>
      </c>
      <c r="CF113" s="382">
        <f t="shared" si="28"/>
        <v>1</v>
      </c>
      <c r="CG113" s="327" t="s">
        <v>3509</v>
      </c>
      <c r="CH113" s="327" t="str">
        <f t="shared" si="18"/>
        <v xml:space="preserve">Porcentual </v>
      </c>
      <c r="CI113" s="327"/>
      <c r="CJ113" s="381">
        <v>2</v>
      </c>
      <c r="CK113" s="376" t="str">
        <f t="shared" si="19"/>
        <v xml:space="preserve">Secretaria General </v>
      </c>
      <c r="CL113" s="376" t="str">
        <f t="shared" si="20"/>
        <v>Porcentaje de asuntos (NRCD) sobre los cuales se adopte decisión en la Oficina de Control Disciplinario Interno en etapa de instrucción</v>
      </c>
      <c r="CM113" s="376" t="str">
        <f t="shared" si="21"/>
        <v>(Número de  asuntos (NRCD) con decisión adoptada en el  período/Número total de asuntos (NRCD) recibidos) * 100</v>
      </c>
      <c r="CN113" s="389">
        <f t="shared" si="22"/>
        <v>378</v>
      </c>
      <c r="CO113" s="389">
        <f t="shared" si="23"/>
        <v>378</v>
      </c>
      <c r="CP113" s="388">
        <f t="shared" si="26"/>
        <v>1</v>
      </c>
      <c r="CQ113" s="377">
        <f t="shared" si="24"/>
        <v>1</v>
      </c>
      <c r="CR113" s="377" t="str">
        <f t="shared" si="25"/>
        <v>CUMPLIO</v>
      </c>
      <c r="DB113" s="381"/>
      <c r="DC113" s="381"/>
      <c r="DD113" s="381"/>
      <c r="DE113" s="381"/>
      <c r="DF113" s="381"/>
      <c r="DG113" s="381"/>
    </row>
    <row r="114" spans="1:111" s="83" customFormat="1" ht="127.5" customHeight="1" thickTop="1" thickBot="1">
      <c r="A114" s="83" t="s">
        <v>188</v>
      </c>
      <c r="B114" s="75" t="s">
        <v>151</v>
      </c>
      <c r="C114" s="75" t="s">
        <v>856</v>
      </c>
      <c r="D114" s="75" t="s">
        <v>903</v>
      </c>
      <c r="E114" s="75" t="s">
        <v>1421</v>
      </c>
      <c r="F114" s="75" t="s">
        <v>1465</v>
      </c>
      <c r="G114" s="75" t="s">
        <v>215</v>
      </c>
      <c r="H114" s="75" t="s">
        <v>860</v>
      </c>
      <c r="I114" s="76" t="s">
        <v>1459</v>
      </c>
      <c r="J114" s="76" t="s">
        <v>1460</v>
      </c>
      <c r="K114" s="76" t="s">
        <v>1466</v>
      </c>
      <c r="L114" s="77" t="s">
        <v>875</v>
      </c>
      <c r="M114" s="76" t="s">
        <v>1473</v>
      </c>
      <c r="N114" s="76" t="s">
        <v>188</v>
      </c>
      <c r="O114" s="76" t="s">
        <v>1474</v>
      </c>
      <c r="P114" s="76" t="s">
        <v>1475</v>
      </c>
      <c r="Q114" s="76" t="s">
        <v>1476</v>
      </c>
      <c r="R114" s="76" t="s">
        <v>1477</v>
      </c>
      <c r="S114" s="76" t="s">
        <v>1478</v>
      </c>
      <c r="T114" s="76" t="s">
        <v>892</v>
      </c>
      <c r="U114" s="76" t="s">
        <v>871</v>
      </c>
      <c r="V114" s="76" t="s">
        <v>988</v>
      </c>
      <c r="W114" s="76">
        <v>90</v>
      </c>
      <c r="X114" s="300">
        <v>0.5</v>
      </c>
      <c r="Y114" s="76"/>
      <c r="Z114" s="76"/>
      <c r="AA114" s="76"/>
      <c r="AB114" s="76"/>
      <c r="AC114" s="76"/>
      <c r="AD114" s="79">
        <v>0.25</v>
      </c>
      <c r="AE114" s="76"/>
      <c r="AF114" s="76"/>
      <c r="AG114" s="76"/>
      <c r="AH114" s="76"/>
      <c r="AI114" s="76"/>
      <c r="AJ114" s="79">
        <v>0.5</v>
      </c>
      <c r="AK114" s="76" t="s">
        <v>873</v>
      </c>
      <c r="AL114" s="76" t="s">
        <v>873</v>
      </c>
      <c r="AM114" s="76" t="s">
        <v>873</v>
      </c>
      <c r="AN114" s="76" t="s">
        <v>873</v>
      </c>
      <c r="AO114" s="76" t="s">
        <v>1435</v>
      </c>
      <c r="AP114" s="82" t="s">
        <v>188</v>
      </c>
      <c r="AQ114" s="370">
        <f>+VLOOKUP(AP114,SharePoint!$BA$3:$BY$140,2,FALSE)</f>
        <v>0</v>
      </c>
      <c r="AR114" s="370">
        <f>+VLOOKUP(AP114,SharePoint!$BA$3:$BY$140,3,FALSE)</f>
        <v>0</v>
      </c>
      <c r="AS114" s="370">
        <f>+VLOOKUP(AP114,SharePoint!$BA$3:$BY$140,4,FALSE)</f>
        <v>0</v>
      </c>
      <c r="AT114" s="370">
        <f>+VLOOKUP(AP114,SharePoint!$BA$3:$BY$140,5,FALSE)</f>
        <v>0</v>
      </c>
      <c r="AU114" s="370">
        <f>+VLOOKUP(AP114,SharePoint!$BA$3:$BY$140,6,FALSE)</f>
        <v>0</v>
      </c>
      <c r="AV114" s="370">
        <f>+VLOOKUP(AP114,SharePoint!$BA$3:$BY$140,7,FALSE)</f>
        <v>132</v>
      </c>
      <c r="AW114" s="370">
        <f>+VLOOKUP(AP114,SharePoint!$BA$3:$BY$140,8,FALSE)</f>
        <v>0</v>
      </c>
      <c r="AX114" s="370">
        <f>+VLOOKUP(AP114,SharePoint!$BA$3:$BY$140,9,FALSE)</f>
        <v>0</v>
      </c>
      <c r="AY114" s="370">
        <f>+VLOOKUP(AP114,SharePoint!$BA$3:$BY$140,10,FALSE)</f>
        <v>0</v>
      </c>
      <c r="AZ114" s="370">
        <f>+VLOOKUP(AP114,SharePoint!$BA$3:$BY$140,11,FALSE)</f>
        <v>0</v>
      </c>
      <c r="BA114" s="370">
        <f>+VLOOKUP(AP114,SharePoint!$BA$3:$BY$140,12,FALSE)</f>
        <v>0</v>
      </c>
      <c r="BB114" s="370">
        <f>+VLOOKUP(AP114,SharePoint!$BA$3:$BY$140,13,FALSE)</f>
        <v>200</v>
      </c>
      <c r="BC114" s="226">
        <f>+VLOOKUP(AP114,SharePoint!$BA$3:$BY$140,14,FALSE)</f>
        <v>0</v>
      </c>
      <c r="BD114" s="226">
        <f>+VLOOKUP(AP114,SharePoint!$BA$3:$BY$140,15,FALSE)</f>
        <v>0</v>
      </c>
      <c r="BE114" s="226">
        <f>+VLOOKUP(AP114,SharePoint!$BA$3:$BY$140,16,FALSE)</f>
        <v>0</v>
      </c>
      <c r="BF114" s="226">
        <f>+VLOOKUP(AP114,SharePoint!$BA$3:$BY$140,17,FALSE)</f>
        <v>0</v>
      </c>
      <c r="BG114" s="226">
        <f>+VLOOKUP(AP114,SharePoint!$BA$3:$BY$140,18,FALSE)</f>
        <v>0</v>
      </c>
      <c r="BH114" s="226">
        <f>+VLOOKUP(AP114,SharePoint!$BA$3:$BY$140,19,FALSE)</f>
        <v>215</v>
      </c>
      <c r="BI114" s="226">
        <f>+VLOOKUP(AP114,SharePoint!$BA$3:$BY$140,20,FALSE)</f>
        <v>0</v>
      </c>
      <c r="BJ114" s="226">
        <f>+VLOOKUP(AP114,SharePoint!$BA$3:$BY$140,21,FALSE)</f>
        <v>0</v>
      </c>
      <c r="BK114" s="226">
        <f>+VLOOKUP(AP114,SharePoint!$BA$3:$BY$140,22,FALSE)</f>
        <v>0</v>
      </c>
      <c r="BL114" s="226">
        <f>+VLOOKUP(AP114,SharePoint!$BA$3:$BY$140,23,FALSE)</f>
        <v>0</v>
      </c>
      <c r="BM114" s="226">
        <f>+VLOOKUP(AP114,SharePoint!$BA$3:$BY$140,24,FALSE)</f>
        <v>0</v>
      </c>
      <c r="BN114" s="226">
        <f>+VLOOKUP(AP114,SharePoint!$BA$3:$BY$140,25,FALSE)</f>
        <v>304</v>
      </c>
      <c r="BO114" s="214" t="s">
        <v>873</v>
      </c>
      <c r="BP114" s="214" t="s">
        <v>873</v>
      </c>
      <c r="BQ114" s="214" t="s">
        <v>873</v>
      </c>
      <c r="BR114" s="214" t="s">
        <v>873</v>
      </c>
      <c r="BS114" s="214" t="s">
        <v>873</v>
      </c>
      <c r="BT114" s="215" t="s">
        <v>629</v>
      </c>
      <c r="BU114" s="214" t="s">
        <v>873</v>
      </c>
      <c r="BV114" s="214" t="s">
        <v>873</v>
      </c>
      <c r="BW114" s="214" t="s">
        <v>873</v>
      </c>
      <c r="BX114" s="214" t="s">
        <v>875</v>
      </c>
      <c r="BY114" s="214" t="s">
        <v>875</v>
      </c>
      <c r="BZ114" s="214" t="s">
        <v>3336</v>
      </c>
      <c r="CA114" s="449">
        <v>1</v>
      </c>
      <c r="CB114" s="420" t="s">
        <v>3470</v>
      </c>
      <c r="CC114" s="359">
        <f t="shared" si="15"/>
        <v>332</v>
      </c>
      <c r="CD114" s="359">
        <f t="shared" si="16"/>
        <v>519</v>
      </c>
      <c r="CE114" s="382">
        <f>+CC114/CD114</f>
        <v>0.63969171483622356</v>
      </c>
      <c r="CF114" s="382">
        <f t="shared" si="28"/>
        <v>0.5</v>
      </c>
      <c r="CG114" s="327" t="s">
        <v>3510</v>
      </c>
      <c r="CH114" s="327" t="str">
        <f t="shared" si="18"/>
        <v xml:space="preserve">Porcentual </v>
      </c>
      <c r="CI114" s="327"/>
      <c r="CJ114" s="381">
        <v>3</v>
      </c>
      <c r="CK114" s="378" t="str">
        <f t="shared" si="19"/>
        <v xml:space="preserve">Secretaria General </v>
      </c>
      <c r="CL114" s="378" t="str">
        <f t="shared" si="20"/>
        <v xml:space="preserve">Porcentaje de decisiones de fondo adoptadas en etapa de instrucción en la Oficina de Control Disciplinario Interno </v>
      </c>
      <c r="CM114" s="378" t="str">
        <f t="shared" si="21"/>
        <v>(Número de  decisiones de fondo adoptadas en el  período/Número total de procesos evaluados en etapa de instrucción) * 100</v>
      </c>
      <c r="CN114" s="390">
        <f t="shared" si="22"/>
        <v>332</v>
      </c>
      <c r="CO114" s="390">
        <f t="shared" si="23"/>
        <v>519</v>
      </c>
      <c r="CP114" s="387">
        <f t="shared" si="26"/>
        <v>0.63969171483622356</v>
      </c>
      <c r="CQ114" s="379">
        <f t="shared" si="24"/>
        <v>0.5</v>
      </c>
      <c r="CR114" s="379" t="str">
        <f t="shared" si="25"/>
        <v>SOBRECUMPLIO</v>
      </c>
      <c r="DB114" s="381"/>
      <c r="DC114" s="381"/>
      <c r="DD114" s="381"/>
      <c r="DE114" s="381"/>
      <c r="DF114" s="381"/>
      <c r="DG114" s="381"/>
    </row>
    <row r="115" spans="1:111" s="83" customFormat="1" ht="127.5" customHeight="1" thickTop="1" thickBot="1">
      <c r="A115" s="83" t="s">
        <v>196</v>
      </c>
      <c r="B115" s="75" t="s">
        <v>151</v>
      </c>
      <c r="C115" s="75" t="s">
        <v>856</v>
      </c>
      <c r="D115" s="75" t="s">
        <v>903</v>
      </c>
      <c r="E115" s="75" t="s">
        <v>1421</v>
      </c>
      <c r="F115" s="75" t="s">
        <v>1465</v>
      </c>
      <c r="G115" s="75" t="s">
        <v>215</v>
      </c>
      <c r="H115" s="75" t="s">
        <v>860</v>
      </c>
      <c r="I115" s="76" t="s">
        <v>1459</v>
      </c>
      <c r="J115" s="76" t="s">
        <v>1460</v>
      </c>
      <c r="K115" s="76" t="s">
        <v>1466</v>
      </c>
      <c r="L115" s="77" t="s">
        <v>875</v>
      </c>
      <c r="M115" s="76" t="s">
        <v>1479</v>
      </c>
      <c r="N115" s="76" t="s">
        <v>196</v>
      </c>
      <c r="O115" s="76" t="s">
        <v>1480</v>
      </c>
      <c r="P115" s="76" t="s">
        <v>1481</v>
      </c>
      <c r="Q115" s="76" t="s">
        <v>1476</v>
      </c>
      <c r="R115" s="76" t="s">
        <v>1482</v>
      </c>
      <c r="S115" s="76" t="s">
        <v>1483</v>
      </c>
      <c r="T115" s="76" t="s">
        <v>892</v>
      </c>
      <c r="U115" s="76" t="s">
        <v>871</v>
      </c>
      <c r="V115" s="76" t="s">
        <v>988</v>
      </c>
      <c r="W115" s="76">
        <v>1</v>
      </c>
      <c r="X115" s="300">
        <v>1</v>
      </c>
      <c r="Y115" s="76"/>
      <c r="Z115" s="76"/>
      <c r="AA115" s="76"/>
      <c r="AB115" s="76"/>
      <c r="AC115" s="76"/>
      <c r="AD115" s="79">
        <v>0.5</v>
      </c>
      <c r="AE115" s="76"/>
      <c r="AF115" s="76"/>
      <c r="AG115" s="76"/>
      <c r="AH115" s="76"/>
      <c r="AI115" s="76"/>
      <c r="AJ115" s="79">
        <v>0.5</v>
      </c>
      <c r="AK115" s="76" t="s">
        <v>873</v>
      </c>
      <c r="AL115" s="76" t="s">
        <v>873</v>
      </c>
      <c r="AM115" s="76" t="s">
        <v>873</v>
      </c>
      <c r="AN115" s="76" t="s">
        <v>873</v>
      </c>
      <c r="AO115" s="76" t="s">
        <v>1435</v>
      </c>
      <c r="AP115" s="82" t="s">
        <v>196</v>
      </c>
      <c r="AQ115" s="370">
        <f>+VLOOKUP(AP115,SharePoint!$BA$3:$BY$140,2,FALSE)</f>
        <v>0</v>
      </c>
      <c r="AR115" s="370">
        <f>+VLOOKUP(AP115,SharePoint!$BA$3:$BY$140,3,FALSE)</f>
        <v>0</v>
      </c>
      <c r="AS115" s="370">
        <f>+VLOOKUP(AP115,SharePoint!$BA$3:$BY$140,4,FALSE)</f>
        <v>0</v>
      </c>
      <c r="AT115" s="370">
        <f>+VLOOKUP(AP115,SharePoint!$BA$3:$BY$140,5,FALSE)</f>
        <v>0</v>
      </c>
      <c r="AU115" s="370">
        <f>+VLOOKUP(AP115,SharePoint!$BA$3:$BY$140,6,FALSE)</f>
        <v>0</v>
      </c>
      <c r="AV115" s="370">
        <f>+VLOOKUP(AP115,SharePoint!$BA$3:$BY$140,7,FALSE)</f>
        <v>2</v>
      </c>
      <c r="AW115" s="370">
        <f>+VLOOKUP(AP115,SharePoint!$BA$3:$BY$140,8,FALSE)</f>
        <v>0</v>
      </c>
      <c r="AX115" s="370">
        <f>+VLOOKUP(AP115,SharePoint!$BA$3:$BY$140,9,FALSE)</f>
        <v>0</v>
      </c>
      <c r="AY115" s="370">
        <f>+VLOOKUP(AP115,SharePoint!$BA$3:$BY$140,10,FALSE)</f>
        <v>0</v>
      </c>
      <c r="AZ115" s="370">
        <f>+VLOOKUP(AP115,SharePoint!$BA$3:$BY$140,11,FALSE)</f>
        <v>0</v>
      </c>
      <c r="BA115" s="370">
        <f>+VLOOKUP(AP115,SharePoint!$BA$3:$BY$140,12,FALSE)</f>
        <v>0</v>
      </c>
      <c r="BB115" s="370">
        <f>+VLOOKUP(AP115,SharePoint!$BA$3:$BY$140,13,FALSE)</f>
        <v>4</v>
      </c>
      <c r="BC115" s="226">
        <f>+VLOOKUP(AP115,SharePoint!$BA$3:$BY$140,14,FALSE)</f>
        <v>0</v>
      </c>
      <c r="BD115" s="226">
        <f>+VLOOKUP(AP115,SharePoint!$BA$3:$BY$140,15,FALSE)</f>
        <v>0</v>
      </c>
      <c r="BE115" s="226">
        <f>+VLOOKUP(AP115,SharePoint!$BA$3:$BY$140,16,FALSE)</f>
        <v>0</v>
      </c>
      <c r="BF115" s="226">
        <f>+VLOOKUP(AP115,SharePoint!$BA$3:$BY$140,17,FALSE)</f>
        <v>0</v>
      </c>
      <c r="BG115" s="226">
        <f>+VLOOKUP(AP115,SharePoint!$BA$3:$BY$140,18,FALSE)</f>
        <v>0</v>
      </c>
      <c r="BH115" s="226">
        <f>+VLOOKUP(AP115,SharePoint!$BA$3:$BY$140,19,FALSE)</f>
        <v>4</v>
      </c>
      <c r="BI115" s="226">
        <f>+VLOOKUP(AP115,SharePoint!$BA$3:$BY$140,20,FALSE)</f>
        <v>0</v>
      </c>
      <c r="BJ115" s="226">
        <f>+VLOOKUP(AP115,SharePoint!$BA$3:$BY$140,21,FALSE)</f>
        <v>0</v>
      </c>
      <c r="BK115" s="226">
        <f>+VLOOKUP(AP115,SharePoint!$BA$3:$BY$140,22,FALSE)</f>
        <v>0</v>
      </c>
      <c r="BL115" s="226">
        <f>+VLOOKUP(AP115,SharePoint!$BA$3:$BY$140,23,FALSE)</f>
        <v>0</v>
      </c>
      <c r="BM115" s="226">
        <f>+VLOOKUP(AP115,SharePoint!$BA$3:$BY$140,24,FALSE)</f>
        <v>0</v>
      </c>
      <c r="BN115" s="226">
        <f>+VLOOKUP(AP115,SharePoint!$BA$3:$BY$140,25,FALSE)</f>
        <v>7</v>
      </c>
      <c r="BO115" s="214" t="s">
        <v>873</v>
      </c>
      <c r="BP115" s="214" t="s">
        <v>873</v>
      </c>
      <c r="BQ115" s="214" t="s">
        <v>873</v>
      </c>
      <c r="BR115" s="214" t="s">
        <v>873</v>
      </c>
      <c r="BS115" s="214" t="s">
        <v>873</v>
      </c>
      <c r="BT115" s="215" t="s">
        <v>3083</v>
      </c>
      <c r="BU115" s="214" t="s">
        <v>873</v>
      </c>
      <c r="BV115" s="214" t="s">
        <v>873</v>
      </c>
      <c r="BW115" s="214" t="s">
        <v>873</v>
      </c>
      <c r="BX115" s="214" t="s">
        <v>875</v>
      </c>
      <c r="BY115" s="214" t="s">
        <v>875</v>
      </c>
      <c r="BZ115" s="214" t="s">
        <v>3305</v>
      </c>
      <c r="CA115" s="449">
        <v>1</v>
      </c>
      <c r="CB115" s="339" t="s">
        <v>3489</v>
      </c>
      <c r="CC115" s="359">
        <f t="shared" si="15"/>
        <v>6</v>
      </c>
      <c r="CD115" s="359">
        <v>11</v>
      </c>
      <c r="CE115" s="382">
        <f t="shared" si="17"/>
        <v>0.54545454545454541</v>
      </c>
      <c r="CF115" s="382">
        <f t="shared" si="28"/>
        <v>1</v>
      </c>
      <c r="CG115" s="327" t="s">
        <v>3511</v>
      </c>
      <c r="CH115" s="327" t="str">
        <f t="shared" si="18"/>
        <v xml:space="preserve">Porcentual </v>
      </c>
      <c r="CI115" s="327"/>
      <c r="CJ115" s="381">
        <v>4</v>
      </c>
      <c r="CK115" s="376" t="str">
        <f t="shared" si="19"/>
        <v xml:space="preserve">Secretaria General </v>
      </c>
      <c r="CL115" s="376" t="str">
        <f t="shared" si="20"/>
        <v xml:space="preserve">Porcentaje de decisiones de fondo adoptadas en etapa de juzgamiento en la Oficina de Control Disciplinario Interno </v>
      </c>
      <c r="CM115" s="376" t="str">
        <f t="shared" si="21"/>
        <v>(Número de  decisiones de fondo adoptadas en el  período/Número total de procesos evaluados en etapa de juzgamiento) * 100</v>
      </c>
      <c r="CN115" s="389">
        <f t="shared" si="22"/>
        <v>6</v>
      </c>
      <c r="CO115" s="389">
        <f t="shared" si="23"/>
        <v>11</v>
      </c>
      <c r="CP115" s="388">
        <f t="shared" si="26"/>
        <v>0.54545454545454541</v>
      </c>
      <c r="CQ115" s="377">
        <f t="shared" si="24"/>
        <v>1</v>
      </c>
      <c r="CR115" s="377" t="str">
        <f t="shared" si="25"/>
        <v>INCUMPLIO</v>
      </c>
      <c r="DB115" s="381"/>
      <c r="DC115" s="381"/>
      <c r="DD115" s="381"/>
      <c r="DE115" s="381"/>
      <c r="DF115" s="381"/>
      <c r="DG115" s="381"/>
    </row>
    <row r="116" spans="1:111" s="83" customFormat="1" ht="127.5" customHeight="1" thickTop="1" thickBot="1">
      <c r="A116" s="83" t="s">
        <v>381</v>
      </c>
      <c r="B116" s="75" t="s">
        <v>151</v>
      </c>
      <c r="C116" s="75" t="s">
        <v>938</v>
      </c>
      <c r="D116" s="75" t="s">
        <v>903</v>
      </c>
      <c r="E116" s="75" t="s">
        <v>1484</v>
      </c>
      <c r="F116" s="75" t="s">
        <v>1485</v>
      </c>
      <c r="G116" s="75" t="s">
        <v>215</v>
      </c>
      <c r="H116" s="75" t="s">
        <v>860</v>
      </c>
      <c r="I116" s="76" t="s">
        <v>1234</v>
      </c>
      <c r="J116" s="76" t="s">
        <v>1235</v>
      </c>
      <c r="K116" s="76" t="s">
        <v>1486</v>
      </c>
      <c r="L116" s="77" t="s">
        <v>1487</v>
      </c>
      <c r="M116" s="76" t="s">
        <v>382</v>
      </c>
      <c r="N116" s="76" t="s">
        <v>381</v>
      </c>
      <c r="O116" s="428" t="s">
        <v>383</v>
      </c>
      <c r="P116" s="76" t="s">
        <v>1488</v>
      </c>
      <c r="Q116" s="76" t="s">
        <v>1489</v>
      </c>
      <c r="R116" s="76" t="s">
        <v>1490</v>
      </c>
      <c r="S116" s="76" t="s">
        <v>1491</v>
      </c>
      <c r="T116" s="76" t="s">
        <v>892</v>
      </c>
      <c r="U116" s="76" t="s">
        <v>871</v>
      </c>
      <c r="V116" s="76" t="s">
        <v>872</v>
      </c>
      <c r="W116" s="80" t="s">
        <v>1492</v>
      </c>
      <c r="X116" s="308">
        <v>52</v>
      </c>
      <c r="Y116" s="76"/>
      <c r="Z116" s="76"/>
      <c r="AA116" s="120" t="s">
        <v>1269</v>
      </c>
      <c r="AB116" s="76"/>
      <c r="AC116" s="76"/>
      <c r="AD116" s="119" t="s">
        <v>1493</v>
      </c>
      <c r="AE116" s="76"/>
      <c r="AF116" s="76"/>
      <c r="AG116" s="120" t="s">
        <v>1494</v>
      </c>
      <c r="AH116" s="76"/>
      <c r="AI116" s="76"/>
      <c r="AJ116" s="283" t="s">
        <v>2930</v>
      </c>
      <c r="AK116" s="76" t="s">
        <v>1495</v>
      </c>
      <c r="AL116" s="77" t="s">
        <v>1496</v>
      </c>
      <c r="AM116" s="76" t="s">
        <v>1497</v>
      </c>
      <c r="AN116" s="89">
        <v>43292675</v>
      </c>
      <c r="AO116" s="76" t="s">
        <v>1435</v>
      </c>
      <c r="AP116" s="82" t="s">
        <v>381</v>
      </c>
      <c r="AQ116" s="370">
        <f>+VLOOKUP(AP116,SharePoint!$BA$3:$BY$140,2,FALSE)</f>
        <v>0</v>
      </c>
      <c r="AR116" s="370">
        <f>+VLOOKUP(AP116,SharePoint!$BA$3:$BY$140,3,FALSE)</f>
        <v>0</v>
      </c>
      <c r="AS116" s="370">
        <f>+VLOOKUP(AP116,SharePoint!$BA$3:$BY$140,4,FALSE)</f>
        <v>8</v>
      </c>
      <c r="AT116" s="370">
        <f>+VLOOKUP(AP116,SharePoint!$BA$3:$BY$140,5,FALSE)</f>
        <v>0</v>
      </c>
      <c r="AU116" s="370">
        <f>+VLOOKUP(AP116,SharePoint!$BA$3:$BY$140,6,FALSE)</f>
        <v>0</v>
      </c>
      <c r="AV116" s="370">
        <f>+VLOOKUP(AP116,SharePoint!$BA$3:$BY$140,7,FALSE)</f>
        <v>26</v>
      </c>
      <c r="AW116" s="370">
        <f>+VLOOKUP(AP116,SharePoint!$BA$3:$BY$140,8,FALSE)</f>
        <v>0</v>
      </c>
      <c r="AX116" s="370">
        <f>+VLOOKUP(AP116,SharePoint!$BA$3:$BY$140,9,FALSE)</f>
        <v>0</v>
      </c>
      <c r="AY116" s="370">
        <f>+VLOOKUP(AP116,SharePoint!$BA$3:$BY$140,10,FALSE)</f>
        <v>13</v>
      </c>
      <c r="AZ116" s="370">
        <f>+VLOOKUP(AP116,SharePoint!$BA$3:$BY$140,11,FALSE)</f>
        <v>0</v>
      </c>
      <c r="BA116" s="370">
        <f>+VLOOKUP(AP116,SharePoint!$BA$3:$BY$140,12,FALSE)</f>
        <v>0</v>
      </c>
      <c r="BB116" s="370">
        <f>+VLOOKUP(AP116,SharePoint!$BA$3:$BY$140,13,FALSE)</f>
        <v>12</v>
      </c>
      <c r="BC116" s="226">
        <f>+VLOOKUP(AP116,SharePoint!$BA$3:$BY$140,14,FALSE)</f>
        <v>0</v>
      </c>
      <c r="BD116" s="226">
        <f>+VLOOKUP(AP116,SharePoint!$BA$3:$BY$140,15,FALSE)</f>
        <v>0</v>
      </c>
      <c r="BE116" s="226">
        <f>+VLOOKUP(AP116,SharePoint!$BA$3:$BY$140,16,FALSE)</f>
        <v>8</v>
      </c>
      <c r="BF116" s="226">
        <f>+VLOOKUP(AP116,SharePoint!$BA$3:$BY$140,17,FALSE)</f>
        <v>0</v>
      </c>
      <c r="BG116" s="226">
        <f>+VLOOKUP(AP116,SharePoint!$BA$3:$BY$140,18,FALSE)</f>
        <v>0</v>
      </c>
      <c r="BH116" s="226">
        <f>+VLOOKUP(AP116,SharePoint!$BA$3:$BY$140,19,FALSE)</f>
        <v>58</v>
      </c>
      <c r="BI116" s="226">
        <f>+VLOOKUP(AP116,SharePoint!$BA$3:$BY$140,20,FALSE)</f>
        <v>0</v>
      </c>
      <c r="BJ116" s="226">
        <f>+VLOOKUP(AP116,SharePoint!$BA$3:$BY$140,21,FALSE)</f>
        <v>0</v>
      </c>
      <c r="BK116" s="226">
        <f>+VLOOKUP(AP116,SharePoint!$BA$3:$BY$140,22,FALSE)</f>
        <v>13</v>
      </c>
      <c r="BL116" s="226">
        <f>+VLOOKUP(AP116,SharePoint!$BA$3:$BY$140,23,FALSE)</f>
        <v>0</v>
      </c>
      <c r="BM116" s="226">
        <f>+VLOOKUP(AP116,SharePoint!$BA$3:$BY$140,24,FALSE)</f>
        <v>0</v>
      </c>
      <c r="BN116" s="226">
        <f>+VLOOKUP(AP116,SharePoint!$BA$3:$BY$140,25,FALSE)</f>
        <v>12</v>
      </c>
      <c r="BO116" s="214" t="s">
        <v>873</v>
      </c>
      <c r="BP116" s="214" t="s">
        <v>873</v>
      </c>
      <c r="BQ116" s="215" t="s">
        <v>3084</v>
      </c>
      <c r="BR116" s="214" t="s">
        <v>873</v>
      </c>
      <c r="BS116" s="214" t="s">
        <v>873</v>
      </c>
      <c r="BT116" s="215" t="s">
        <v>2800</v>
      </c>
      <c r="BU116" s="214" t="s">
        <v>873</v>
      </c>
      <c r="BV116" s="214" t="s">
        <v>873</v>
      </c>
      <c r="BW116" s="214" t="s">
        <v>2924</v>
      </c>
      <c r="BX116" s="214" t="s">
        <v>875</v>
      </c>
      <c r="BY116" s="214" t="s">
        <v>875</v>
      </c>
      <c r="BZ116" s="214" t="s">
        <v>3320</v>
      </c>
      <c r="CA116" s="449">
        <v>2</v>
      </c>
      <c r="CB116" s="339" t="s">
        <v>3537</v>
      </c>
      <c r="CC116" s="328">
        <v>51</v>
      </c>
      <c r="CD116" s="328">
        <v>52</v>
      </c>
      <c r="CE116" s="382">
        <f t="shared" si="17"/>
        <v>0.98076923076923073</v>
      </c>
      <c r="CF116" s="396">
        <f>+X116</f>
        <v>52</v>
      </c>
      <c r="CG116" s="327" t="s">
        <v>3511</v>
      </c>
      <c r="CH116" s="327" t="str">
        <f t="shared" si="18"/>
        <v xml:space="preserve">Porcentual </v>
      </c>
      <c r="CI116" s="327"/>
      <c r="CJ116" s="381">
        <v>5</v>
      </c>
      <c r="CK116" s="378" t="str">
        <f t="shared" si="19"/>
        <v xml:space="preserve">Secretaria General </v>
      </c>
      <c r="CL116" s="378" t="str">
        <f t="shared" si="20"/>
        <v>Nivel de madurez de acuerdo con la matriz de cumplimiento del MGDA</v>
      </c>
      <c r="CM116" s="378" t="str">
        <f t="shared" si="21"/>
        <v>Total de los productos cumplidos del MGDA en los dos componentes  / Total productos del MGDA requeridos en los 3 componentes programados</v>
      </c>
      <c r="CN116" s="390">
        <f t="shared" si="22"/>
        <v>51</v>
      </c>
      <c r="CO116" s="390">
        <f t="shared" si="23"/>
        <v>52</v>
      </c>
      <c r="CP116" s="387">
        <f t="shared" si="26"/>
        <v>0.98076923076923073</v>
      </c>
      <c r="CQ116" s="379">
        <f t="shared" si="24"/>
        <v>52</v>
      </c>
      <c r="CR116" s="379" t="str">
        <f t="shared" si="25"/>
        <v>INCUMPLIO</v>
      </c>
      <c r="DB116" s="381"/>
      <c r="DC116" s="381"/>
      <c r="DD116" s="381"/>
      <c r="DE116" s="381"/>
      <c r="DF116" s="381"/>
      <c r="DG116" s="381"/>
    </row>
    <row r="117" spans="1:111" s="83" customFormat="1" ht="127.5" customHeight="1" thickTop="1" thickBot="1">
      <c r="A117" s="83" t="s">
        <v>236</v>
      </c>
      <c r="B117" s="75" t="s">
        <v>151</v>
      </c>
      <c r="C117" s="75" t="s">
        <v>938</v>
      </c>
      <c r="D117" s="75" t="s">
        <v>903</v>
      </c>
      <c r="E117" s="75" t="s">
        <v>858</v>
      </c>
      <c r="F117" s="75" t="s">
        <v>859</v>
      </c>
      <c r="G117" s="75" t="s">
        <v>215</v>
      </c>
      <c r="H117" s="75" t="s">
        <v>860</v>
      </c>
      <c r="I117" s="76" t="s">
        <v>1498</v>
      </c>
      <c r="J117" s="76" t="s">
        <v>1499</v>
      </c>
      <c r="K117" s="76" t="s">
        <v>1500</v>
      </c>
      <c r="L117" s="77" t="s">
        <v>875</v>
      </c>
      <c r="M117" s="77" t="s">
        <v>372</v>
      </c>
      <c r="N117" s="76" t="s">
        <v>236</v>
      </c>
      <c r="O117" s="76" t="s">
        <v>1501</v>
      </c>
      <c r="P117" s="76" t="s">
        <v>1502</v>
      </c>
      <c r="Q117" s="76" t="s">
        <v>1502</v>
      </c>
      <c r="R117" s="77" t="s">
        <v>876</v>
      </c>
      <c r="S117" s="76" t="s">
        <v>1503</v>
      </c>
      <c r="T117" s="76" t="s">
        <v>870</v>
      </c>
      <c r="U117" s="76" t="s">
        <v>157</v>
      </c>
      <c r="V117" s="76" t="s">
        <v>872</v>
      </c>
      <c r="W117" s="76">
        <v>4</v>
      </c>
      <c r="X117" s="299">
        <v>8</v>
      </c>
      <c r="Y117" s="76"/>
      <c r="Z117" s="76"/>
      <c r="AA117" s="76">
        <v>2</v>
      </c>
      <c r="AB117" s="76"/>
      <c r="AC117" s="76"/>
      <c r="AD117" s="76">
        <v>2</v>
      </c>
      <c r="AE117" s="76"/>
      <c r="AF117" s="76"/>
      <c r="AG117" s="76">
        <v>2</v>
      </c>
      <c r="AH117" s="76"/>
      <c r="AI117" s="76"/>
      <c r="AJ117" s="76">
        <v>2</v>
      </c>
      <c r="AK117" s="76" t="s">
        <v>873</v>
      </c>
      <c r="AL117" s="76" t="s">
        <v>873</v>
      </c>
      <c r="AM117" s="76" t="s">
        <v>873</v>
      </c>
      <c r="AN117" s="76" t="s">
        <v>873</v>
      </c>
      <c r="AO117" s="76" t="s">
        <v>1435</v>
      </c>
      <c r="AP117" s="82" t="s">
        <v>236</v>
      </c>
      <c r="AQ117" s="370">
        <f>+VLOOKUP(AP117,SharePoint!$BA$3:$BY$140,2,FALSE)</f>
        <v>0</v>
      </c>
      <c r="AR117" s="370">
        <f>+VLOOKUP(AP117,SharePoint!$BA$3:$BY$140,3,FALSE)</f>
        <v>0</v>
      </c>
      <c r="AS117" s="370">
        <f>+VLOOKUP(AP117,SharePoint!$BA$3:$BY$140,4,FALSE)</f>
        <v>2</v>
      </c>
      <c r="AT117" s="370">
        <f>+VLOOKUP(AP117,SharePoint!$BA$3:$BY$140,5,FALSE)</f>
        <v>0</v>
      </c>
      <c r="AU117" s="370">
        <f>+VLOOKUP(AP117,SharePoint!$BA$3:$BY$140,6,FALSE)</f>
        <v>0</v>
      </c>
      <c r="AV117" s="370">
        <f>+VLOOKUP(AP117,SharePoint!$BA$3:$BY$140,7,FALSE)</f>
        <v>2</v>
      </c>
      <c r="AW117" s="370">
        <f>+VLOOKUP(AP117,SharePoint!$BA$3:$BY$140,8,FALSE)</f>
        <v>0</v>
      </c>
      <c r="AX117" s="370">
        <f>+VLOOKUP(AP117,SharePoint!$BA$3:$BY$140,9,FALSE)</f>
        <v>0</v>
      </c>
      <c r="AY117" s="370">
        <f>+VLOOKUP(AP117,SharePoint!$BA$3:$BY$140,10,FALSE)</f>
        <v>6</v>
      </c>
      <c r="AZ117" s="370">
        <f>+VLOOKUP(AP117,SharePoint!$BA$3:$BY$140,11,FALSE)</f>
        <v>0</v>
      </c>
      <c r="BA117" s="370">
        <f>+VLOOKUP(AP117,SharePoint!$BA$3:$BY$140,12,FALSE)</f>
        <v>0</v>
      </c>
      <c r="BB117" s="370">
        <f>+VLOOKUP(AP117,SharePoint!$BA$3:$BY$140,13,FALSE)</f>
        <v>8</v>
      </c>
      <c r="BC117" s="226">
        <f>+VLOOKUP(AP117,SharePoint!$BA$3:$BY$140,14,FALSE)</f>
        <v>0</v>
      </c>
      <c r="BD117" s="226">
        <f>+VLOOKUP(AP117,SharePoint!$BA$3:$BY$140,15,FALSE)</f>
        <v>0</v>
      </c>
      <c r="BE117" s="226">
        <f>+VLOOKUP(AP117,SharePoint!$BA$3:$BY$140,16,FALSE)</f>
        <v>2</v>
      </c>
      <c r="BF117" s="226">
        <f>+VLOOKUP(AP117,SharePoint!$BA$3:$BY$140,17,FALSE)</f>
        <v>0</v>
      </c>
      <c r="BG117" s="226">
        <f>+VLOOKUP(AP117,SharePoint!$BA$3:$BY$140,18,FALSE)</f>
        <v>0</v>
      </c>
      <c r="BH117" s="226">
        <f>+VLOOKUP(AP117,SharePoint!$BA$3:$BY$140,19,FALSE)</f>
        <v>2</v>
      </c>
      <c r="BI117" s="226">
        <f>+VLOOKUP(AP117,SharePoint!$BA$3:$BY$140,20,FALSE)</f>
        <v>0</v>
      </c>
      <c r="BJ117" s="226">
        <f>+VLOOKUP(AP117,SharePoint!$BA$3:$BY$140,21,FALSE)</f>
        <v>0</v>
      </c>
      <c r="BK117" s="226">
        <f>+VLOOKUP(AP117,SharePoint!$BA$3:$BY$140,22,FALSE)</f>
        <v>6</v>
      </c>
      <c r="BL117" s="226">
        <f>+VLOOKUP(AP117,SharePoint!$BA$3:$BY$140,23,FALSE)</f>
        <v>0</v>
      </c>
      <c r="BM117" s="226">
        <f>+VLOOKUP(AP117,SharePoint!$BA$3:$BY$140,24,FALSE)</f>
        <v>0</v>
      </c>
      <c r="BN117" s="226">
        <f>+VLOOKUP(AP117,SharePoint!$BA$3:$BY$140,25,FALSE)</f>
        <v>8</v>
      </c>
      <c r="BO117" s="214" t="s">
        <v>873</v>
      </c>
      <c r="BP117" s="214" t="s">
        <v>873</v>
      </c>
      <c r="BQ117" s="215" t="s">
        <v>3085</v>
      </c>
      <c r="BR117" s="214" t="s">
        <v>873</v>
      </c>
      <c r="BS117" s="214" t="s">
        <v>873</v>
      </c>
      <c r="BT117" s="215" t="s">
        <v>3086</v>
      </c>
      <c r="BU117" s="214" t="s">
        <v>873</v>
      </c>
      <c r="BV117" s="214" t="s">
        <v>873</v>
      </c>
      <c r="BW117" s="214" t="s">
        <v>3136</v>
      </c>
      <c r="BX117" s="214" t="s">
        <v>875</v>
      </c>
      <c r="BY117" s="214" t="s">
        <v>875</v>
      </c>
      <c r="BZ117" s="214" t="s">
        <v>3553</v>
      </c>
      <c r="CA117" s="449">
        <v>2</v>
      </c>
      <c r="CB117" s="373" t="s">
        <v>3471</v>
      </c>
      <c r="CC117" s="328">
        <v>8</v>
      </c>
      <c r="CD117" s="328">
        <v>8</v>
      </c>
      <c r="CE117" s="343">
        <f t="shared" si="17"/>
        <v>1</v>
      </c>
      <c r="CF117" s="381">
        <f t="shared" si="28"/>
        <v>8</v>
      </c>
      <c r="CG117" s="327" t="s">
        <v>3509</v>
      </c>
      <c r="CH117" s="327" t="str">
        <f t="shared" si="18"/>
        <v>Numérica</v>
      </c>
      <c r="CI117" s="327"/>
      <c r="CJ117" s="381">
        <v>1</v>
      </c>
      <c r="CK117" s="376" t="str">
        <f t="shared" si="19"/>
        <v xml:space="preserve">Secretaria General </v>
      </c>
      <c r="CL117" s="376" t="str">
        <f t="shared" si="20"/>
        <v>Socializaciones o sensibilizaciones  realizadas a los funcionarios o contratistas que tengan bienes asignados de la entidad</v>
      </c>
      <c r="CM117" s="376" t="str">
        <f t="shared" si="21"/>
        <v>Número de socializaciones o sensibilizaciones  realizadas</v>
      </c>
      <c r="CN117" s="389">
        <f t="shared" si="22"/>
        <v>8</v>
      </c>
      <c r="CO117" s="389">
        <f t="shared" si="23"/>
        <v>8</v>
      </c>
      <c r="CP117" s="388">
        <f t="shared" si="26"/>
        <v>1</v>
      </c>
      <c r="CQ117" s="377">
        <f t="shared" si="24"/>
        <v>8</v>
      </c>
      <c r="CR117" s="377" t="str">
        <f t="shared" si="25"/>
        <v>CUMPLIO</v>
      </c>
      <c r="DB117" s="381"/>
      <c r="DC117" s="381"/>
      <c r="DD117" s="381"/>
      <c r="DE117" s="381"/>
      <c r="DF117" s="381"/>
      <c r="DG117" s="381"/>
    </row>
    <row r="118" spans="1:111" s="83" customFormat="1" ht="127.5" customHeight="1" thickTop="1" thickBot="1">
      <c r="A118" s="83" t="s">
        <v>244</v>
      </c>
      <c r="B118" s="75" t="s">
        <v>151</v>
      </c>
      <c r="C118" s="75" t="s">
        <v>938</v>
      </c>
      <c r="D118" s="75" t="s">
        <v>903</v>
      </c>
      <c r="E118" s="75" t="s">
        <v>858</v>
      </c>
      <c r="F118" s="75" t="s">
        <v>859</v>
      </c>
      <c r="G118" s="75" t="s">
        <v>215</v>
      </c>
      <c r="H118" s="75" t="s">
        <v>860</v>
      </c>
      <c r="I118" s="76" t="s">
        <v>1498</v>
      </c>
      <c r="J118" s="76" t="s">
        <v>1499</v>
      </c>
      <c r="K118" s="76" t="s">
        <v>1500</v>
      </c>
      <c r="L118" s="77" t="s">
        <v>875</v>
      </c>
      <c r="M118" s="77" t="s">
        <v>376</v>
      </c>
      <c r="N118" s="76" t="s">
        <v>244</v>
      </c>
      <c r="O118" s="76" t="s">
        <v>377</v>
      </c>
      <c r="P118" s="76" t="s">
        <v>378</v>
      </c>
      <c r="Q118" s="76" t="s">
        <v>1504</v>
      </c>
      <c r="R118" s="76" t="s">
        <v>1505</v>
      </c>
      <c r="S118" s="76" t="s">
        <v>1506</v>
      </c>
      <c r="T118" s="76" t="s">
        <v>892</v>
      </c>
      <c r="U118" s="76" t="s">
        <v>871</v>
      </c>
      <c r="V118" s="76" t="s">
        <v>872</v>
      </c>
      <c r="W118" s="79" t="s">
        <v>1507</v>
      </c>
      <c r="X118" s="300">
        <v>1</v>
      </c>
      <c r="Y118" s="76"/>
      <c r="Z118" s="76"/>
      <c r="AA118" s="79" t="s">
        <v>1508</v>
      </c>
      <c r="AB118" s="76"/>
      <c r="AC118" s="76"/>
      <c r="AD118" s="79" t="s">
        <v>1509</v>
      </c>
      <c r="AE118" s="76"/>
      <c r="AF118" s="76"/>
      <c r="AG118" s="79" t="s">
        <v>1510</v>
      </c>
      <c r="AH118" s="76"/>
      <c r="AI118" s="76"/>
      <c r="AJ118" s="79" t="s">
        <v>1511</v>
      </c>
      <c r="AK118" s="84" t="s">
        <v>1202</v>
      </c>
      <c r="AL118" s="77" t="s">
        <v>1512</v>
      </c>
      <c r="AM118" s="77" t="s">
        <v>1204</v>
      </c>
      <c r="AN118" s="89">
        <v>67977800</v>
      </c>
      <c r="AO118" s="76" t="s">
        <v>1435</v>
      </c>
      <c r="AP118" s="82" t="s">
        <v>244</v>
      </c>
      <c r="AQ118" s="370">
        <f>+VLOOKUP(AP118,SharePoint!$BA$3:$BY$140,2,FALSE)</f>
        <v>0</v>
      </c>
      <c r="AR118" s="370">
        <f>+VLOOKUP(AP118,SharePoint!$BA$3:$BY$140,3,FALSE)</f>
        <v>0</v>
      </c>
      <c r="AS118" s="370">
        <f>+VLOOKUP(AP118,SharePoint!$BA$3:$BY$140,4,FALSE)</f>
        <v>16</v>
      </c>
      <c r="AT118" s="370">
        <f>+VLOOKUP(AP118,SharePoint!$BA$3:$BY$140,5,FALSE)</f>
        <v>0</v>
      </c>
      <c r="AU118" s="370">
        <f>+VLOOKUP(AP118,SharePoint!$BA$3:$BY$140,6,FALSE)</f>
        <v>0</v>
      </c>
      <c r="AV118" s="370">
        <f>+VLOOKUP(AP118,SharePoint!$BA$3:$BY$140,7,FALSE)</f>
        <v>35</v>
      </c>
      <c r="AW118" s="370">
        <f>+VLOOKUP(AP118,SharePoint!$BA$3:$BY$140,8,FALSE)</f>
        <v>0</v>
      </c>
      <c r="AX118" s="370">
        <f>+VLOOKUP(AP118,SharePoint!$BA$3:$BY$140,9,FALSE)</f>
        <v>0</v>
      </c>
      <c r="AY118" s="370">
        <f>+VLOOKUP(AP118,SharePoint!$BA$3:$BY$140,10,FALSE)</f>
        <v>50</v>
      </c>
      <c r="AZ118" s="370">
        <f>+VLOOKUP(AP118,SharePoint!$BA$3:$BY$140,11,FALSE)</f>
        <v>0</v>
      </c>
      <c r="BA118" s="370">
        <f>+VLOOKUP(AP118,SharePoint!$BA$3:$BY$140,12,FALSE)</f>
        <v>0</v>
      </c>
      <c r="BB118" s="370">
        <f>+VLOOKUP(AP118,SharePoint!$BA$3:$BY$140,13,FALSE)</f>
        <v>63</v>
      </c>
      <c r="BC118" s="226">
        <f>+VLOOKUP(AP118,SharePoint!$BA$3:$BY$140,14,FALSE)</f>
        <v>0</v>
      </c>
      <c r="BD118" s="226">
        <f>+VLOOKUP(AP118,SharePoint!$BA$3:$BY$140,15,FALSE)</f>
        <v>0</v>
      </c>
      <c r="BE118" s="226">
        <f>+VLOOKUP(AP118,SharePoint!$BA$3:$BY$140,16,FALSE)</f>
        <v>63</v>
      </c>
      <c r="BF118" s="226">
        <f>+VLOOKUP(AP118,SharePoint!$BA$3:$BY$140,17,FALSE)</f>
        <v>0</v>
      </c>
      <c r="BG118" s="226">
        <f>+VLOOKUP(AP118,SharePoint!$BA$3:$BY$140,18,FALSE)</f>
        <v>0</v>
      </c>
      <c r="BH118" s="226">
        <f>+VLOOKUP(AP118,SharePoint!$BA$3:$BY$140,19,FALSE)</f>
        <v>63</v>
      </c>
      <c r="BI118" s="226">
        <f>+VLOOKUP(AP118,SharePoint!$BA$3:$BY$140,20,FALSE)</f>
        <v>0</v>
      </c>
      <c r="BJ118" s="226">
        <f>+VLOOKUP(AP118,SharePoint!$BA$3:$BY$140,21,FALSE)</f>
        <v>0</v>
      </c>
      <c r="BK118" s="226">
        <f>+VLOOKUP(AP118,SharePoint!$BA$3:$BY$140,22,FALSE)</f>
        <v>63</v>
      </c>
      <c r="BL118" s="226">
        <f>+VLOOKUP(AP118,SharePoint!$BA$3:$BY$140,23,FALSE)</f>
        <v>0</v>
      </c>
      <c r="BM118" s="226">
        <f>+VLOOKUP(AP118,SharePoint!$BA$3:$BY$140,24,FALSE)</f>
        <v>0</v>
      </c>
      <c r="BN118" s="226">
        <f>+VLOOKUP(AP118,SharePoint!$BA$3:$BY$140,25,FALSE)</f>
        <v>63</v>
      </c>
      <c r="BO118" s="214" t="s">
        <v>873</v>
      </c>
      <c r="BP118" s="214" t="s">
        <v>873</v>
      </c>
      <c r="BQ118" s="215" t="s">
        <v>2956</v>
      </c>
      <c r="BR118" s="214" t="s">
        <v>873</v>
      </c>
      <c r="BS118" s="214" t="s">
        <v>873</v>
      </c>
      <c r="BT118" s="215" t="s">
        <v>3087</v>
      </c>
      <c r="BU118" s="214" t="s">
        <v>873</v>
      </c>
      <c r="BV118" s="214" t="s">
        <v>873</v>
      </c>
      <c r="BW118" s="214" t="s">
        <v>3021</v>
      </c>
      <c r="BX118" s="214" t="s">
        <v>875</v>
      </c>
      <c r="BY118" s="214" t="s">
        <v>875</v>
      </c>
      <c r="BZ118" s="214" t="s">
        <v>3552</v>
      </c>
      <c r="CA118" s="449">
        <v>1</v>
      </c>
      <c r="CB118" s="373" t="s">
        <v>3472</v>
      </c>
      <c r="CC118" s="328">
        <v>63</v>
      </c>
      <c r="CD118" s="328">
        <v>63</v>
      </c>
      <c r="CE118" s="382">
        <f t="shared" si="17"/>
        <v>1</v>
      </c>
      <c r="CF118" s="382">
        <f t="shared" si="28"/>
        <v>1</v>
      </c>
      <c r="CG118" s="327" t="s">
        <v>3509</v>
      </c>
      <c r="CH118" s="327" t="str">
        <f t="shared" si="18"/>
        <v xml:space="preserve">Porcentual </v>
      </c>
      <c r="CI118" s="327"/>
      <c r="CJ118" s="381">
        <v>2</v>
      </c>
      <c r="CK118" s="378" t="str">
        <f t="shared" si="19"/>
        <v xml:space="preserve">Secretaria General </v>
      </c>
      <c r="CL118" s="378" t="str">
        <f t="shared" si="20"/>
        <v>Porcentaje acumulado de avance en la ejecución del cronograma del componente del Sistema de Gestión Ambiental-SGA</v>
      </c>
      <c r="CM118" s="378" t="str">
        <f t="shared" si="21"/>
        <v>Número de actividades ejecutadas del cronograma del Sistema de Gestión Ambiental-SGA/Número de actividades programadas del cronograma del Sistema de Gestión Ambiental - SGA</v>
      </c>
      <c r="CN118" s="390">
        <f t="shared" si="22"/>
        <v>63</v>
      </c>
      <c r="CO118" s="390">
        <f t="shared" si="23"/>
        <v>63</v>
      </c>
      <c r="CP118" s="387">
        <f t="shared" si="26"/>
        <v>1</v>
      </c>
      <c r="CQ118" s="379">
        <f t="shared" si="24"/>
        <v>1</v>
      </c>
      <c r="CR118" s="379" t="str">
        <f t="shared" si="25"/>
        <v>CUMPLIO</v>
      </c>
      <c r="DB118" s="381"/>
      <c r="DC118" s="381"/>
      <c r="DD118" s="381"/>
      <c r="DE118" s="381"/>
      <c r="DF118" s="381"/>
      <c r="DG118" s="381"/>
    </row>
    <row r="119" spans="1:111" s="83" customFormat="1" ht="127.5" customHeight="1" thickTop="1" thickBot="1">
      <c r="A119" s="83" t="s">
        <v>1513</v>
      </c>
      <c r="B119" s="75" t="s">
        <v>151</v>
      </c>
      <c r="C119" s="75" t="s">
        <v>938</v>
      </c>
      <c r="D119" s="75" t="s">
        <v>903</v>
      </c>
      <c r="E119" s="75" t="s">
        <v>1321</v>
      </c>
      <c r="F119" s="75" t="s">
        <v>1514</v>
      </c>
      <c r="G119" s="75" t="s">
        <v>215</v>
      </c>
      <c r="H119" s="75" t="s">
        <v>860</v>
      </c>
      <c r="I119" s="76" t="s">
        <v>1498</v>
      </c>
      <c r="J119" s="76" t="s">
        <v>1499</v>
      </c>
      <c r="K119" s="76" t="s">
        <v>1515</v>
      </c>
      <c r="L119" s="77" t="s">
        <v>875</v>
      </c>
      <c r="M119" s="76" t="s">
        <v>1516</v>
      </c>
      <c r="N119" s="76" t="s">
        <v>1513</v>
      </c>
      <c r="O119" s="76" t="s">
        <v>1517</v>
      </c>
      <c r="P119" s="76" t="s">
        <v>1518</v>
      </c>
      <c r="Q119" s="76" t="s">
        <v>1519</v>
      </c>
      <c r="R119" s="76" t="s">
        <v>1520</v>
      </c>
      <c r="S119" s="76" t="s">
        <v>1521</v>
      </c>
      <c r="T119" s="76" t="s">
        <v>884</v>
      </c>
      <c r="U119" s="76" t="s">
        <v>871</v>
      </c>
      <c r="V119" s="76" t="s">
        <v>988</v>
      </c>
      <c r="W119" s="121">
        <v>0</v>
      </c>
      <c r="X119" s="311">
        <v>1</v>
      </c>
      <c r="Y119" s="75"/>
      <c r="Z119" s="75"/>
      <c r="AA119" s="122"/>
      <c r="AB119" s="75"/>
      <c r="AC119" s="75"/>
      <c r="AD119" s="110">
        <v>0.5</v>
      </c>
      <c r="AE119" s="75"/>
      <c r="AF119" s="75"/>
      <c r="AG119" s="75"/>
      <c r="AH119" s="75"/>
      <c r="AI119" s="75"/>
      <c r="AJ119" s="110">
        <v>1</v>
      </c>
      <c r="AK119" s="76" t="s">
        <v>873</v>
      </c>
      <c r="AL119" s="76" t="s">
        <v>873</v>
      </c>
      <c r="AM119" s="76" t="s">
        <v>873</v>
      </c>
      <c r="AN119" s="76" t="s">
        <v>873</v>
      </c>
      <c r="AO119" s="76" t="s">
        <v>1435</v>
      </c>
      <c r="AP119" s="82" t="s">
        <v>1513</v>
      </c>
      <c r="AQ119" s="370">
        <f>+VLOOKUP(AP119,SharePoint!$BA$3:$BY$140,2,FALSE)</f>
        <v>0</v>
      </c>
      <c r="AR119" s="370">
        <f>+VLOOKUP(AP119,SharePoint!$BA$3:$BY$140,3,FALSE)</f>
        <v>0</v>
      </c>
      <c r="AS119" s="370">
        <f>+VLOOKUP(AP119,SharePoint!$BA$3:$BY$140,4,FALSE)</f>
        <v>0</v>
      </c>
      <c r="AT119" s="370">
        <f>+VLOOKUP(AP119,SharePoint!$BA$3:$BY$140,5,FALSE)</f>
        <v>0</v>
      </c>
      <c r="AU119" s="370">
        <f>+VLOOKUP(AP119,SharePoint!$BA$3:$BY$140,6,FALSE)</f>
        <v>0</v>
      </c>
      <c r="AV119" s="370">
        <f>+VLOOKUP(AP119,SharePoint!$BA$3:$BY$140,7,FALSE)</f>
        <v>1</v>
      </c>
      <c r="AW119" s="370">
        <f>+VLOOKUP(AP119,SharePoint!$BA$3:$BY$140,8,FALSE)</f>
        <v>0</v>
      </c>
      <c r="AX119" s="370">
        <f>+VLOOKUP(AP119,SharePoint!$BA$3:$BY$140,9,FALSE)</f>
        <v>0</v>
      </c>
      <c r="AY119" s="370">
        <f>+VLOOKUP(AP119,SharePoint!$BA$3:$BY$140,10,FALSE)</f>
        <v>0</v>
      </c>
      <c r="AZ119" s="370">
        <f>+VLOOKUP(AP119,SharePoint!$BA$3:$BY$140,11,FALSE)</f>
        <v>0</v>
      </c>
      <c r="BA119" s="370">
        <f>+VLOOKUP(AP119,SharePoint!$BA$3:$BY$140,12,FALSE)</f>
        <v>0</v>
      </c>
      <c r="BB119" s="370">
        <f>+VLOOKUP(AP119,SharePoint!$BA$3:$BY$140,13,FALSE)</f>
        <v>1</v>
      </c>
      <c r="BC119" s="226">
        <f>+VLOOKUP(AP119,SharePoint!$BA$3:$BY$140,14,FALSE)</f>
        <v>0</v>
      </c>
      <c r="BD119" s="226">
        <f>+VLOOKUP(AP119,SharePoint!$BA$3:$BY$140,15,FALSE)</f>
        <v>0</v>
      </c>
      <c r="BE119" s="226">
        <f>+VLOOKUP(AP119,SharePoint!$BA$3:$BY$140,16,FALSE)</f>
        <v>0</v>
      </c>
      <c r="BF119" s="226">
        <f>+VLOOKUP(AP119,SharePoint!$BA$3:$BY$140,17,FALSE)</f>
        <v>0</v>
      </c>
      <c r="BG119" s="226">
        <f>+VLOOKUP(AP119,SharePoint!$BA$3:$BY$140,18,FALSE)</f>
        <v>0</v>
      </c>
      <c r="BH119" s="226">
        <f>+VLOOKUP(AP119,SharePoint!$BA$3:$BY$140,19,FALSE)</f>
        <v>1</v>
      </c>
      <c r="BI119" s="226">
        <f>+VLOOKUP(AP119,SharePoint!$BA$3:$BY$140,20,FALSE)</f>
        <v>0</v>
      </c>
      <c r="BJ119" s="226">
        <f>+VLOOKUP(AP119,SharePoint!$BA$3:$BY$140,21,FALSE)</f>
        <v>0</v>
      </c>
      <c r="BK119" s="226">
        <f>+VLOOKUP(AP119,SharePoint!$BA$3:$BY$140,22,FALSE)</f>
        <v>0</v>
      </c>
      <c r="BL119" s="226">
        <f>+VLOOKUP(AP119,SharePoint!$BA$3:$BY$140,23,FALSE)</f>
        <v>0</v>
      </c>
      <c r="BM119" s="226">
        <f>+VLOOKUP(AP119,SharePoint!$BA$3:$BY$140,24,FALSE)</f>
        <v>0</v>
      </c>
      <c r="BN119" s="226">
        <f>+VLOOKUP(AP119,SharePoint!$BA$3:$BY$140,25,FALSE)</f>
        <v>1</v>
      </c>
      <c r="BO119" s="214" t="s">
        <v>873</v>
      </c>
      <c r="BP119" s="214" t="s">
        <v>873</v>
      </c>
      <c r="BQ119" s="214" t="s">
        <v>873</v>
      </c>
      <c r="BR119" s="214" t="s">
        <v>873</v>
      </c>
      <c r="BS119" s="214" t="s">
        <v>873</v>
      </c>
      <c r="BT119" s="214" t="s">
        <v>3088</v>
      </c>
      <c r="BU119" s="214" t="s">
        <v>873</v>
      </c>
      <c r="BV119" s="214" t="s">
        <v>873</v>
      </c>
      <c r="BW119" s="214" t="s">
        <v>873</v>
      </c>
      <c r="BX119" s="214" t="s">
        <v>875</v>
      </c>
      <c r="BY119" s="214" t="s">
        <v>875</v>
      </c>
      <c r="BZ119" s="214" t="s">
        <v>3343</v>
      </c>
      <c r="CA119" s="449">
        <v>1</v>
      </c>
      <c r="CB119" s="373" t="s">
        <v>3490</v>
      </c>
      <c r="CC119" s="359">
        <f t="shared" si="15"/>
        <v>2</v>
      </c>
      <c r="CD119" s="359">
        <f t="shared" si="16"/>
        <v>2</v>
      </c>
      <c r="CE119" s="382">
        <f t="shared" si="17"/>
        <v>1</v>
      </c>
      <c r="CF119" s="382">
        <f t="shared" si="28"/>
        <v>1</v>
      </c>
      <c r="CG119" s="327" t="s">
        <v>3509</v>
      </c>
      <c r="CH119" s="327" t="str">
        <f t="shared" si="18"/>
        <v xml:space="preserve">Porcentual </v>
      </c>
      <c r="CI119" s="327"/>
      <c r="CJ119" s="381">
        <v>3</v>
      </c>
      <c r="CK119" s="376" t="str">
        <f t="shared" si="19"/>
        <v xml:space="preserve">Secretaria General </v>
      </c>
      <c r="CL119" s="376" t="str">
        <f t="shared" si="20"/>
        <v xml:space="preserve">Porcentaje de contratos celebrados a los cuales se les incorporó las prácticas de Abastecimiento Estratégico dirigidas a la promoción de la micro, pequeña y mediana empresa; exceptuando la contratación a través de la Tienda Virtual del Estado Colombiano y la Contratación Directa. </v>
      </c>
      <c r="CM119" s="376" t="str">
        <f t="shared" si="21"/>
        <v>Cantidad de contratos celebrados en donde se incorporó las prácticas de Abastecimiento Estratégico dirigidas a la promoción de la micro, pequeña y mediana empresa / Cantidad de contratos celebrados; exceptuando la contratación a través de la Tienda Virtual del Estado Colombiano y la Contratación Directa, por el 100%</v>
      </c>
      <c r="CN119" s="389">
        <f t="shared" si="22"/>
        <v>2</v>
      </c>
      <c r="CO119" s="389">
        <f t="shared" si="23"/>
        <v>2</v>
      </c>
      <c r="CP119" s="388">
        <f t="shared" si="26"/>
        <v>1</v>
      </c>
      <c r="CQ119" s="377">
        <f t="shared" si="24"/>
        <v>1</v>
      </c>
      <c r="CR119" s="377" t="str">
        <f t="shared" si="25"/>
        <v>CUMPLIO</v>
      </c>
      <c r="DB119" s="381"/>
      <c r="DC119" s="381"/>
      <c r="DD119" s="381"/>
      <c r="DE119" s="381"/>
      <c r="DF119" s="381"/>
      <c r="DG119" s="381"/>
    </row>
    <row r="120" spans="1:111" s="83" customFormat="1" ht="127.5" customHeight="1" thickTop="1" thickBot="1">
      <c r="A120" s="245" t="s">
        <v>1522</v>
      </c>
      <c r="B120" s="75" t="s">
        <v>151</v>
      </c>
      <c r="C120" s="75" t="s">
        <v>938</v>
      </c>
      <c r="D120" s="75" t="s">
        <v>903</v>
      </c>
      <c r="E120" s="75" t="s">
        <v>1321</v>
      </c>
      <c r="F120" s="75" t="s">
        <v>1514</v>
      </c>
      <c r="G120" s="75" t="s">
        <v>215</v>
      </c>
      <c r="H120" s="75" t="s">
        <v>860</v>
      </c>
      <c r="I120" s="76" t="s">
        <v>1498</v>
      </c>
      <c r="J120" s="76" t="s">
        <v>1499</v>
      </c>
      <c r="K120" s="76" t="s">
        <v>1515</v>
      </c>
      <c r="L120" s="77" t="s">
        <v>875</v>
      </c>
      <c r="M120" s="77" t="s">
        <v>1523</v>
      </c>
      <c r="N120" s="76" t="s">
        <v>1522</v>
      </c>
      <c r="O120" s="76" t="s">
        <v>1524</v>
      </c>
      <c r="P120" s="76" t="s">
        <v>1525</v>
      </c>
      <c r="Q120" s="76" t="s">
        <v>1526</v>
      </c>
      <c r="R120" s="76" t="s">
        <v>1527</v>
      </c>
      <c r="S120" s="76" t="s">
        <v>1528</v>
      </c>
      <c r="T120" s="76" t="s">
        <v>892</v>
      </c>
      <c r="U120" s="76" t="s">
        <v>871</v>
      </c>
      <c r="V120" s="76" t="s">
        <v>988</v>
      </c>
      <c r="W120" s="123">
        <v>0</v>
      </c>
      <c r="X120" s="311">
        <v>1</v>
      </c>
      <c r="Y120" s="75"/>
      <c r="Z120" s="75"/>
      <c r="AA120" s="75"/>
      <c r="AB120" s="75"/>
      <c r="AC120" s="75"/>
      <c r="AD120" s="110">
        <v>0.5</v>
      </c>
      <c r="AE120" s="75"/>
      <c r="AF120" s="75"/>
      <c r="AG120" s="75"/>
      <c r="AH120" s="75"/>
      <c r="AI120" s="75"/>
      <c r="AJ120" s="110">
        <v>1</v>
      </c>
      <c r="AK120" s="76" t="s">
        <v>873</v>
      </c>
      <c r="AL120" s="76" t="s">
        <v>873</v>
      </c>
      <c r="AM120" s="76" t="s">
        <v>873</v>
      </c>
      <c r="AN120" s="76" t="s">
        <v>873</v>
      </c>
      <c r="AO120" s="76" t="s">
        <v>1435</v>
      </c>
      <c r="AP120" s="82" t="s">
        <v>1522</v>
      </c>
      <c r="AQ120" s="370">
        <f>+VLOOKUP(AP120,SharePoint!$BA$3:$BY$140,2,FALSE)</f>
        <v>0</v>
      </c>
      <c r="AR120" s="370">
        <f>+VLOOKUP(AP120,SharePoint!$BA$3:$BY$140,3,FALSE)</f>
        <v>0</v>
      </c>
      <c r="AS120" s="370">
        <f>+VLOOKUP(AP120,SharePoint!$BA$3:$BY$140,4,FALSE)</f>
        <v>0</v>
      </c>
      <c r="AT120" s="370">
        <f>+VLOOKUP(AP120,SharePoint!$BA$3:$BY$140,5,FALSE)</f>
        <v>0</v>
      </c>
      <c r="AU120" s="370">
        <f>+VLOOKUP(AP120,SharePoint!$BA$3:$BY$140,6,FALSE)</f>
        <v>0</v>
      </c>
      <c r="AV120" s="370">
        <f>+VLOOKUP(AP120,SharePoint!$BA$3:$BY$140,7,FALSE)</f>
        <v>1</v>
      </c>
      <c r="AW120" s="370">
        <f>+VLOOKUP(AP120,SharePoint!$BA$3:$BY$140,8,FALSE)</f>
        <v>0</v>
      </c>
      <c r="AX120" s="370">
        <f>+VLOOKUP(AP120,SharePoint!$BA$3:$BY$140,9,FALSE)</f>
        <v>0</v>
      </c>
      <c r="AY120" s="370">
        <f>+VLOOKUP(AP120,SharePoint!$BA$3:$BY$140,10,FALSE)</f>
        <v>0</v>
      </c>
      <c r="AZ120" s="370">
        <f>+VLOOKUP(AP120,SharePoint!$BA$3:$BY$140,11,FALSE)</f>
        <v>0</v>
      </c>
      <c r="BA120" s="370">
        <f>+VLOOKUP(AP120,SharePoint!$BA$3:$BY$140,12,FALSE)</f>
        <v>0</v>
      </c>
      <c r="BB120" s="370">
        <f>+VLOOKUP(AP120,SharePoint!$BA$3:$BY$140,13,FALSE)</f>
        <v>1</v>
      </c>
      <c r="BC120" s="226">
        <f>+VLOOKUP(AP120,SharePoint!$BA$3:$BY$140,14,FALSE)</f>
        <v>0</v>
      </c>
      <c r="BD120" s="226">
        <f>+VLOOKUP(AP120,SharePoint!$BA$3:$BY$140,15,FALSE)</f>
        <v>0</v>
      </c>
      <c r="BE120" s="226">
        <f>+VLOOKUP(AP120,SharePoint!$BA$3:$BY$140,16,FALSE)</f>
        <v>0</v>
      </c>
      <c r="BF120" s="226">
        <f>+VLOOKUP(AP120,SharePoint!$BA$3:$BY$140,17,FALSE)</f>
        <v>0</v>
      </c>
      <c r="BG120" s="226">
        <f>+VLOOKUP(AP120,SharePoint!$BA$3:$BY$140,18,FALSE)</f>
        <v>0</v>
      </c>
      <c r="BH120" s="226">
        <f>+VLOOKUP(AP120,SharePoint!$BA$3:$BY$140,19,FALSE)</f>
        <v>1</v>
      </c>
      <c r="BI120" s="226">
        <f>+VLOOKUP(AP120,SharePoint!$BA$3:$BY$140,20,FALSE)</f>
        <v>0</v>
      </c>
      <c r="BJ120" s="226">
        <f>+VLOOKUP(AP120,SharePoint!$BA$3:$BY$140,21,FALSE)</f>
        <v>0</v>
      </c>
      <c r="BK120" s="226">
        <f>+VLOOKUP(AP120,SharePoint!$BA$3:$BY$140,22,FALSE)</f>
        <v>0</v>
      </c>
      <c r="BL120" s="226">
        <f>+VLOOKUP(AP120,SharePoint!$BA$3:$BY$140,23,FALSE)</f>
        <v>0</v>
      </c>
      <c r="BM120" s="226">
        <f>+VLOOKUP(AP120,SharePoint!$BA$3:$BY$140,24,FALSE)</f>
        <v>0</v>
      </c>
      <c r="BN120" s="226">
        <f>+VLOOKUP(AP120,SharePoint!$BA$3:$BY$140,25,FALSE)</f>
        <v>1</v>
      </c>
      <c r="BO120" s="214" t="s">
        <v>873</v>
      </c>
      <c r="BP120" s="214" t="s">
        <v>873</v>
      </c>
      <c r="BQ120" s="214" t="s">
        <v>873</v>
      </c>
      <c r="BR120" s="214" t="s">
        <v>873</v>
      </c>
      <c r="BS120" s="214" t="s">
        <v>873</v>
      </c>
      <c r="BT120" s="214" t="s">
        <v>3089</v>
      </c>
      <c r="BU120" s="214" t="s">
        <v>873</v>
      </c>
      <c r="BV120" s="214" t="s">
        <v>873</v>
      </c>
      <c r="BW120" s="214" t="s">
        <v>873</v>
      </c>
      <c r="BX120" s="214" t="s">
        <v>875</v>
      </c>
      <c r="BY120" s="214" t="s">
        <v>875</v>
      </c>
      <c r="BZ120" s="214" t="s">
        <v>3344</v>
      </c>
      <c r="CA120" s="449">
        <v>1</v>
      </c>
      <c r="CB120" s="373" t="s">
        <v>3491</v>
      </c>
      <c r="CC120" s="359">
        <f t="shared" si="15"/>
        <v>2</v>
      </c>
      <c r="CD120" s="359">
        <f t="shared" si="16"/>
        <v>2</v>
      </c>
      <c r="CE120" s="382">
        <f t="shared" si="17"/>
        <v>1</v>
      </c>
      <c r="CF120" s="382">
        <f t="shared" si="28"/>
        <v>1</v>
      </c>
      <c r="CG120" s="327" t="s">
        <v>3509</v>
      </c>
      <c r="CH120" s="327" t="str">
        <f t="shared" si="18"/>
        <v xml:space="preserve">Porcentual </v>
      </c>
      <c r="CI120" s="327"/>
      <c r="CJ120" s="381">
        <v>4</v>
      </c>
      <c r="CK120" s="378" t="str">
        <f t="shared" si="19"/>
        <v xml:space="preserve">Secretaria General </v>
      </c>
      <c r="CL120" s="378" t="str">
        <f t="shared" si="20"/>
        <v>Porcentaje de procesos tramitados a través modalidad de instrumentos de compra por catálogo derivados de la celebración de acuerdos marco de precios.</v>
      </c>
      <c r="CM120" s="378" t="str">
        <f t="shared" si="21"/>
        <v>Cantidad de órdenes de compra celebradas / cantidad de solicitudes de cotización publicadas a través de la Tienda Virtual del Estado Colombiano, por el 100%</v>
      </c>
      <c r="CN120" s="390">
        <f t="shared" si="22"/>
        <v>2</v>
      </c>
      <c r="CO120" s="390">
        <f t="shared" si="23"/>
        <v>2</v>
      </c>
      <c r="CP120" s="387">
        <f t="shared" si="26"/>
        <v>1</v>
      </c>
      <c r="CQ120" s="379">
        <f t="shared" si="24"/>
        <v>1</v>
      </c>
      <c r="CR120" s="379" t="str">
        <f t="shared" si="25"/>
        <v>CUMPLIO</v>
      </c>
      <c r="DB120" s="381"/>
      <c r="DC120" s="381"/>
      <c r="DD120" s="381"/>
      <c r="DE120" s="381"/>
      <c r="DF120" s="381"/>
      <c r="DG120" s="381"/>
    </row>
    <row r="121" spans="1:111" s="83" customFormat="1" ht="127.5" customHeight="1" thickTop="1" thickBot="1">
      <c r="A121" s="246" t="s">
        <v>251</v>
      </c>
      <c r="B121" s="75" t="s">
        <v>151</v>
      </c>
      <c r="C121" s="75" t="s">
        <v>938</v>
      </c>
      <c r="D121" s="75" t="s">
        <v>903</v>
      </c>
      <c r="E121" s="75" t="s">
        <v>1321</v>
      </c>
      <c r="F121" s="75" t="s">
        <v>1514</v>
      </c>
      <c r="G121" s="75" t="s">
        <v>215</v>
      </c>
      <c r="H121" s="75" t="s">
        <v>860</v>
      </c>
      <c r="I121" s="76" t="s">
        <v>1498</v>
      </c>
      <c r="J121" s="76" t="s">
        <v>1499</v>
      </c>
      <c r="K121" s="76" t="s">
        <v>1515</v>
      </c>
      <c r="L121" s="77" t="s">
        <v>875</v>
      </c>
      <c r="M121" s="77" t="s">
        <v>472</v>
      </c>
      <c r="N121" s="76" t="s">
        <v>251</v>
      </c>
      <c r="O121" s="428" t="s">
        <v>473</v>
      </c>
      <c r="P121" s="76" t="s">
        <v>474</v>
      </c>
      <c r="Q121" s="76" t="s">
        <v>474</v>
      </c>
      <c r="R121" s="77" t="s">
        <v>876</v>
      </c>
      <c r="S121" s="76" t="s">
        <v>1529</v>
      </c>
      <c r="T121" s="76" t="s">
        <v>870</v>
      </c>
      <c r="U121" s="76" t="s">
        <v>157</v>
      </c>
      <c r="V121" s="76" t="s">
        <v>872</v>
      </c>
      <c r="W121" s="124">
        <v>0.9</v>
      </c>
      <c r="X121" s="315">
        <v>12</v>
      </c>
      <c r="Y121" s="84"/>
      <c r="Z121" s="84"/>
      <c r="AA121" s="84">
        <v>3</v>
      </c>
      <c r="AB121" s="84"/>
      <c r="AC121" s="84"/>
      <c r="AD121" s="84">
        <v>3</v>
      </c>
      <c r="AE121" s="84"/>
      <c r="AF121" s="84"/>
      <c r="AG121" s="84">
        <v>3</v>
      </c>
      <c r="AH121" s="84"/>
      <c r="AI121" s="84"/>
      <c r="AJ121" s="84">
        <v>3</v>
      </c>
      <c r="AK121" s="76" t="s">
        <v>873</v>
      </c>
      <c r="AL121" s="76" t="s">
        <v>873</v>
      </c>
      <c r="AM121" s="76" t="s">
        <v>873</v>
      </c>
      <c r="AN121" s="76" t="s">
        <v>873</v>
      </c>
      <c r="AO121" s="76" t="s">
        <v>1435</v>
      </c>
      <c r="AP121" s="82" t="s">
        <v>251</v>
      </c>
      <c r="AQ121" s="370">
        <f>+VLOOKUP(AP121,SharePoint!$BA$3:$BY$140,2,FALSE)</f>
        <v>0</v>
      </c>
      <c r="AR121" s="370">
        <f>+VLOOKUP(AP121,SharePoint!$BA$3:$BY$140,3,FALSE)</f>
        <v>0</v>
      </c>
      <c r="AS121" s="370">
        <f>+VLOOKUP(AP121,SharePoint!$BA$3:$BY$140,4,FALSE)</f>
        <v>3</v>
      </c>
      <c r="AT121" s="370">
        <f>+VLOOKUP(AP121,SharePoint!$BA$3:$BY$140,5,FALSE)</f>
        <v>0</v>
      </c>
      <c r="AU121" s="370">
        <f>+VLOOKUP(AP121,SharePoint!$BA$3:$BY$140,6,FALSE)</f>
        <v>0</v>
      </c>
      <c r="AV121" s="370">
        <f>+VLOOKUP(AP121,SharePoint!$BA$3:$BY$140,7,FALSE)</f>
        <v>3</v>
      </c>
      <c r="AW121" s="370">
        <f>+VLOOKUP(AP121,SharePoint!$BA$3:$BY$140,8,FALSE)</f>
        <v>0</v>
      </c>
      <c r="AX121" s="370">
        <f>+VLOOKUP(AP121,SharePoint!$BA$3:$BY$140,9,FALSE)</f>
        <v>0</v>
      </c>
      <c r="AY121" s="370">
        <f>+VLOOKUP(AP121,SharePoint!$BA$3:$BY$140,10,FALSE)</f>
        <v>3</v>
      </c>
      <c r="AZ121" s="370">
        <f>+VLOOKUP(AP121,SharePoint!$BA$3:$BY$140,11,FALSE)</f>
        <v>0</v>
      </c>
      <c r="BA121" s="370">
        <f>+VLOOKUP(AP121,SharePoint!$BA$3:$BY$140,12,FALSE)</f>
        <v>0</v>
      </c>
      <c r="BB121" s="370">
        <f>+VLOOKUP(AP121,SharePoint!$BA$3:$BY$140,13,FALSE)</f>
        <v>3</v>
      </c>
      <c r="BC121" s="226">
        <f>+VLOOKUP(AP121,SharePoint!$BA$3:$BY$140,14,FALSE)</f>
        <v>0</v>
      </c>
      <c r="BD121" s="226">
        <f>+VLOOKUP(AP121,SharePoint!$BA$3:$BY$140,15,FALSE)</f>
        <v>0</v>
      </c>
      <c r="BE121" s="226">
        <f>+VLOOKUP(AP121,SharePoint!$BA$3:$BY$140,16,FALSE)</f>
        <v>3</v>
      </c>
      <c r="BF121" s="226">
        <f>+VLOOKUP(AP121,SharePoint!$BA$3:$BY$140,17,FALSE)</f>
        <v>0</v>
      </c>
      <c r="BG121" s="226">
        <f>+VLOOKUP(AP121,SharePoint!$BA$3:$BY$140,18,FALSE)</f>
        <v>0</v>
      </c>
      <c r="BH121" s="226">
        <f>+VLOOKUP(AP121,SharePoint!$BA$3:$BY$140,19,FALSE)</f>
        <v>3</v>
      </c>
      <c r="BI121" s="226">
        <f>+VLOOKUP(AP121,SharePoint!$BA$3:$BY$140,20,FALSE)</f>
        <v>0</v>
      </c>
      <c r="BJ121" s="226">
        <f>+VLOOKUP(AP121,SharePoint!$BA$3:$BY$140,21,FALSE)</f>
        <v>0</v>
      </c>
      <c r="BK121" s="226">
        <f>+VLOOKUP(AP121,SharePoint!$BA$3:$BY$140,22,FALSE)</f>
        <v>3</v>
      </c>
      <c r="BL121" s="226">
        <f>+VLOOKUP(AP121,SharePoint!$BA$3:$BY$140,23,FALSE)</f>
        <v>0</v>
      </c>
      <c r="BM121" s="226">
        <f>+VLOOKUP(AP121,SharePoint!$BA$3:$BY$140,24,FALSE)</f>
        <v>0</v>
      </c>
      <c r="BN121" s="226">
        <f>+VLOOKUP(AP121,SharePoint!$BA$3:$BY$140,25,FALSE)</f>
        <v>3</v>
      </c>
      <c r="BO121" s="214" t="s">
        <v>873</v>
      </c>
      <c r="BP121" s="214" t="s">
        <v>873</v>
      </c>
      <c r="BQ121" s="215" t="s">
        <v>3090</v>
      </c>
      <c r="BR121" s="214" t="s">
        <v>873</v>
      </c>
      <c r="BS121" s="214" t="s">
        <v>873</v>
      </c>
      <c r="BT121" s="214" t="s">
        <v>2822</v>
      </c>
      <c r="BU121" s="214" t="s">
        <v>873</v>
      </c>
      <c r="BV121" s="214" t="s">
        <v>873</v>
      </c>
      <c r="BW121" s="214" t="s">
        <v>2917</v>
      </c>
      <c r="BX121" s="214" t="s">
        <v>875</v>
      </c>
      <c r="BY121" s="214" t="s">
        <v>875</v>
      </c>
      <c r="BZ121" s="214" t="s">
        <v>3309</v>
      </c>
      <c r="CA121" s="449">
        <v>2</v>
      </c>
      <c r="CB121" s="373" t="s">
        <v>3473</v>
      </c>
      <c r="CC121" s="359">
        <f t="shared" si="15"/>
        <v>12</v>
      </c>
      <c r="CD121" s="359">
        <f t="shared" si="16"/>
        <v>12</v>
      </c>
      <c r="CE121" s="343">
        <f t="shared" si="17"/>
        <v>1</v>
      </c>
      <c r="CF121" s="381">
        <f t="shared" si="28"/>
        <v>12</v>
      </c>
      <c r="CG121" s="327" t="s">
        <v>3509</v>
      </c>
      <c r="CH121" s="327" t="str">
        <f t="shared" si="18"/>
        <v>Numérica</v>
      </c>
      <c r="CI121" s="327"/>
      <c r="CJ121" s="381">
        <v>5</v>
      </c>
      <c r="CK121" s="376" t="str">
        <f t="shared" si="19"/>
        <v xml:space="preserve">Secretaria General </v>
      </c>
      <c r="CL121" s="376" t="str">
        <f t="shared" si="20"/>
        <v>Seguimientos al Plan Anual de Adquisiciones</v>
      </c>
      <c r="CM121" s="376" t="str">
        <f t="shared" si="21"/>
        <v>Número de seguimientos programados en el Plan Anual de Adquisiciones</v>
      </c>
      <c r="CN121" s="389">
        <f t="shared" si="22"/>
        <v>12</v>
      </c>
      <c r="CO121" s="389">
        <f t="shared" si="23"/>
        <v>12</v>
      </c>
      <c r="CP121" s="388">
        <f t="shared" si="26"/>
        <v>1</v>
      </c>
      <c r="CQ121" s="377">
        <f t="shared" si="24"/>
        <v>12</v>
      </c>
      <c r="CR121" s="377" t="str">
        <f t="shared" si="25"/>
        <v>CUMPLIO</v>
      </c>
      <c r="DB121" s="381"/>
      <c r="DC121" s="381"/>
      <c r="DD121" s="381"/>
      <c r="DE121" s="381"/>
      <c r="DF121" s="381"/>
      <c r="DG121" s="381"/>
    </row>
    <row r="122" spans="1:111" s="83" customFormat="1" ht="127.5" customHeight="1" thickTop="1" thickBot="1">
      <c r="A122" s="83" t="s">
        <v>1530</v>
      </c>
      <c r="B122" s="75" t="s">
        <v>151</v>
      </c>
      <c r="C122" s="75" t="s">
        <v>938</v>
      </c>
      <c r="D122" s="75" t="s">
        <v>903</v>
      </c>
      <c r="E122" s="75" t="s">
        <v>1321</v>
      </c>
      <c r="F122" s="75" t="s">
        <v>1514</v>
      </c>
      <c r="G122" s="75" t="s">
        <v>215</v>
      </c>
      <c r="H122" s="75" t="s">
        <v>860</v>
      </c>
      <c r="I122" s="76" t="s">
        <v>1498</v>
      </c>
      <c r="J122" s="76" t="s">
        <v>1499</v>
      </c>
      <c r="K122" s="76" t="s">
        <v>1515</v>
      </c>
      <c r="L122" s="77" t="s">
        <v>875</v>
      </c>
      <c r="M122" s="76" t="s">
        <v>1531</v>
      </c>
      <c r="N122" s="76" t="s">
        <v>1530</v>
      </c>
      <c r="O122" s="76" t="s">
        <v>1532</v>
      </c>
      <c r="P122" s="76" t="s">
        <v>1533</v>
      </c>
      <c r="Q122" s="76" t="s">
        <v>1534</v>
      </c>
      <c r="R122" s="76" t="s">
        <v>1535</v>
      </c>
      <c r="S122" s="76" t="s">
        <v>1536</v>
      </c>
      <c r="T122" s="76" t="s">
        <v>892</v>
      </c>
      <c r="U122" s="76" t="s">
        <v>871</v>
      </c>
      <c r="V122" s="76" t="s">
        <v>988</v>
      </c>
      <c r="W122" s="124">
        <v>0</v>
      </c>
      <c r="X122" s="316">
        <v>1</v>
      </c>
      <c r="Y122" s="84"/>
      <c r="Z122" s="84"/>
      <c r="AA122" s="84"/>
      <c r="AB122" s="84"/>
      <c r="AC122" s="84"/>
      <c r="AD122" s="124">
        <v>0.5</v>
      </c>
      <c r="AE122" s="84"/>
      <c r="AF122" s="84"/>
      <c r="AG122" s="84"/>
      <c r="AH122" s="84"/>
      <c r="AI122" s="124"/>
      <c r="AJ122" s="124">
        <v>0.5</v>
      </c>
      <c r="AK122" s="76" t="s">
        <v>873</v>
      </c>
      <c r="AL122" s="76" t="s">
        <v>873</v>
      </c>
      <c r="AM122" s="76" t="s">
        <v>873</v>
      </c>
      <c r="AN122" s="76" t="s">
        <v>873</v>
      </c>
      <c r="AO122" s="76" t="s">
        <v>1435</v>
      </c>
      <c r="AP122" s="82" t="s">
        <v>1530</v>
      </c>
      <c r="AQ122" s="370">
        <f>+VLOOKUP(AP122,SharePoint!$BA$3:$BY$140,2,FALSE)</f>
        <v>0</v>
      </c>
      <c r="AR122" s="370">
        <f>+VLOOKUP(AP122,SharePoint!$BA$3:$BY$140,3,FALSE)</f>
        <v>0</v>
      </c>
      <c r="AS122" s="370">
        <f>+VLOOKUP(AP122,SharePoint!$BA$3:$BY$140,4,FALSE)</f>
        <v>0</v>
      </c>
      <c r="AT122" s="370">
        <f>+VLOOKUP(AP122,SharePoint!$BA$3:$BY$140,5,FALSE)</f>
        <v>0</v>
      </c>
      <c r="AU122" s="370">
        <f>+VLOOKUP(AP122,SharePoint!$BA$3:$BY$140,6,FALSE)</f>
        <v>0</v>
      </c>
      <c r="AV122" s="370">
        <f>+VLOOKUP(AP122,SharePoint!$BA$3:$BY$140,7,FALSE)</f>
        <v>1</v>
      </c>
      <c r="AW122" s="370">
        <f>+VLOOKUP(AP122,SharePoint!$BA$3:$BY$140,8,FALSE)</f>
        <v>0</v>
      </c>
      <c r="AX122" s="370">
        <f>+VLOOKUP(AP122,SharePoint!$BA$3:$BY$140,9,FALSE)</f>
        <v>0</v>
      </c>
      <c r="AY122" s="370">
        <f>+VLOOKUP(AP122,SharePoint!$BA$3:$BY$140,10,FALSE)</f>
        <v>0</v>
      </c>
      <c r="AZ122" s="370">
        <f>+VLOOKUP(AP122,SharePoint!$BA$3:$BY$140,11,FALSE)</f>
        <v>0</v>
      </c>
      <c r="BA122" s="370">
        <f>+VLOOKUP(AP122,SharePoint!$BA$3:$BY$140,12,FALSE)</f>
        <v>0</v>
      </c>
      <c r="BB122" s="370">
        <f>+VLOOKUP(AP122,SharePoint!$BA$3:$BY$140,13,FALSE)</f>
        <v>1</v>
      </c>
      <c r="BC122" s="226">
        <f>+VLOOKUP(AP122,SharePoint!$BA$3:$BY$140,14,FALSE)</f>
        <v>0</v>
      </c>
      <c r="BD122" s="226">
        <f>+VLOOKUP(AP122,SharePoint!$BA$3:$BY$140,15,FALSE)</f>
        <v>0</v>
      </c>
      <c r="BE122" s="226">
        <f>+VLOOKUP(AP122,SharePoint!$BA$3:$BY$140,16,FALSE)</f>
        <v>0</v>
      </c>
      <c r="BF122" s="226">
        <f>+VLOOKUP(AP122,SharePoint!$BA$3:$BY$140,17,FALSE)</f>
        <v>0</v>
      </c>
      <c r="BG122" s="226">
        <f>+VLOOKUP(AP122,SharePoint!$BA$3:$BY$140,18,FALSE)</f>
        <v>0</v>
      </c>
      <c r="BH122" s="226">
        <f>+VLOOKUP(AP122,SharePoint!$BA$3:$BY$140,19,FALSE)</f>
        <v>1</v>
      </c>
      <c r="BI122" s="226">
        <f>+VLOOKUP(AP122,SharePoint!$BA$3:$BY$140,20,FALSE)</f>
        <v>0</v>
      </c>
      <c r="BJ122" s="226">
        <f>+VLOOKUP(AP122,SharePoint!$BA$3:$BY$140,21,FALSE)</f>
        <v>0</v>
      </c>
      <c r="BK122" s="226">
        <f>+VLOOKUP(AP122,SharePoint!$BA$3:$BY$140,22,FALSE)</f>
        <v>0</v>
      </c>
      <c r="BL122" s="226">
        <f>+VLOOKUP(AP122,SharePoint!$BA$3:$BY$140,23,FALSE)</f>
        <v>0</v>
      </c>
      <c r="BM122" s="226">
        <f>+VLOOKUP(AP122,SharePoint!$BA$3:$BY$140,24,FALSE)</f>
        <v>0</v>
      </c>
      <c r="BN122" s="226">
        <f>+VLOOKUP(AP122,SharePoint!$BA$3:$BY$140,25,FALSE)</f>
        <v>1</v>
      </c>
      <c r="BO122" s="214" t="s">
        <v>873</v>
      </c>
      <c r="BP122" s="214" t="s">
        <v>873</v>
      </c>
      <c r="BQ122" s="214" t="s">
        <v>873</v>
      </c>
      <c r="BR122" s="214" t="s">
        <v>873</v>
      </c>
      <c r="BS122" s="214" t="s">
        <v>873</v>
      </c>
      <c r="BT122" s="214" t="s">
        <v>3091</v>
      </c>
      <c r="BU122" s="214" t="s">
        <v>873</v>
      </c>
      <c r="BV122" s="214" t="s">
        <v>873</v>
      </c>
      <c r="BW122" s="214" t="s">
        <v>873</v>
      </c>
      <c r="BX122" s="214" t="s">
        <v>875</v>
      </c>
      <c r="BY122" s="214" t="s">
        <v>875</v>
      </c>
      <c r="BZ122" s="214" t="s">
        <v>3310</v>
      </c>
      <c r="CA122" s="449">
        <v>2</v>
      </c>
      <c r="CB122" s="373" t="s">
        <v>3492</v>
      </c>
      <c r="CC122" s="359">
        <f t="shared" si="15"/>
        <v>2</v>
      </c>
      <c r="CD122" s="359">
        <f t="shared" si="16"/>
        <v>2</v>
      </c>
      <c r="CE122" s="382">
        <f t="shared" si="17"/>
        <v>1</v>
      </c>
      <c r="CF122" s="382">
        <f t="shared" si="28"/>
        <v>1</v>
      </c>
      <c r="CG122" s="327" t="s">
        <v>3509</v>
      </c>
      <c r="CH122" s="327" t="str">
        <f t="shared" si="18"/>
        <v xml:space="preserve">Porcentual </v>
      </c>
      <c r="CI122" s="327"/>
      <c r="CJ122" s="381">
        <v>1</v>
      </c>
      <c r="CK122" s="378" t="str">
        <f t="shared" si="19"/>
        <v xml:space="preserve">Secretaria General </v>
      </c>
      <c r="CL122" s="378" t="str">
        <f t="shared" si="20"/>
        <v>Porcentaje de estudios previos  a los cuales se les incorporó prácticas de Análisis de Datos.</v>
      </c>
      <c r="CM122" s="378" t="str">
        <f t="shared" si="21"/>
        <v>Cantidad de contratos celebrados con estudios previos en donde se incorporaron las prácticas de Análisis de datos / Cantidad de contratos celebrados por el 100%</v>
      </c>
      <c r="CN122" s="390">
        <f t="shared" si="22"/>
        <v>2</v>
      </c>
      <c r="CO122" s="390">
        <f t="shared" si="23"/>
        <v>2</v>
      </c>
      <c r="CP122" s="387">
        <f t="shared" si="26"/>
        <v>1</v>
      </c>
      <c r="CQ122" s="379">
        <f t="shared" si="24"/>
        <v>1</v>
      </c>
      <c r="CR122" s="379" t="str">
        <f t="shared" si="25"/>
        <v>CUMPLIO</v>
      </c>
      <c r="DB122" s="381"/>
      <c r="DC122" s="381"/>
      <c r="DD122" s="381"/>
      <c r="DE122" s="381"/>
      <c r="DF122" s="381"/>
      <c r="DG122" s="381"/>
    </row>
    <row r="123" spans="1:111" s="83" customFormat="1" ht="127.5" customHeight="1" thickTop="1" thickBot="1">
      <c r="A123" s="83" t="s">
        <v>398</v>
      </c>
      <c r="B123" s="75" t="s">
        <v>151</v>
      </c>
      <c r="C123" s="75" t="s">
        <v>938</v>
      </c>
      <c r="D123" s="75" t="s">
        <v>903</v>
      </c>
      <c r="E123" s="75" t="s">
        <v>858</v>
      </c>
      <c r="F123" s="75" t="s">
        <v>1485</v>
      </c>
      <c r="G123" s="75" t="s">
        <v>215</v>
      </c>
      <c r="H123" s="75" t="s">
        <v>860</v>
      </c>
      <c r="I123" s="76" t="s">
        <v>1234</v>
      </c>
      <c r="J123" s="76" t="s">
        <v>1235</v>
      </c>
      <c r="K123" s="76" t="s">
        <v>1515</v>
      </c>
      <c r="L123" s="77" t="s">
        <v>1487</v>
      </c>
      <c r="M123" s="76" t="s">
        <v>1537</v>
      </c>
      <c r="N123" s="76" t="s">
        <v>398</v>
      </c>
      <c r="O123" s="76" t="s">
        <v>400</v>
      </c>
      <c r="P123" s="76" t="s">
        <v>401</v>
      </c>
      <c r="Q123" s="76" t="s">
        <v>1538</v>
      </c>
      <c r="R123" s="76" t="s">
        <v>1539</v>
      </c>
      <c r="S123" s="76" t="s">
        <v>1540</v>
      </c>
      <c r="T123" s="76" t="s">
        <v>892</v>
      </c>
      <c r="U123" s="76" t="s">
        <v>871</v>
      </c>
      <c r="V123" s="76" t="s">
        <v>872</v>
      </c>
      <c r="W123" s="110">
        <v>0.98</v>
      </c>
      <c r="X123" s="311">
        <v>0.98</v>
      </c>
      <c r="Y123" s="75"/>
      <c r="Z123" s="75"/>
      <c r="AA123" s="110">
        <v>0.98</v>
      </c>
      <c r="AB123" s="110"/>
      <c r="AC123" s="75"/>
      <c r="AD123" s="110">
        <v>0.98</v>
      </c>
      <c r="AE123" s="75"/>
      <c r="AF123" s="110"/>
      <c r="AG123" s="110">
        <v>0.98</v>
      </c>
      <c r="AH123" s="75"/>
      <c r="AI123" s="75"/>
      <c r="AJ123" s="110">
        <v>0.98</v>
      </c>
      <c r="AK123" s="76" t="s">
        <v>873</v>
      </c>
      <c r="AL123" s="76" t="s">
        <v>873</v>
      </c>
      <c r="AM123" s="76" t="s">
        <v>873</v>
      </c>
      <c r="AN123" s="76" t="s">
        <v>873</v>
      </c>
      <c r="AO123" s="76" t="s">
        <v>1435</v>
      </c>
      <c r="AP123" s="82" t="s">
        <v>398</v>
      </c>
      <c r="AQ123" s="370">
        <f>+VLOOKUP(AP123,SharePoint!$BA$3:$BY$140,2,FALSE)</f>
        <v>0</v>
      </c>
      <c r="AR123" s="370">
        <f>+VLOOKUP(AP123,SharePoint!$BA$3:$BY$140,3,FALSE)</f>
        <v>0</v>
      </c>
      <c r="AS123" s="370">
        <f>+VLOOKUP(AP123,SharePoint!$BA$3:$BY$140,4,FALSE)</f>
        <v>148567</v>
      </c>
      <c r="AT123" s="370">
        <f>+VLOOKUP(AP123,SharePoint!$BA$3:$BY$140,5,FALSE)</f>
        <v>0</v>
      </c>
      <c r="AU123" s="370">
        <f>+VLOOKUP(AP123,SharePoint!$BA$3:$BY$140,6,FALSE)</f>
        <v>0</v>
      </c>
      <c r="AV123" s="370">
        <f>+VLOOKUP(AP123,SharePoint!$BA$3:$BY$140,7,FALSE)</f>
        <v>139528</v>
      </c>
      <c r="AW123" s="370">
        <f>+VLOOKUP(AP123,SharePoint!$BA$3:$BY$140,8,FALSE)</f>
        <v>0</v>
      </c>
      <c r="AX123" s="370">
        <f>+VLOOKUP(AP123,SharePoint!$BA$3:$BY$140,9,FALSE)</f>
        <v>0</v>
      </c>
      <c r="AY123" s="370">
        <f>+VLOOKUP(AP123,SharePoint!$BA$3:$BY$140,10,FALSE)</f>
        <v>151444</v>
      </c>
      <c r="AZ123" s="370">
        <f>+VLOOKUP(AP123,SharePoint!$BA$3:$BY$140,11,FALSE)</f>
        <v>0</v>
      </c>
      <c r="BA123" s="370">
        <f>+VLOOKUP(AP123,SharePoint!$BA$3:$BY$140,12,FALSE)</f>
        <v>0</v>
      </c>
      <c r="BB123" s="370">
        <f>+VLOOKUP(AP123,SharePoint!$BA$3:$BY$140,13,FALSE)</f>
        <v>43472</v>
      </c>
      <c r="BC123" s="226">
        <f>+VLOOKUP(AP123,SharePoint!$BA$3:$BY$140,14,FALSE)</f>
        <v>0</v>
      </c>
      <c r="BD123" s="226">
        <f>+VLOOKUP(AP123,SharePoint!$BA$3:$BY$140,15,FALSE)</f>
        <v>0</v>
      </c>
      <c r="BE123" s="226">
        <f>+VLOOKUP(AP123,SharePoint!$BA$3:$BY$140,16,FALSE)</f>
        <v>149479</v>
      </c>
      <c r="BF123" s="226">
        <f>+VLOOKUP(AP123,SharePoint!$BA$3:$BY$140,17,FALSE)</f>
        <v>0</v>
      </c>
      <c r="BG123" s="226">
        <f>+VLOOKUP(AP123,SharePoint!$BA$3:$BY$140,18,FALSE)</f>
        <v>0</v>
      </c>
      <c r="BH123" s="226">
        <f>+VLOOKUP(AP123,SharePoint!$BA$3:$BY$140,19,FALSE)</f>
        <v>140427</v>
      </c>
      <c r="BI123" s="226">
        <f>+VLOOKUP(AP123,SharePoint!$BA$3:$BY$140,20,FALSE)</f>
        <v>0</v>
      </c>
      <c r="BJ123" s="226">
        <f>+VLOOKUP(AP123,SharePoint!$BA$3:$BY$140,21,FALSE)</f>
        <v>0</v>
      </c>
      <c r="BK123" s="226">
        <f>+VLOOKUP(AP123,SharePoint!$BA$3:$BY$140,22,FALSE)</f>
        <v>153689</v>
      </c>
      <c r="BL123" s="226">
        <f>+VLOOKUP(AP123,SharePoint!$BA$3:$BY$140,23,FALSE)</f>
        <v>0</v>
      </c>
      <c r="BM123" s="226">
        <f>+VLOOKUP(AP123,SharePoint!$BA$3:$BY$140,24,FALSE)</f>
        <v>0</v>
      </c>
      <c r="BN123" s="226">
        <f>+VLOOKUP(AP123,SharePoint!$BA$3:$BY$140,25,FALSE)</f>
        <v>43767</v>
      </c>
      <c r="BO123" s="214" t="s">
        <v>873</v>
      </c>
      <c r="BP123" s="214" t="s">
        <v>873</v>
      </c>
      <c r="BQ123" s="215" t="s">
        <v>402</v>
      </c>
      <c r="BR123" s="214" t="s">
        <v>873</v>
      </c>
      <c r="BS123" s="214" t="s">
        <v>873</v>
      </c>
      <c r="BT123" s="214" t="s">
        <v>3092</v>
      </c>
      <c r="BU123" s="214" t="s">
        <v>873</v>
      </c>
      <c r="BV123" s="214" t="s">
        <v>873</v>
      </c>
      <c r="BW123" s="214" t="s">
        <v>2921</v>
      </c>
      <c r="BX123" s="214" t="s">
        <v>875</v>
      </c>
      <c r="BY123" s="214" t="s">
        <v>875</v>
      </c>
      <c r="BZ123" s="214" t="s">
        <v>3317</v>
      </c>
      <c r="CA123" s="449">
        <v>2</v>
      </c>
      <c r="CB123" s="420" t="s">
        <v>3474</v>
      </c>
      <c r="CC123" s="359">
        <f t="shared" si="15"/>
        <v>483011</v>
      </c>
      <c r="CD123" s="359">
        <f t="shared" si="16"/>
        <v>487362</v>
      </c>
      <c r="CE123" s="382">
        <f t="shared" si="17"/>
        <v>0.99107234458164573</v>
      </c>
      <c r="CF123" s="382">
        <f t="shared" si="28"/>
        <v>0.98</v>
      </c>
      <c r="CG123" s="327" t="s">
        <v>3510</v>
      </c>
      <c r="CH123" s="327" t="str">
        <f t="shared" si="18"/>
        <v xml:space="preserve">Porcentual </v>
      </c>
      <c r="CI123" s="327"/>
      <c r="CJ123" s="381">
        <v>2</v>
      </c>
      <c r="CK123" s="376" t="str">
        <f t="shared" si="19"/>
        <v xml:space="preserve">Secretaria General </v>
      </c>
      <c r="CL123" s="376" t="str">
        <f t="shared" si="20"/>
        <v>Porcentaje de eficiencia en la asignación de los documentos de entrada radicados a las dependencias​</v>
      </c>
      <c r="CM123" s="376" t="str">
        <f t="shared" si="21"/>
        <v>Número de documentos radicados  asignados correctamente a las dependencias durante el trimestre / Número de documentos totales radicados  en el trimestre x 100​</v>
      </c>
      <c r="CN123" s="389">
        <f t="shared" si="22"/>
        <v>483011</v>
      </c>
      <c r="CO123" s="389">
        <f t="shared" si="23"/>
        <v>487362</v>
      </c>
      <c r="CP123" s="388">
        <f t="shared" si="26"/>
        <v>0.99107234458164573</v>
      </c>
      <c r="CQ123" s="377">
        <f t="shared" si="24"/>
        <v>0.98</v>
      </c>
      <c r="CR123" s="377" t="str">
        <f t="shared" si="25"/>
        <v>SOBRECUMPLIO</v>
      </c>
      <c r="DB123" s="381"/>
      <c r="DC123" s="381"/>
      <c r="DD123" s="381"/>
      <c r="DE123" s="381"/>
      <c r="DF123" s="381"/>
      <c r="DG123" s="381"/>
    </row>
    <row r="124" spans="1:111" s="83" customFormat="1" ht="127.5" customHeight="1" thickTop="1" thickBot="1">
      <c r="A124" s="83" t="s">
        <v>403</v>
      </c>
      <c r="B124" s="75" t="s">
        <v>151</v>
      </c>
      <c r="C124" s="75" t="s">
        <v>938</v>
      </c>
      <c r="D124" s="75" t="s">
        <v>903</v>
      </c>
      <c r="E124" s="75" t="s">
        <v>858</v>
      </c>
      <c r="F124" s="75" t="s">
        <v>1485</v>
      </c>
      <c r="G124" s="75" t="s">
        <v>215</v>
      </c>
      <c r="H124" s="75" t="s">
        <v>860</v>
      </c>
      <c r="I124" s="76" t="s">
        <v>1234</v>
      </c>
      <c r="J124" s="76" t="s">
        <v>1235</v>
      </c>
      <c r="K124" s="76" t="s">
        <v>1515</v>
      </c>
      <c r="L124" s="77" t="s">
        <v>1487</v>
      </c>
      <c r="M124" s="76" t="s">
        <v>404</v>
      </c>
      <c r="N124" s="76" t="s">
        <v>403</v>
      </c>
      <c r="O124" s="76" t="s">
        <v>405</v>
      </c>
      <c r="P124" s="76" t="s">
        <v>406</v>
      </c>
      <c r="Q124" s="76" t="s">
        <v>1541</v>
      </c>
      <c r="R124" s="76" t="s">
        <v>1542</v>
      </c>
      <c r="S124" s="76" t="s">
        <v>1543</v>
      </c>
      <c r="T124" s="76" t="s">
        <v>892</v>
      </c>
      <c r="U124" s="76" t="s">
        <v>871</v>
      </c>
      <c r="V124" s="76" t="s">
        <v>872</v>
      </c>
      <c r="W124" s="125">
        <v>0.99870000000000003</v>
      </c>
      <c r="X124" s="398">
        <v>0.99870000000000003</v>
      </c>
      <c r="Y124" s="75"/>
      <c r="Z124" s="75"/>
      <c r="AA124" s="125">
        <v>0.99870000000000003</v>
      </c>
      <c r="AB124" s="75"/>
      <c r="AC124" s="75"/>
      <c r="AD124" s="125">
        <v>0.99870000000000003</v>
      </c>
      <c r="AE124" s="75"/>
      <c r="AF124" s="75"/>
      <c r="AG124" s="125">
        <v>0.99870000000000003</v>
      </c>
      <c r="AH124" s="75"/>
      <c r="AI124" s="75"/>
      <c r="AJ124" s="125">
        <v>0.99870000000000003</v>
      </c>
      <c r="AK124" s="76" t="s">
        <v>873</v>
      </c>
      <c r="AL124" s="76" t="s">
        <v>873</v>
      </c>
      <c r="AM124" s="76" t="s">
        <v>873</v>
      </c>
      <c r="AN124" s="76" t="s">
        <v>873</v>
      </c>
      <c r="AO124" s="76" t="s">
        <v>1435</v>
      </c>
      <c r="AP124" s="82" t="s">
        <v>403</v>
      </c>
      <c r="AQ124" s="370">
        <f>+VLOOKUP(AP124,SharePoint!$BA$3:$BY$140,2,FALSE)</f>
        <v>0</v>
      </c>
      <c r="AR124" s="370">
        <f>+VLOOKUP(AP124,SharePoint!$BA$3:$BY$140,3,FALSE)</f>
        <v>0</v>
      </c>
      <c r="AS124" s="370">
        <f>+VLOOKUP(AP124,SharePoint!$BA$3:$BY$140,4,FALSE)</f>
        <v>149344</v>
      </c>
      <c r="AT124" s="370">
        <f>+VLOOKUP(AP124,SharePoint!$BA$3:$BY$140,5,FALSE)</f>
        <v>0</v>
      </c>
      <c r="AU124" s="370">
        <f>+VLOOKUP(AP124,SharePoint!$BA$3:$BY$140,6,FALSE)</f>
        <v>0</v>
      </c>
      <c r="AV124" s="370">
        <f>+VLOOKUP(AP124,SharePoint!$BA$3:$BY$140,7,FALSE)</f>
        <v>140273</v>
      </c>
      <c r="AW124" s="370">
        <f>+VLOOKUP(AP124,SharePoint!$BA$3:$BY$140,8,FALSE)</f>
        <v>0</v>
      </c>
      <c r="AX124" s="370">
        <f>+VLOOKUP(AP124,SharePoint!$BA$3:$BY$140,9,FALSE)</f>
        <v>0</v>
      </c>
      <c r="AY124" s="370">
        <f>+VLOOKUP(AP124,SharePoint!$BA$3:$BY$140,10,FALSE)</f>
        <v>153650</v>
      </c>
      <c r="AZ124" s="370">
        <f>+VLOOKUP(AP124,SharePoint!$BA$3:$BY$140,11,FALSE)</f>
        <v>0</v>
      </c>
      <c r="BA124" s="370">
        <f>+VLOOKUP(AP124,SharePoint!$BA$3:$BY$140,12,FALSE)</f>
        <v>0</v>
      </c>
      <c r="BB124" s="370">
        <f>+VLOOKUP(AP124,SharePoint!$BA$3:$BY$140,13,FALSE)</f>
        <v>130738</v>
      </c>
      <c r="BC124" s="226">
        <f>+VLOOKUP(AP124,SharePoint!$BA$3:$BY$140,14,FALSE)</f>
        <v>0</v>
      </c>
      <c r="BD124" s="226">
        <f>+VLOOKUP(AP124,SharePoint!$BA$3:$BY$140,15,FALSE)</f>
        <v>0</v>
      </c>
      <c r="BE124" s="226">
        <f>+VLOOKUP(AP124,SharePoint!$BA$3:$BY$140,16,FALSE)</f>
        <v>149479</v>
      </c>
      <c r="BF124" s="226">
        <f>+VLOOKUP(AP124,SharePoint!$BA$3:$BY$140,17,FALSE)</f>
        <v>0</v>
      </c>
      <c r="BG124" s="226">
        <f>+VLOOKUP(AP124,SharePoint!$BA$3:$BY$140,18,FALSE)</f>
        <v>0</v>
      </c>
      <c r="BH124" s="226">
        <f>+VLOOKUP(AP124,SharePoint!$BA$3:$BY$140,19,FALSE)</f>
        <v>140427</v>
      </c>
      <c r="BI124" s="226">
        <f>+VLOOKUP(AP124,SharePoint!$BA$3:$BY$140,20,FALSE)</f>
        <v>0</v>
      </c>
      <c r="BJ124" s="226">
        <f>+VLOOKUP(AP124,SharePoint!$BA$3:$BY$140,21,FALSE)</f>
        <v>0</v>
      </c>
      <c r="BK124" s="226">
        <f>+VLOOKUP(AP124,SharePoint!$BA$3:$BY$140,22,FALSE)</f>
        <v>153689</v>
      </c>
      <c r="BL124" s="226">
        <f>+VLOOKUP(AP124,SharePoint!$BA$3:$BY$140,23,FALSE)</f>
        <v>0</v>
      </c>
      <c r="BM124" s="226">
        <f>+VLOOKUP(AP124,SharePoint!$BA$3:$BY$140,24,FALSE)</f>
        <v>0</v>
      </c>
      <c r="BN124" s="226">
        <f>+VLOOKUP(AP124,SharePoint!$BA$3:$BY$140,25,FALSE)</f>
        <v>131672</v>
      </c>
      <c r="BO124" s="214" t="s">
        <v>873</v>
      </c>
      <c r="BP124" s="214" t="s">
        <v>873</v>
      </c>
      <c r="BQ124" s="215" t="s">
        <v>407</v>
      </c>
      <c r="BR124" s="214" t="s">
        <v>873</v>
      </c>
      <c r="BS124" s="214" t="s">
        <v>873</v>
      </c>
      <c r="BT124" s="215" t="s">
        <v>813</v>
      </c>
      <c r="BU124" s="214" t="s">
        <v>873</v>
      </c>
      <c r="BV124" s="214" t="s">
        <v>873</v>
      </c>
      <c r="BW124" s="214" t="s">
        <v>2922</v>
      </c>
      <c r="BX124" s="214" t="s">
        <v>875</v>
      </c>
      <c r="BY124" s="214" t="s">
        <v>875</v>
      </c>
      <c r="BZ124" s="214" t="s">
        <v>3319</v>
      </c>
      <c r="CA124" s="449">
        <v>2</v>
      </c>
      <c r="CB124" s="346" t="s">
        <v>3543</v>
      </c>
      <c r="CC124" s="328">
        <f t="shared" si="15"/>
        <v>574005</v>
      </c>
      <c r="CD124" s="328">
        <f t="shared" si="16"/>
        <v>575267</v>
      </c>
      <c r="CE124" s="399">
        <f>+CC124/CD124</f>
        <v>0.99780623606082042</v>
      </c>
      <c r="CF124" s="400">
        <f>+X124</f>
        <v>0.99870000000000003</v>
      </c>
      <c r="CG124" s="391" t="s">
        <v>3511</v>
      </c>
      <c r="CH124" s="327" t="str">
        <f t="shared" si="18"/>
        <v xml:space="preserve">Porcentual </v>
      </c>
      <c r="CI124" s="327"/>
      <c r="CJ124" s="381">
        <v>3</v>
      </c>
      <c r="CK124" s="378" t="str">
        <f t="shared" si="19"/>
        <v xml:space="preserve">Secretaria General </v>
      </c>
      <c r="CL124" s="378" t="str">
        <f t="shared" si="20"/>
        <v>Porcentaje de eficiencia en la digitalización de documentos.</v>
      </c>
      <c r="CM124" s="378" t="str">
        <f t="shared" si="21"/>
        <v>Número de documentos con calidad en la digitalización y cargue al sistema durante el trimestre  / Número Total de documentos digitalizados durante el trimestre x 100.​</v>
      </c>
      <c r="CN124" s="390">
        <f t="shared" si="22"/>
        <v>574005</v>
      </c>
      <c r="CO124" s="390">
        <f t="shared" si="23"/>
        <v>575267</v>
      </c>
      <c r="CP124" s="387">
        <f t="shared" si="26"/>
        <v>0.99780623606082042</v>
      </c>
      <c r="CQ124" s="379">
        <f t="shared" si="24"/>
        <v>0.99870000000000003</v>
      </c>
      <c r="CR124" s="379" t="str">
        <f t="shared" si="25"/>
        <v>INCUMPLIO</v>
      </c>
      <c r="DB124" s="381"/>
      <c r="DC124" s="381"/>
      <c r="DD124" s="381"/>
      <c r="DE124" s="381"/>
      <c r="DF124" s="381"/>
      <c r="DG124" s="381"/>
    </row>
    <row r="125" spans="1:111" s="83" customFormat="1" ht="127.5" customHeight="1" thickTop="1" thickBot="1">
      <c r="A125" s="83" t="s">
        <v>408</v>
      </c>
      <c r="B125" s="75" t="s">
        <v>151</v>
      </c>
      <c r="C125" s="75" t="s">
        <v>938</v>
      </c>
      <c r="D125" s="75" t="s">
        <v>903</v>
      </c>
      <c r="E125" s="75" t="s">
        <v>858</v>
      </c>
      <c r="F125" s="75" t="s">
        <v>1485</v>
      </c>
      <c r="G125" s="75" t="s">
        <v>215</v>
      </c>
      <c r="H125" s="75" t="s">
        <v>860</v>
      </c>
      <c r="I125" s="76" t="s">
        <v>1234</v>
      </c>
      <c r="J125" s="76" t="s">
        <v>1235</v>
      </c>
      <c r="K125" s="76" t="s">
        <v>1515</v>
      </c>
      <c r="L125" s="77" t="s">
        <v>1487</v>
      </c>
      <c r="M125" s="76" t="s">
        <v>409</v>
      </c>
      <c r="N125" s="76" t="s">
        <v>408</v>
      </c>
      <c r="O125" s="76" t="s">
        <v>410</v>
      </c>
      <c r="P125" s="76" t="s">
        <v>411</v>
      </c>
      <c r="Q125" s="76" t="s">
        <v>411</v>
      </c>
      <c r="R125" s="77" t="s">
        <v>876</v>
      </c>
      <c r="S125" s="76" t="s">
        <v>1544</v>
      </c>
      <c r="T125" s="76" t="s">
        <v>870</v>
      </c>
      <c r="U125" s="76" t="s">
        <v>157</v>
      </c>
      <c r="V125" s="76" t="s">
        <v>872</v>
      </c>
      <c r="W125" s="75">
        <v>6</v>
      </c>
      <c r="X125" s="317">
        <v>12</v>
      </c>
      <c r="Y125" s="75"/>
      <c r="Z125" s="75"/>
      <c r="AA125" s="75">
        <v>3</v>
      </c>
      <c r="AB125" s="75"/>
      <c r="AC125" s="75"/>
      <c r="AD125" s="75">
        <v>3</v>
      </c>
      <c r="AE125" s="75"/>
      <c r="AF125" s="75"/>
      <c r="AG125" s="75">
        <v>3</v>
      </c>
      <c r="AH125" s="75"/>
      <c r="AI125" s="75"/>
      <c r="AJ125" s="75">
        <v>3</v>
      </c>
      <c r="AK125" s="76" t="s">
        <v>873</v>
      </c>
      <c r="AL125" s="76" t="s">
        <v>873</v>
      </c>
      <c r="AM125" s="76" t="s">
        <v>873</v>
      </c>
      <c r="AN125" s="76" t="s">
        <v>873</v>
      </c>
      <c r="AO125" s="76" t="s">
        <v>1435</v>
      </c>
      <c r="AP125" s="82" t="s">
        <v>408</v>
      </c>
      <c r="AQ125" s="370">
        <f>+VLOOKUP(AP125,SharePoint!$BA$3:$BY$140,2,FALSE)</f>
        <v>0</v>
      </c>
      <c r="AR125" s="370">
        <f>+VLOOKUP(AP125,SharePoint!$BA$3:$BY$140,3,FALSE)</f>
        <v>0</v>
      </c>
      <c r="AS125" s="370">
        <f>+VLOOKUP(AP125,SharePoint!$BA$3:$BY$140,4,FALSE)</f>
        <v>3</v>
      </c>
      <c r="AT125" s="370">
        <f>+VLOOKUP(AP125,SharePoint!$BA$3:$BY$140,5,FALSE)</f>
        <v>0</v>
      </c>
      <c r="AU125" s="370">
        <f>+VLOOKUP(AP125,SharePoint!$BA$3:$BY$140,6,FALSE)</f>
        <v>0</v>
      </c>
      <c r="AV125" s="370">
        <f>+VLOOKUP(AP125,SharePoint!$BA$3:$BY$140,7,FALSE)</f>
        <v>2</v>
      </c>
      <c r="AW125" s="370">
        <f>+VLOOKUP(AP125,SharePoint!$BA$3:$BY$140,8,FALSE)</f>
        <v>0</v>
      </c>
      <c r="AX125" s="370">
        <f>+VLOOKUP(AP125,SharePoint!$BA$3:$BY$140,9,FALSE)</f>
        <v>0</v>
      </c>
      <c r="AY125" s="370">
        <f>+VLOOKUP(AP125,SharePoint!$BA$3:$BY$140,10,FALSE)</f>
        <v>3</v>
      </c>
      <c r="AZ125" s="370">
        <f>+VLOOKUP(AP125,SharePoint!$BA$3:$BY$140,11,FALSE)</f>
        <v>0</v>
      </c>
      <c r="BA125" s="370">
        <f>+VLOOKUP(AP125,SharePoint!$BA$3:$BY$140,12,FALSE)</f>
        <v>0</v>
      </c>
      <c r="BB125" s="370">
        <f>+VLOOKUP(AP125,SharePoint!$BA$3:$BY$140,13,FALSE)</f>
        <v>3</v>
      </c>
      <c r="BC125" s="226">
        <f>+VLOOKUP(AP125,SharePoint!$BA$3:$BY$140,14,FALSE)</f>
        <v>0</v>
      </c>
      <c r="BD125" s="226">
        <f>+VLOOKUP(AP125,SharePoint!$BA$3:$BY$140,15,FALSE)</f>
        <v>0</v>
      </c>
      <c r="BE125" s="226">
        <f>+VLOOKUP(AP125,SharePoint!$BA$3:$BY$140,16,FALSE)</f>
        <v>3</v>
      </c>
      <c r="BF125" s="226">
        <f>+VLOOKUP(AP125,SharePoint!$BA$3:$BY$140,17,FALSE)</f>
        <v>0</v>
      </c>
      <c r="BG125" s="226">
        <f>+VLOOKUP(AP125,SharePoint!$BA$3:$BY$140,18,FALSE)</f>
        <v>0</v>
      </c>
      <c r="BH125" s="226">
        <f>+VLOOKUP(AP125,SharePoint!$BA$3:$BY$140,19,FALSE)</f>
        <v>3</v>
      </c>
      <c r="BI125" s="226">
        <f>+VLOOKUP(AP125,SharePoint!$BA$3:$BY$140,20,FALSE)</f>
        <v>0</v>
      </c>
      <c r="BJ125" s="226">
        <f>+VLOOKUP(AP125,SharePoint!$BA$3:$BY$140,21,FALSE)</f>
        <v>0</v>
      </c>
      <c r="BK125" s="226">
        <f>+VLOOKUP(AP125,SharePoint!$BA$3:$BY$140,22,FALSE)</f>
        <v>3</v>
      </c>
      <c r="BL125" s="226">
        <f>+VLOOKUP(AP125,SharePoint!$BA$3:$BY$140,23,FALSE)</f>
        <v>0</v>
      </c>
      <c r="BM125" s="226">
        <f>+VLOOKUP(AP125,SharePoint!$BA$3:$BY$140,24,FALSE)</f>
        <v>0</v>
      </c>
      <c r="BN125" s="226">
        <f>+VLOOKUP(AP125,SharePoint!$BA$3:$BY$140,25,FALSE)</f>
        <v>3</v>
      </c>
      <c r="BO125" s="214" t="s">
        <v>873</v>
      </c>
      <c r="BP125" s="214" t="s">
        <v>873</v>
      </c>
      <c r="BQ125" s="215" t="s">
        <v>3093</v>
      </c>
      <c r="BR125" s="214" t="s">
        <v>873</v>
      </c>
      <c r="BS125" s="214" t="s">
        <v>873</v>
      </c>
      <c r="BT125" s="215" t="s">
        <v>3018</v>
      </c>
      <c r="BU125" s="214" t="s">
        <v>873</v>
      </c>
      <c r="BV125" s="214" t="s">
        <v>873</v>
      </c>
      <c r="BW125" s="214" t="s">
        <v>2923</v>
      </c>
      <c r="BX125" s="214" t="s">
        <v>875</v>
      </c>
      <c r="BY125" s="214" t="s">
        <v>875</v>
      </c>
      <c r="BZ125" s="214" t="s">
        <v>3322</v>
      </c>
      <c r="CA125" s="449">
        <v>1</v>
      </c>
      <c r="CB125" s="346" t="s">
        <v>3475</v>
      </c>
      <c r="CC125" s="328">
        <f t="shared" si="15"/>
        <v>11</v>
      </c>
      <c r="CD125" s="328">
        <f t="shared" si="16"/>
        <v>12</v>
      </c>
      <c r="CE125" s="394">
        <f t="shared" si="17"/>
        <v>0.91666666666666663</v>
      </c>
      <c r="CF125" s="395">
        <f t="shared" si="28"/>
        <v>12</v>
      </c>
      <c r="CG125" s="391" t="s">
        <v>3511</v>
      </c>
      <c r="CH125" s="327" t="str">
        <f t="shared" si="18"/>
        <v>Numérica</v>
      </c>
      <c r="CI125" s="327"/>
      <c r="CJ125" s="381">
        <v>4</v>
      </c>
      <c r="CK125" s="376" t="str">
        <f t="shared" si="19"/>
        <v xml:space="preserve">Secretaria General </v>
      </c>
      <c r="CL125" s="376" t="str">
        <f t="shared" si="20"/>
        <v>Campañas de socialización sobre el manejo de los procesos del Grupo de Correspondencia</v>
      </c>
      <c r="CM125" s="376" t="str">
        <f t="shared" si="21"/>
        <v>Número de campañas de socialización sobre el manejo de los procesos del Grupo de Correspondencia</v>
      </c>
      <c r="CN125" s="389">
        <f t="shared" si="22"/>
        <v>11</v>
      </c>
      <c r="CO125" s="389">
        <f t="shared" si="23"/>
        <v>12</v>
      </c>
      <c r="CP125" s="388">
        <f t="shared" si="26"/>
        <v>0.91666666666666663</v>
      </c>
      <c r="CQ125" s="377">
        <f t="shared" si="24"/>
        <v>12</v>
      </c>
      <c r="CR125" s="377" t="str">
        <f t="shared" si="25"/>
        <v>INCUMPLIO</v>
      </c>
      <c r="DB125" s="381"/>
      <c r="DC125" s="381"/>
      <c r="DD125" s="381"/>
      <c r="DE125" s="381"/>
      <c r="DF125" s="381"/>
      <c r="DG125" s="381"/>
    </row>
    <row r="126" spans="1:111" s="83" customFormat="1" ht="127.5" customHeight="1" thickTop="1" thickBot="1">
      <c r="A126" s="83" t="s">
        <v>191</v>
      </c>
      <c r="B126" s="75" t="s">
        <v>151</v>
      </c>
      <c r="C126" s="75" t="s">
        <v>938</v>
      </c>
      <c r="D126" s="75" t="s">
        <v>903</v>
      </c>
      <c r="E126" s="75" t="s">
        <v>858</v>
      </c>
      <c r="F126" s="75" t="s">
        <v>933</v>
      </c>
      <c r="G126" s="75" t="s">
        <v>189</v>
      </c>
      <c r="H126" s="75" t="s">
        <v>860</v>
      </c>
      <c r="I126" s="76" t="s">
        <v>1234</v>
      </c>
      <c r="J126" s="76" t="s">
        <v>1235</v>
      </c>
      <c r="K126" s="76" t="s">
        <v>1545</v>
      </c>
      <c r="L126" s="77" t="s">
        <v>1487</v>
      </c>
      <c r="M126" s="76" t="s">
        <v>192</v>
      </c>
      <c r="N126" s="76" t="s">
        <v>191</v>
      </c>
      <c r="O126" s="76" t="s">
        <v>193</v>
      </c>
      <c r="P126" s="76" t="s">
        <v>1546</v>
      </c>
      <c r="Q126" s="76" t="s">
        <v>1547</v>
      </c>
      <c r="R126" s="76" t="s">
        <v>1548</v>
      </c>
      <c r="S126" s="76" t="s">
        <v>1549</v>
      </c>
      <c r="T126" s="76" t="s">
        <v>892</v>
      </c>
      <c r="U126" s="76" t="s">
        <v>871</v>
      </c>
      <c r="V126" s="76" t="s">
        <v>872</v>
      </c>
      <c r="W126" s="80" t="s">
        <v>1550</v>
      </c>
      <c r="X126" s="401">
        <v>0.95</v>
      </c>
      <c r="Y126" s="76"/>
      <c r="Z126" s="76"/>
      <c r="AA126" s="80">
        <v>0.95</v>
      </c>
      <c r="AB126" s="79"/>
      <c r="AC126" s="76"/>
      <c r="AD126" s="80">
        <v>0.95</v>
      </c>
      <c r="AE126" s="76"/>
      <c r="AF126" s="79"/>
      <c r="AG126" s="80">
        <v>0.95</v>
      </c>
      <c r="AH126" s="76"/>
      <c r="AI126" s="76"/>
      <c r="AJ126" s="80">
        <v>0.95</v>
      </c>
      <c r="AK126" s="76" t="s">
        <v>873</v>
      </c>
      <c r="AL126" s="76" t="s">
        <v>873</v>
      </c>
      <c r="AM126" s="76" t="s">
        <v>873</v>
      </c>
      <c r="AN126" s="76" t="s">
        <v>873</v>
      </c>
      <c r="AO126" s="76" t="s">
        <v>1435</v>
      </c>
      <c r="AP126" s="82" t="s">
        <v>191</v>
      </c>
      <c r="AQ126" s="370">
        <f>+VLOOKUP(AP126,SharePoint!$BA$3:$BY$140,2,FALSE)</f>
        <v>0</v>
      </c>
      <c r="AR126" s="370">
        <f>+VLOOKUP(AP126,SharePoint!$BA$3:$BY$140,3,FALSE)</f>
        <v>0</v>
      </c>
      <c r="AS126" s="370">
        <f>+VLOOKUP(AP126,SharePoint!$BA$3:$BY$140,4,FALSE)</f>
        <v>1875</v>
      </c>
      <c r="AT126" s="370">
        <f>+VLOOKUP(AP126,SharePoint!$BA$3:$BY$140,5,FALSE)</f>
        <v>0</v>
      </c>
      <c r="AU126" s="370">
        <f>+VLOOKUP(AP126,SharePoint!$BA$3:$BY$140,6,FALSE)</f>
        <v>0</v>
      </c>
      <c r="AV126" s="370">
        <f>+VLOOKUP(AP126,SharePoint!$BA$3:$BY$140,7,FALSE)</f>
        <v>5182</v>
      </c>
      <c r="AW126" s="370">
        <f>+VLOOKUP(AP126,SharePoint!$BA$3:$BY$140,8,FALSE)</f>
        <v>0</v>
      </c>
      <c r="AX126" s="370">
        <f>+VLOOKUP(AP126,SharePoint!$BA$3:$BY$140,9,FALSE)</f>
        <v>0</v>
      </c>
      <c r="AY126" s="370">
        <f>+VLOOKUP(AP126,SharePoint!$BA$3:$BY$140,10,FALSE)</f>
        <v>8246</v>
      </c>
      <c r="AZ126" s="370">
        <f>+VLOOKUP(AP126,SharePoint!$BA$3:$BY$140,11,FALSE)</f>
        <v>0</v>
      </c>
      <c r="BA126" s="370">
        <f>+VLOOKUP(AP126,SharePoint!$BA$3:$BY$140,12,FALSE)</f>
        <v>0</v>
      </c>
      <c r="BB126" s="370">
        <f>+VLOOKUP(AP126,SharePoint!$BA$3:$BY$140,13,FALSE)</f>
        <v>11870</v>
      </c>
      <c r="BC126" s="226">
        <f>+VLOOKUP(AP126,SharePoint!$BA$3:$BY$140,14,FALSE)</f>
        <v>0</v>
      </c>
      <c r="BD126" s="226">
        <f>+VLOOKUP(AP126,SharePoint!$BA$3:$BY$140,15,FALSE)</f>
        <v>0</v>
      </c>
      <c r="BE126" s="226">
        <f>+VLOOKUP(AP126,SharePoint!$BA$3:$BY$140,16,FALSE)</f>
        <v>1927</v>
      </c>
      <c r="BF126" s="226">
        <f>+VLOOKUP(AP126,SharePoint!$BA$3:$BY$140,17,FALSE)</f>
        <v>0</v>
      </c>
      <c r="BG126" s="226">
        <f>+VLOOKUP(AP126,SharePoint!$BA$3:$BY$140,18,FALSE)</f>
        <v>0</v>
      </c>
      <c r="BH126" s="226">
        <f>+VLOOKUP(AP126,SharePoint!$BA$3:$BY$140,19,FALSE)</f>
        <v>5233</v>
      </c>
      <c r="BI126" s="226">
        <f>+VLOOKUP(AP126,SharePoint!$BA$3:$BY$140,20,FALSE)</f>
        <v>0</v>
      </c>
      <c r="BJ126" s="226">
        <f>+VLOOKUP(AP126,SharePoint!$BA$3:$BY$140,21,FALSE)</f>
        <v>0</v>
      </c>
      <c r="BK126" s="226">
        <f>+VLOOKUP(AP126,SharePoint!$BA$3:$BY$140,22,FALSE)</f>
        <v>9640</v>
      </c>
      <c r="BL126" s="226">
        <f>+VLOOKUP(AP126,SharePoint!$BA$3:$BY$140,23,FALSE)</f>
        <v>0</v>
      </c>
      <c r="BM126" s="226">
        <f>+VLOOKUP(AP126,SharePoint!$BA$3:$BY$140,24,FALSE)</f>
        <v>0</v>
      </c>
      <c r="BN126" s="226">
        <f>+VLOOKUP(AP126,SharePoint!$BA$3:$BY$140,25,FALSE)</f>
        <v>11948</v>
      </c>
      <c r="BO126" s="214" t="s">
        <v>873</v>
      </c>
      <c r="BP126" s="214" t="s">
        <v>873</v>
      </c>
      <c r="BQ126" s="215" t="s">
        <v>195</v>
      </c>
      <c r="BR126" s="214" t="s">
        <v>873</v>
      </c>
      <c r="BS126" s="214" t="s">
        <v>873</v>
      </c>
      <c r="BT126" s="215" t="s">
        <v>678</v>
      </c>
      <c r="BU126" s="214" t="s">
        <v>873</v>
      </c>
      <c r="BV126" s="214" t="s">
        <v>873</v>
      </c>
      <c r="BW126" s="214" t="s">
        <v>2927</v>
      </c>
      <c r="BX126" s="214" t="s">
        <v>875</v>
      </c>
      <c r="BY126" s="214" t="s">
        <v>875</v>
      </c>
      <c r="BZ126" s="214" t="s">
        <v>3314</v>
      </c>
      <c r="CA126" s="449">
        <v>1</v>
      </c>
      <c r="CB126" s="346" t="s">
        <v>3521</v>
      </c>
      <c r="CC126" s="340">
        <f t="shared" si="15"/>
        <v>27173</v>
      </c>
      <c r="CD126" s="340">
        <f t="shared" si="16"/>
        <v>28748</v>
      </c>
      <c r="CE126" s="402">
        <f t="shared" si="17"/>
        <v>0.94521358007513567</v>
      </c>
      <c r="CF126" s="402">
        <f t="shared" si="28"/>
        <v>0.95</v>
      </c>
      <c r="CG126" s="403" t="s">
        <v>3511</v>
      </c>
      <c r="CH126" s="327" t="str">
        <f t="shared" si="18"/>
        <v xml:space="preserve">Porcentual </v>
      </c>
      <c r="CI126" s="327"/>
      <c r="CJ126" s="381">
        <v>5</v>
      </c>
      <c r="CK126" s="378" t="str">
        <f t="shared" si="19"/>
        <v xml:space="preserve">Secretaria General </v>
      </c>
      <c r="CL126" s="378" t="str">
        <f t="shared" si="20"/>
        <v>Porcentaje de actos administrativos con actuaciones de notificación</v>
      </c>
      <c r="CM126" s="378" t="str">
        <f t="shared" si="21"/>
        <v>Total de actos administrativos de notificación o comunicación  gestionados en el periodo/ Total de actos administrativos recibidos para notificar  o comunicar en el periodo</v>
      </c>
      <c r="CN126" s="390">
        <f t="shared" si="22"/>
        <v>27173</v>
      </c>
      <c r="CO126" s="390">
        <f t="shared" si="23"/>
        <v>28748</v>
      </c>
      <c r="CP126" s="387">
        <f t="shared" si="26"/>
        <v>0.94521358007513567</v>
      </c>
      <c r="CQ126" s="379">
        <f t="shared" si="24"/>
        <v>0.95</v>
      </c>
      <c r="CR126" s="379" t="str">
        <f t="shared" si="25"/>
        <v>INCUMPLIO</v>
      </c>
      <c r="DB126" s="381"/>
      <c r="DC126" s="381"/>
      <c r="DD126" s="381"/>
      <c r="DE126" s="381"/>
      <c r="DF126" s="381"/>
      <c r="DG126" s="381"/>
    </row>
    <row r="127" spans="1:111" s="83" customFormat="1" ht="127.5" customHeight="1" thickTop="1" thickBot="1">
      <c r="A127" s="83" t="s">
        <v>397</v>
      </c>
      <c r="B127" s="75" t="s">
        <v>151</v>
      </c>
      <c r="C127" s="75" t="s">
        <v>938</v>
      </c>
      <c r="D127" s="75" t="s">
        <v>903</v>
      </c>
      <c r="E127" s="75" t="s">
        <v>858</v>
      </c>
      <c r="F127" s="75" t="s">
        <v>933</v>
      </c>
      <c r="G127" s="75" t="s">
        <v>189</v>
      </c>
      <c r="H127" s="75" t="s">
        <v>860</v>
      </c>
      <c r="I127" s="76" t="s">
        <v>1234</v>
      </c>
      <c r="J127" s="76" t="s">
        <v>1235</v>
      </c>
      <c r="K127" s="76" t="s">
        <v>1545</v>
      </c>
      <c r="L127" s="77" t="s">
        <v>1487</v>
      </c>
      <c r="M127" s="76" t="s">
        <v>679</v>
      </c>
      <c r="N127" s="76" t="s">
        <v>397</v>
      </c>
      <c r="O127" s="76" t="s">
        <v>680</v>
      </c>
      <c r="P127" s="76" t="s">
        <v>1551</v>
      </c>
      <c r="Q127" s="76" t="s">
        <v>1551</v>
      </c>
      <c r="R127" s="77" t="s">
        <v>876</v>
      </c>
      <c r="S127" s="76" t="s">
        <v>1552</v>
      </c>
      <c r="T127" s="76" t="s">
        <v>870</v>
      </c>
      <c r="U127" s="76" t="s">
        <v>157</v>
      </c>
      <c r="V127" s="76" t="s">
        <v>988</v>
      </c>
      <c r="W127" s="76">
        <v>2</v>
      </c>
      <c r="X127" s="299">
        <v>2</v>
      </c>
      <c r="Y127" s="76"/>
      <c r="Z127" s="76"/>
      <c r="AA127" s="76"/>
      <c r="AB127" s="76"/>
      <c r="AC127" s="76"/>
      <c r="AD127" s="76">
        <v>1</v>
      </c>
      <c r="AE127" s="76"/>
      <c r="AF127" s="76"/>
      <c r="AG127" s="76"/>
      <c r="AH127" s="76"/>
      <c r="AI127" s="76"/>
      <c r="AJ127" s="76">
        <v>1</v>
      </c>
      <c r="AK127" s="76" t="s">
        <v>873</v>
      </c>
      <c r="AL127" s="76" t="s">
        <v>873</v>
      </c>
      <c r="AM127" s="76" t="s">
        <v>873</v>
      </c>
      <c r="AN127" s="76" t="s">
        <v>873</v>
      </c>
      <c r="AO127" s="76" t="s">
        <v>1435</v>
      </c>
      <c r="AP127" s="82" t="s">
        <v>397</v>
      </c>
      <c r="AQ127" s="370">
        <f>+VLOOKUP(AP127,SharePoint!$BA$3:$BY$140,2,FALSE)</f>
        <v>0</v>
      </c>
      <c r="AR127" s="370">
        <f>+VLOOKUP(AP127,SharePoint!$BA$3:$BY$140,3,FALSE)</f>
        <v>0</v>
      </c>
      <c r="AS127" s="370">
        <f>+VLOOKUP(AP127,SharePoint!$BA$3:$BY$140,4,FALSE)</f>
        <v>0</v>
      </c>
      <c r="AT127" s="370">
        <f>+VLOOKUP(AP127,SharePoint!$BA$3:$BY$140,5,FALSE)</f>
        <v>0</v>
      </c>
      <c r="AU127" s="370">
        <f>+VLOOKUP(AP127,SharePoint!$BA$3:$BY$140,6,FALSE)</f>
        <v>0</v>
      </c>
      <c r="AV127" s="370">
        <f>+VLOOKUP(AP127,SharePoint!$BA$3:$BY$140,7,FALSE)</f>
        <v>1</v>
      </c>
      <c r="AW127" s="370">
        <f>+VLOOKUP(AP127,SharePoint!$BA$3:$BY$140,8,FALSE)</f>
        <v>0</v>
      </c>
      <c r="AX127" s="370">
        <f>+VLOOKUP(AP127,SharePoint!$BA$3:$BY$140,9,FALSE)</f>
        <v>0</v>
      </c>
      <c r="AY127" s="370">
        <f>+VLOOKUP(AP127,SharePoint!$BA$3:$BY$140,10,FALSE)</f>
        <v>0</v>
      </c>
      <c r="AZ127" s="370">
        <f>+VLOOKUP(AP127,SharePoint!$BA$3:$BY$140,11,FALSE)</f>
        <v>0</v>
      </c>
      <c r="BA127" s="370">
        <f>+VLOOKUP(AP127,SharePoint!$BA$3:$BY$140,12,FALSE)</f>
        <v>0</v>
      </c>
      <c r="BB127" s="370">
        <f>+VLOOKUP(AP127,SharePoint!$BA$3:$BY$140,13,FALSE)</f>
        <v>1</v>
      </c>
      <c r="BC127" s="226">
        <f>+VLOOKUP(AP127,SharePoint!$BA$3:$BY$140,14,FALSE)</f>
        <v>0</v>
      </c>
      <c r="BD127" s="226">
        <f>+VLOOKUP(AP127,SharePoint!$BA$3:$BY$140,15,FALSE)</f>
        <v>0</v>
      </c>
      <c r="BE127" s="226">
        <f>+VLOOKUP(AP127,SharePoint!$BA$3:$BY$140,16,FALSE)</f>
        <v>0</v>
      </c>
      <c r="BF127" s="226">
        <f>+VLOOKUP(AP127,SharePoint!$BA$3:$BY$140,17,FALSE)</f>
        <v>0</v>
      </c>
      <c r="BG127" s="226">
        <f>+VLOOKUP(AP127,SharePoint!$BA$3:$BY$140,18,FALSE)</f>
        <v>0</v>
      </c>
      <c r="BH127" s="226">
        <f>+VLOOKUP(AP127,SharePoint!$BA$3:$BY$140,19,FALSE)</f>
        <v>1</v>
      </c>
      <c r="BI127" s="226">
        <f>+VLOOKUP(AP127,SharePoint!$BA$3:$BY$140,20,FALSE)</f>
        <v>0</v>
      </c>
      <c r="BJ127" s="226">
        <f>+VLOOKUP(AP127,SharePoint!$BA$3:$BY$140,21,FALSE)</f>
        <v>0</v>
      </c>
      <c r="BK127" s="226">
        <f>+VLOOKUP(AP127,SharePoint!$BA$3:$BY$140,22,FALSE)</f>
        <v>0</v>
      </c>
      <c r="BL127" s="226">
        <f>+VLOOKUP(AP127,SharePoint!$BA$3:$BY$140,23,FALSE)</f>
        <v>0</v>
      </c>
      <c r="BM127" s="226">
        <f>+VLOOKUP(AP127,SharePoint!$BA$3:$BY$140,24,FALSE)</f>
        <v>0</v>
      </c>
      <c r="BN127" s="226">
        <f>+VLOOKUP(AP127,SharePoint!$BA$3:$BY$140,25,FALSE)</f>
        <v>1</v>
      </c>
      <c r="BO127" s="214" t="s">
        <v>873</v>
      </c>
      <c r="BP127" s="214" t="s">
        <v>873</v>
      </c>
      <c r="BQ127" s="214" t="s">
        <v>873</v>
      </c>
      <c r="BR127" s="214" t="s">
        <v>873</v>
      </c>
      <c r="BS127" s="214" t="s">
        <v>873</v>
      </c>
      <c r="BT127" s="215" t="s">
        <v>682</v>
      </c>
      <c r="BU127" s="214" t="s">
        <v>873</v>
      </c>
      <c r="BV127" s="214" t="s">
        <v>873</v>
      </c>
      <c r="BW127" s="214" t="s">
        <v>873</v>
      </c>
      <c r="BX127" s="214" t="s">
        <v>875</v>
      </c>
      <c r="BY127" s="214" t="s">
        <v>875</v>
      </c>
      <c r="BZ127" s="214" t="s">
        <v>3315</v>
      </c>
      <c r="CA127" s="449">
        <v>2</v>
      </c>
      <c r="CB127" s="373" t="s">
        <v>3493</v>
      </c>
      <c r="CC127" s="359">
        <f t="shared" si="15"/>
        <v>2</v>
      </c>
      <c r="CD127" s="359">
        <f t="shared" si="16"/>
        <v>2</v>
      </c>
      <c r="CE127" s="343">
        <f t="shared" si="17"/>
        <v>1</v>
      </c>
      <c r="CF127" s="381">
        <f t="shared" si="28"/>
        <v>2</v>
      </c>
      <c r="CG127" s="327" t="s">
        <v>3509</v>
      </c>
      <c r="CH127" s="327" t="str">
        <f t="shared" si="18"/>
        <v>Numérica</v>
      </c>
      <c r="CI127" s="327"/>
      <c r="CJ127" s="381">
        <v>1</v>
      </c>
      <c r="CK127" s="376" t="str">
        <f t="shared" si="19"/>
        <v xml:space="preserve">Secretaria General </v>
      </c>
      <c r="CL127" s="376" t="str">
        <f t="shared" si="20"/>
        <v>Sensibilizar a los funcionarios de la Entidad en el trámite de notificación de actos administrativos.</v>
      </c>
      <c r="CM127" s="376" t="str">
        <f t="shared" si="21"/>
        <v xml:space="preserve">Número de acciones realizadas con el fin dedar a conocer el proceso de notificación de los actos administrativos. </v>
      </c>
      <c r="CN127" s="389">
        <f t="shared" si="22"/>
        <v>2</v>
      </c>
      <c r="CO127" s="389">
        <f t="shared" si="23"/>
        <v>2</v>
      </c>
      <c r="CP127" s="388">
        <f t="shared" si="26"/>
        <v>1</v>
      </c>
      <c r="CQ127" s="377">
        <f t="shared" si="24"/>
        <v>2</v>
      </c>
      <c r="CR127" s="377" t="str">
        <f t="shared" si="25"/>
        <v>CUMPLIO</v>
      </c>
      <c r="DB127" s="381"/>
      <c r="DC127" s="381"/>
      <c r="DD127" s="381"/>
      <c r="DE127" s="381"/>
      <c r="DF127" s="381"/>
      <c r="DG127" s="381"/>
    </row>
    <row r="128" spans="1:111" s="83" customFormat="1" ht="127.5" customHeight="1" thickTop="1" thickBot="1">
      <c r="A128" s="83" t="s">
        <v>226</v>
      </c>
      <c r="B128" s="75" t="s">
        <v>151</v>
      </c>
      <c r="C128" s="75" t="s">
        <v>938</v>
      </c>
      <c r="D128" s="75" t="s">
        <v>903</v>
      </c>
      <c r="E128" s="75" t="s">
        <v>1321</v>
      </c>
      <c r="F128" s="75" t="s">
        <v>1553</v>
      </c>
      <c r="G128" s="75" t="s">
        <v>215</v>
      </c>
      <c r="H128" s="75" t="s">
        <v>860</v>
      </c>
      <c r="I128" s="76" t="s">
        <v>1129</v>
      </c>
      <c r="J128" s="76" t="s">
        <v>1130</v>
      </c>
      <c r="K128" s="76" t="s">
        <v>1554</v>
      </c>
      <c r="L128" s="76" t="s">
        <v>1555</v>
      </c>
      <c r="M128" s="76" t="s">
        <v>1556</v>
      </c>
      <c r="N128" s="76" t="s">
        <v>226</v>
      </c>
      <c r="O128" s="76" t="s">
        <v>228</v>
      </c>
      <c r="P128" s="75" t="s">
        <v>229</v>
      </c>
      <c r="Q128" s="75" t="s">
        <v>229</v>
      </c>
      <c r="R128" s="77" t="s">
        <v>876</v>
      </c>
      <c r="S128" s="75" t="s">
        <v>1557</v>
      </c>
      <c r="T128" s="76" t="s">
        <v>870</v>
      </c>
      <c r="U128" s="76" t="s">
        <v>157</v>
      </c>
      <c r="V128" s="76" t="s">
        <v>872</v>
      </c>
      <c r="W128" s="77">
        <v>14</v>
      </c>
      <c r="X128" s="318">
        <v>14</v>
      </c>
      <c r="Y128" s="77"/>
      <c r="Z128" s="77"/>
      <c r="AA128" s="77">
        <v>4</v>
      </c>
      <c r="AB128" s="77"/>
      <c r="AC128" s="77"/>
      <c r="AD128" s="77">
        <v>3</v>
      </c>
      <c r="AE128" s="77"/>
      <c r="AF128" s="77"/>
      <c r="AG128" s="77">
        <v>3</v>
      </c>
      <c r="AH128" s="77"/>
      <c r="AI128" s="77"/>
      <c r="AJ128" s="77">
        <v>4</v>
      </c>
      <c r="AK128" s="76" t="s">
        <v>873</v>
      </c>
      <c r="AL128" s="76" t="s">
        <v>873</v>
      </c>
      <c r="AM128" s="76" t="s">
        <v>873</v>
      </c>
      <c r="AN128" s="76" t="s">
        <v>873</v>
      </c>
      <c r="AO128" s="76" t="s">
        <v>1435</v>
      </c>
      <c r="AP128" s="82" t="s">
        <v>226</v>
      </c>
      <c r="AQ128" s="370">
        <f>+VLOOKUP(AP128,SharePoint!$BA$3:$BY$140,2,FALSE)</f>
        <v>0</v>
      </c>
      <c r="AR128" s="370">
        <f>+VLOOKUP(AP128,SharePoint!$BA$3:$BY$140,3,FALSE)</f>
        <v>0</v>
      </c>
      <c r="AS128" s="370">
        <f>+VLOOKUP(AP128,SharePoint!$BA$3:$BY$140,4,FALSE)</f>
        <v>4</v>
      </c>
      <c r="AT128" s="370">
        <f>+VLOOKUP(AP128,SharePoint!$BA$3:$BY$140,5,FALSE)</f>
        <v>0</v>
      </c>
      <c r="AU128" s="370">
        <f>+VLOOKUP(AP128,SharePoint!$BA$3:$BY$140,6,FALSE)</f>
        <v>0</v>
      </c>
      <c r="AV128" s="370">
        <f>+VLOOKUP(AP128,SharePoint!$BA$3:$BY$140,7,FALSE)</f>
        <v>3</v>
      </c>
      <c r="AW128" s="370">
        <f>+VLOOKUP(AP128,SharePoint!$BA$3:$BY$140,8,FALSE)</f>
        <v>0</v>
      </c>
      <c r="AX128" s="370">
        <f>+VLOOKUP(AP128,SharePoint!$BA$3:$BY$140,9,FALSE)</f>
        <v>0</v>
      </c>
      <c r="AY128" s="370">
        <f>+VLOOKUP(AP128,SharePoint!$BA$3:$BY$140,10,FALSE)</f>
        <v>3</v>
      </c>
      <c r="AZ128" s="370">
        <f>+VLOOKUP(AP128,SharePoint!$BA$3:$BY$140,11,FALSE)</f>
        <v>0</v>
      </c>
      <c r="BA128" s="370">
        <f>+VLOOKUP(AP128,SharePoint!$BA$3:$BY$140,12,FALSE)</f>
        <v>0</v>
      </c>
      <c r="BB128" s="370">
        <f>+VLOOKUP(AP128,SharePoint!$BA$3:$BY$140,13,FALSE)</f>
        <v>4</v>
      </c>
      <c r="BC128" s="226">
        <f>+VLOOKUP(AP128,SharePoint!$BA$3:$BY$140,14,FALSE)</f>
        <v>0</v>
      </c>
      <c r="BD128" s="226">
        <f>+VLOOKUP(AP128,SharePoint!$BA$3:$BY$140,15,FALSE)</f>
        <v>0</v>
      </c>
      <c r="BE128" s="226">
        <f>+VLOOKUP(AP128,SharePoint!$BA$3:$BY$140,16,FALSE)</f>
        <v>4</v>
      </c>
      <c r="BF128" s="226">
        <f>+VLOOKUP(AP128,SharePoint!$BA$3:$BY$140,17,FALSE)</f>
        <v>0</v>
      </c>
      <c r="BG128" s="226">
        <f>+VLOOKUP(AP128,SharePoint!$BA$3:$BY$140,18,FALSE)</f>
        <v>0</v>
      </c>
      <c r="BH128" s="226">
        <f>+VLOOKUP(AP128,SharePoint!$BA$3:$BY$140,19,FALSE)</f>
        <v>3</v>
      </c>
      <c r="BI128" s="226">
        <f>+VLOOKUP(AP128,SharePoint!$BA$3:$BY$140,20,FALSE)</f>
        <v>0</v>
      </c>
      <c r="BJ128" s="226">
        <f>+VLOOKUP(AP128,SharePoint!$BA$3:$BY$140,21,FALSE)</f>
        <v>0</v>
      </c>
      <c r="BK128" s="226">
        <f>+VLOOKUP(AP128,SharePoint!$BA$3:$BY$140,22,FALSE)</f>
        <v>3</v>
      </c>
      <c r="BL128" s="226">
        <f>+VLOOKUP(AP128,SharePoint!$BA$3:$BY$140,23,FALSE)</f>
        <v>0</v>
      </c>
      <c r="BM128" s="226">
        <f>+VLOOKUP(AP128,SharePoint!$BA$3:$BY$140,24,FALSE)</f>
        <v>0</v>
      </c>
      <c r="BN128" s="226">
        <f>+VLOOKUP(AP128,SharePoint!$BA$3:$BY$140,25,FALSE)</f>
        <v>4</v>
      </c>
      <c r="BO128" s="214" t="s">
        <v>873</v>
      </c>
      <c r="BP128" s="214" t="s">
        <v>873</v>
      </c>
      <c r="BQ128" s="215" t="s">
        <v>3094</v>
      </c>
      <c r="BR128" s="214" t="s">
        <v>873</v>
      </c>
      <c r="BS128" s="214" t="s">
        <v>873</v>
      </c>
      <c r="BT128" s="215" t="s">
        <v>3095</v>
      </c>
      <c r="BU128" s="214" t="s">
        <v>873</v>
      </c>
      <c r="BV128" s="214" t="s">
        <v>873</v>
      </c>
      <c r="BW128" s="214" t="s">
        <v>3139</v>
      </c>
      <c r="BX128" s="214" t="s">
        <v>875</v>
      </c>
      <c r="BY128" s="214" t="s">
        <v>875</v>
      </c>
      <c r="BZ128" s="214" t="s">
        <v>3366</v>
      </c>
      <c r="CA128" s="449">
        <v>2</v>
      </c>
      <c r="CB128" s="373" t="s">
        <v>3478</v>
      </c>
      <c r="CC128" s="359">
        <f t="shared" si="15"/>
        <v>14</v>
      </c>
      <c r="CD128" s="359">
        <f t="shared" si="16"/>
        <v>14</v>
      </c>
      <c r="CE128" s="343">
        <f t="shared" si="17"/>
        <v>1</v>
      </c>
      <c r="CF128" s="381">
        <f t="shared" si="28"/>
        <v>14</v>
      </c>
      <c r="CG128" s="327" t="s">
        <v>3509</v>
      </c>
      <c r="CH128" s="327" t="str">
        <f t="shared" si="18"/>
        <v>Numérica</v>
      </c>
      <c r="CI128" s="327"/>
      <c r="CJ128" s="381">
        <v>2</v>
      </c>
      <c r="CK128" s="378" t="str">
        <f t="shared" si="19"/>
        <v xml:space="preserve">Secretaria General </v>
      </c>
      <c r="CL128" s="378" t="str">
        <f t="shared" si="20"/>
        <v>Ejecución de cronograma de actividades para la implementación y sostenibilidad de la política Gestión Presupuestal y Eficiencia del Gasto Público</v>
      </c>
      <c r="CM128" s="378" t="str">
        <f t="shared" si="21"/>
        <v>Número de actividades ejecutadas para la implementación y sostenibilidad de la política Gestión Presupuestal y Eficiencia del Gasto Público</v>
      </c>
      <c r="CN128" s="390">
        <f t="shared" si="22"/>
        <v>14</v>
      </c>
      <c r="CO128" s="390">
        <f t="shared" si="23"/>
        <v>14</v>
      </c>
      <c r="CP128" s="387">
        <f t="shared" si="26"/>
        <v>1</v>
      </c>
      <c r="CQ128" s="379">
        <f t="shared" si="24"/>
        <v>14</v>
      </c>
      <c r="CR128" s="379" t="str">
        <f t="shared" si="25"/>
        <v>CUMPLIO</v>
      </c>
      <c r="DB128" s="381"/>
      <c r="DC128" s="381"/>
      <c r="DD128" s="381"/>
      <c r="DE128" s="381"/>
      <c r="DF128" s="381"/>
      <c r="DG128" s="381"/>
    </row>
    <row r="129" spans="1:111" s="83" customFormat="1" ht="127.5" customHeight="1" thickTop="1" thickBot="1">
      <c r="A129" s="83" t="s">
        <v>231</v>
      </c>
      <c r="B129" s="75" t="s">
        <v>151</v>
      </c>
      <c r="C129" s="75" t="s">
        <v>938</v>
      </c>
      <c r="D129" s="75" t="s">
        <v>903</v>
      </c>
      <c r="E129" s="75" t="s">
        <v>1321</v>
      </c>
      <c r="F129" s="75" t="s">
        <v>1553</v>
      </c>
      <c r="G129" s="75" t="s">
        <v>215</v>
      </c>
      <c r="H129" s="75" t="s">
        <v>860</v>
      </c>
      <c r="I129" s="76" t="s">
        <v>1129</v>
      </c>
      <c r="J129" s="76" t="s">
        <v>1130</v>
      </c>
      <c r="K129" s="76" t="s">
        <v>1554</v>
      </c>
      <c r="L129" s="76" t="s">
        <v>1555</v>
      </c>
      <c r="M129" s="76" t="s">
        <v>232</v>
      </c>
      <c r="N129" s="76" t="s">
        <v>231</v>
      </c>
      <c r="O129" s="76" t="s">
        <v>233</v>
      </c>
      <c r="P129" s="75" t="s">
        <v>234</v>
      </c>
      <c r="Q129" s="75" t="s">
        <v>1558</v>
      </c>
      <c r="R129" s="75" t="s">
        <v>1559</v>
      </c>
      <c r="S129" s="75" t="s">
        <v>1560</v>
      </c>
      <c r="T129" s="76" t="s">
        <v>884</v>
      </c>
      <c r="U129" s="76" t="s">
        <v>871</v>
      </c>
      <c r="V129" s="76" t="s">
        <v>872</v>
      </c>
      <c r="W129" s="78">
        <v>0.9</v>
      </c>
      <c r="X129" s="300">
        <v>0.9</v>
      </c>
      <c r="Y129" s="77"/>
      <c r="Z129" s="77"/>
      <c r="AA129" s="78">
        <v>0.2</v>
      </c>
      <c r="AB129" s="77"/>
      <c r="AC129" s="77"/>
      <c r="AD129" s="78">
        <v>0.4</v>
      </c>
      <c r="AE129" s="77"/>
      <c r="AF129" s="77"/>
      <c r="AG129" s="78">
        <v>0.6</v>
      </c>
      <c r="AH129" s="77"/>
      <c r="AI129" s="77"/>
      <c r="AJ129" s="78">
        <v>0.9</v>
      </c>
      <c r="AK129" s="76" t="s">
        <v>873</v>
      </c>
      <c r="AL129" s="76" t="s">
        <v>873</v>
      </c>
      <c r="AM129" s="76" t="s">
        <v>873</v>
      </c>
      <c r="AN129" s="76" t="s">
        <v>873</v>
      </c>
      <c r="AO129" s="76" t="s">
        <v>1435</v>
      </c>
      <c r="AP129" s="82" t="s">
        <v>231</v>
      </c>
      <c r="AQ129" s="370">
        <f>+VLOOKUP(AP129,SharePoint!$BA$3:$BY$140,2,FALSE)</f>
        <v>0</v>
      </c>
      <c r="AR129" s="370">
        <f>+VLOOKUP(AP129,SharePoint!$BA$3:$BY$140,3,FALSE)</f>
        <v>0</v>
      </c>
      <c r="AS129" s="370">
        <f>+VLOOKUP(AP129,SharePoint!$BA$3:$BY$140,4,FALSE)</f>
        <v>96859043620</v>
      </c>
      <c r="AT129" s="370">
        <f>+VLOOKUP(AP129,SharePoint!$BA$3:$BY$140,5,FALSE)</f>
        <v>0</v>
      </c>
      <c r="AU129" s="370">
        <f>+VLOOKUP(AP129,SharePoint!$BA$3:$BY$140,6,FALSE)</f>
        <v>0</v>
      </c>
      <c r="AV129" s="370">
        <f>+VLOOKUP(AP129,SharePoint!$BA$3:$BY$140,7,FALSE)</f>
        <v>149357146852</v>
      </c>
      <c r="AW129" s="370">
        <f>+VLOOKUP(AP129,SharePoint!$BA$3:$BY$140,8,FALSE)</f>
        <v>0</v>
      </c>
      <c r="AX129" s="370">
        <f>+VLOOKUP(AP129,SharePoint!$BA$3:$BY$140,9,FALSE)</f>
        <v>0</v>
      </c>
      <c r="AY129" s="370">
        <f>+VLOOKUP(AP129,SharePoint!$BA$3:$BY$140,10,FALSE)</f>
        <v>229777018957</v>
      </c>
      <c r="AZ129" s="370">
        <f>+VLOOKUP(AP129,SharePoint!$BA$3:$BY$140,11,FALSE)</f>
        <v>0</v>
      </c>
      <c r="BA129" s="370">
        <f>+VLOOKUP(AP129,SharePoint!$BA$3:$BY$140,12,FALSE)</f>
        <v>0</v>
      </c>
      <c r="BB129" s="370">
        <f>+VLOOKUP(AP129,SharePoint!$BA$3:$BY$140,13,FALSE)</f>
        <v>315358112464</v>
      </c>
      <c r="BC129" s="226">
        <f>+VLOOKUP(AP129,SharePoint!$BA$3:$BY$140,14,FALSE)</f>
        <v>0</v>
      </c>
      <c r="BD129" s="226">
        <f>+VLOOKUP(AP129,SharePoint!$BA$3:$BY$140,15,FALSE)</f>
        <v>0</v>
      </c>
      <c r="BE129" s="226">
        <f>+VLOOKUP(AP129,SharePoint!$BA$3:$BY$140,16,FALSE)</f>
        <v>326211744691</v>
      </c>
      <c r="BF129" s="226">
        <f>+VLOOKUP(AP129,SharePoint!$BA$3:$BY$140,17,FALSE)</f>
        <v>0</v>
      </c>
      <c r="BG129" s="226">
        <f>+VLOOKUP(AP129,SharePoint!$BA$3:$BY$140,18,FALSE)</f>
        <v>0</v>
      </c>
      <c r="BH129" s="226">
        <f>+VLOOKUP(AP129,SharePoint!$BA$3:$BY$140,19,FALSE)</f>
        <v>326211744691</v>
      </c>
      <c r="BI129" s="226">
        <f>+VLOOKUP(AP129,SharePoint!$BA$3:$BY$140,20,FALSE)</f>
        <v>0</v>
      </c>
      <c r="BJ129" s="226">
        <f>+VLOOKUP(AP129,SharePoint!$BA$3:$BY$140,21,FALSE)</f>
        <v>0</v>
      </c>
      <c r="BK129" s="226">
        <f>+VLOOKUP(AP129,SharePoint!$BA$3:$BY$140,22,FALSE)</f>
        <v>326211744691</v>
      </c>
      <c r="BL129" s="226">
        <f>+VLOOKUP(AP129,SharePoint!$BA$3:$BY$140,23,FALSE)</f>
        <v>0</v>
      </c>
      <c r="BM129" s="226">
        <f>+VLOOKUP(AP129,SharePoint!$BA$3:$BY$140,24,FALSE)</f>
        <v>0</v>
      </c>
      <c r="BN129" s="226">
        <f>+VLOOKUP(AP129,SharePoint!$BA$3:$BY$140,25,FALSE)</f>
        <v>316593914285</v>
      </c>
      <c r="BO129" s="214" t="s">
        <v>873</v>
      </c>
      <c r="BP129" s="214" t="s">
        <v>873</v>
      </c>
      <c r="BQ129" s="215" t="s">
        <v>3096</v>
      </c>
      <c r="BR129" s="214" t="s">
        <v>873</v>
      </c>
      <c r="BS129" s="214" t="s">
        <v>873</v>
      </c>
      <c r="BT129" s="215" t="s">
        <v>3097</v>
      </c>
      <c r="BU129" s="214" t="s">
        <v>873</v>
      </c>
      <c r="BV129" s="214" t="s">
        <v>873</v>
      </c>
      <c r="BW129" s="214" t="s">
        <v>3138</v>
      </c>
      <c r="BX129" s="214" t="s">
        <v>875</v>
      </c>
      <c r="BY129" s="214" t="s">
        <v>875</v>
      </c>
      <c r="BZ129" s="345" t="s">
        <v>3367</v>
      </c>
      <c r="CA129" s="449">
        <v>1</v>
      </c>
      <c r="CB129" s="420" t="s">
        <v>3476</v>
      </c>
      <c r="CC129" s="328">
        <v>315358112464</v>
      </c>
      <c r="CD129" s="328">
        <v>316593914285</v>
      </c>
      <c r="CE129" s="397">
        <f>+CC129/CD129</f>
        <v>0.99609657114290728</v>
      </c>
      <c r="CF129" s="382">
        <f t="shared" si="28"/>
        <v>0.9</v>
      </c>
      <c r="CG129" s="327" t="s">
        <v>3510</v>
      </c>
      <c r="CH129" s="327" t="str">
        <f t="shared" si="18"/>
        <v xml:space="preserve">Porcentual </v>
      </c>
      <c r="CI129" s="327"/>
      <c r="CJ129" s="381">
        <v>3</v>
      </c>
      <c r="CK129" s="376" t="str">
        <f t="shared" si="19"/>
        <v xml:space="preserve">Secretaria General </v>
      </c>
      <c r="CL129" s="376" t="str">
        <f t="shared" si="20"/>
        <v>Ejecución total del presupuesto en Compromisos</v>
      </c>
      <c r="CM129" s="376" t="str">
        <f t="shared" si="21"/>
        <v>(Compromisos total / Apropiación total final)*100</v>
      </c>
      <c r="CN129" s="389">
        <f t="shared" si="22"/>
        <v>315358112464</v>
      </c>
      <c r="CO129" s="389">
        <f t="shared" si="23"/>
        <v>316593914285</v>
      </c>
      <c r="CP129" s="388">
        <f t="shared" si="26"/>
        <v>0.99609657114290728</v>
      </c>
      <c r="CQ129" s="377">
        <f t="shared" si="24"/>
        <v>0.9</v>
      </c>
      <c r="CR129" s="377" t="str">
        <f t="shared" si="25"/>
        <v>SOBRECUMPLIO</v>
      </c>
      <c r="DB129" s="381"/>
      <c r="DC129" s="381"/>
      <c r="DD129" s="381"/>
      <c r="DE129" s="381"/>
      <c r="DF129" s="381"/>
      <c r="DG129" s="381"/>
    </row>
    <row r="130" spans="1:111" s="83" customFormat="1" ht="127.5" customHeight="1" thickTop="1" thickBot="1">
      <c r="A130" s="83" t="s">
        <v>216</v>
      </c>
      <c r="B130" s="75" t="s">
        <v>151</v>
      </c>
      <c r="C130" s="75" t="s">
        <v>938</v>
      </c>
      <c r="D130" s="75" t="s">
        <v>903</v>
      </c>
      <c r="E130" s="75" t="s">
        <v>1321</v>
      </c>
      <c r="F130" s="75" t="s">
        <v>1553</v>
      </c>
      <c r="G130" s="75" t="s">
        <v>215</v>
      </c>
      <c r="H130" s="75" t="s">
        <v>860</v>
      </c>
      <c r="I130" s="76" t="s">
        <v>1129</v>
      </c>
      <c r="J130" s="76" t="s">
        <v>1130</v>
      </c>
      <c r="K130" s="76" t="s">
        <v>1554</v>
      </c>
      <c r="L130" s="76" t="s">
        <v>1555</v>
      </c>
      <c r="M130" s="76" t="s">
        <v>217</v>
      </c>
      <c r="N130" s="76" t="s">
        <v>216</v>
      </c>
      <c r="O130" s="76" t="s">
        <v>1561</v>
      </c>
      <c r="P130" s="75" t="s">
        <v>219</v>
      </c>
      <c r="Q130" s="75" t="s">
        <v>1562</v>
      </c>
      <c r="R130" s="75" t="s">
        <v>1563</v>
      </c>
      <c r="S130" s="75" t="s">
        <v>1564</v>
      </c>
      <c r="T130" s="76" t="s">
        <v>892</v>
      </c>
      <c r="U130" s="76" t="s">
        <v>871</v>
      </c>
      <c r="V130" s="76" t="s">
        <v>914</v>
      </c>
      <c r="W130" s="78">
        <v>1</v>
      </c>
      <c r="X130" s="302">
        <v>1</v>
      </c>
      <c r="Y130" s="79">
        <v>1</v>
      </c>
      <c r="Z130" s="79">
        <v>1</v>
      </c>
      <c r="AA130" s="79">
        <v>1</v>
      </c>
      <c r="AB130" s="79">
        <v>1</v>
      </c>
      <c r="AC130" s="79">
        <v>1</v>
      </c>
      <c r="AD130" s="79">
        <v>1</v>
      </c>
      <c r="AE130" s="79">
        <v>1</v>
      </c>
      <c r="AF130" s="79">
        <v>1</v>
      </c>
      <c r="AG130" s="79">
        <v>1</v>
      </c>
      <c r="AH130" s="79">
        <v>1</v>
      </c>
      <c r="AI130" s="79">
        <v>1</v>
      </c>
      <c r="AJ130" s="79">
        <v>1</v>
      </c>
      <c r="AK130" s="76" t="s">
        <v>873</v>
      </c>
      <c r="AL130" s="76" t="s">
        <v>873</v>
      </c>
      <c r="AM130" s="76" t="s">
        <v>873</v>
      </c>
      <c r="AN130" s="76" t="s">
        <v>873</v>
      </c>
      <c r="AO130" s="76" t="s">
        <v>1435</v>
      </c>
      <c r="AP130" s="82" t="s">
        <v>216</v>
      </c>
      <c r="AQ130" s="370">
        <f>+VLOOKUP(AP130,SharePoint!$BA$3:$BY$140,2,FALSE)</f>
        <v>42</v>
      </c>
      <c r="AR130" s="370">
        <f>+VLOOKUP(AP130,SharePoint!$BA$3:$BY$140,3,FALSE)</f>
        <v>129</v>
      </c>
      <c r="AS130" s="370">
        <f>+VLOOKUP(AP130,SharePoint!$BA$3:$BY$140,4,FALSE)</f>
        <v>122</v>
      </c>
      <c r="AT130" s="370">
        <f>+VLOOKUP(AP130,SharePoint!$BA$3:$BY$140,5,FALSE)</f>
        <v>146</v>
      </c>
      <c r="AU130" s="370">
        <f>+VLOOKUP(AP130,SharePoint!$BA$3:$BY$140,6,FALSE)</f>
        <v>140</v>
      </c>
      <c r="AV130" s="370">
        <f>+VLOOKUP(AP130,SharePoint!$BA$3:$BY$140,7,FALSE)</f>
        <v>423</v>
      </c>
      <c r="AW130" s="370">
        <f>+VLOOKUP(AP130,SharePoint!$BA$3:$BY$140,8,FALSE)</f>
        <v>211</v>
      </c>
      <c r="AX130" s="370">
        <f>+VLOOKUP(AP130,SharePoint!$BA$3:$BY$140,9,FALSE)</f>
        <v>203</v>
      </c>
      <c r="AY130" s="370">
        <f>+VLOOKUP(AP130,SharePoint!$BA$3:$BY$140,10,FALSE)</f>
        <v>436</v>
      </c>
      <c r="AZ130" s="370">
        <f>+VLOOKUP(AP130,SharePoint!$BA$3:$BY$140,11,FALSE)</f>
        <v>259</v>
      </c>
      <c r="BA130" s="370">
        <f>+VLOOKUP(AP130,SharePoint!$BA$3:$BY$140,12,FALSE)</f>
        <v>302</v>
      </c>
      <c r="BB130" s="370">
        <f>+VLOOKUP(AP130,SharePoint!$BA$3:$BY$140,13,FALSE)</f>
        <v>829</v>
      </c>
      <c r="BC130" s="226">
        <f>+VLOOKUP(AP130,SharePoint!$BA$3:$BY$140,14,FALSE)</f>
        <v>42</v>
      </c>
      <c r="BD130" s="226">
        <f>+VLOOKUP(AP130,SharePoint!$BA$3:$BY$140,15,FALSE)</f>
        <v>129</v>
      </c>
      <c r="BE130" s="226">
        <f>+VLOOKUP(AP130,SharePoint!$BA$3:$BY$140,16,FALSE)</f>
        <v>122</v>
      </c>
      <c r="BF130" s="226">
        <f>+VLOOKUP(AP130,SharePoint!$BA$3:$BY$140,17,FALSE)</f>
        <v>146</v>
      </c>
      <c r="BG130" s="344">
        <v>140</v>
      </c>
      <c r="BH130" s="226">
        <f>+VLOOKUP(AP130,SharePoint!$BA$3:$BY$140,19,FALSE)</f>
        <v>423</v>
      </c>
      <c r="BI130" s="226">
        <f>+VLOOKUP(AP130,SharePoint!$BA$3:$BY$140,20,FALSE)</f>
        <v>211</v>
      </c>
      <c r="BJ130" s="226">
        <f>+VLOOKUP(AP130,SharePoint!$BA$3:$BY$140,21,FALSE)</f>
        <v>203</v>
      </c>
      <c r="BK130" s="226">
        <f>+VLOOKUP(AP130,SharePoint!$BA$3:$BY$140,22,FALSE)</f>
        <v>436</v>
      </c>
      <c r="BL130" s="226">
        <f>+VLOOKUP(AP130,SharePoint!$BA$3:$BY$140,23,FALSE)</f>
        <v>259</v>
      </c>
      <c r="BM130" s="226">
        <f>+VLOOKUP(AP130,SharePoint!$BA$3:$BY$140,24,FALSE)</f>
        <v>302</v>
      </c>
      <c r="BN130" s="226">
        <f>+VLOOKUP(AP130,SharePoint!$BA$3:$BY$140,25,FALSE)</f>
        <v>829</v>
      </c>
      <c r="BO130" s="215" t="s">
        <v>220</v>
      </c>
      <c r="BP130" s="215" t="s">
        <v>222</v>
      </c>
      <c r="BQ130" s="215" t="s">
        <v>224</v>
      </c>
      <c r="BR130" s="215" t="s">
        <v>558</v>
      </c>
      <c r="BS130" s="214" t="s">
        <v>3098</v>
      </c>
      <c r="BT130" s="215" t="s">
        <v>742</v>
      </c>
      <c r="BU130" s="214" t="s">
        <v>2909</v>
      </c>
      <c r="BV130" s="214" t="s">
        <v>2910</v>
      </c>
      <c r="BW130" s="214" t="s">
        <v>2926</v>
      </c>
      <c r="BX130" s="214" t="s">
        <v>3297</v>
      </c>
      <c r="BY130" s="214" t="s">
        <v>875</v>
      </c>
      <c r="BZ130" s="214" t="s">
        <v>3477</v>
      </c>
      <c r="CA130" s="449">
        <v>1</v>
      </c>
      <c r="CB130" s="373" t="s">
        <v>3494</v>
      </c>
      <c r="CC130" s="359">
        <f t="shared" si="15"/>
        <v>3242</v>
      </c>
      <c r="CD130" s="359">
        <f t="shared" si="16"/>
        <v>3242</v>
      </c>
      <c r="CE130" s="382">
        <f t="shared" si="17"/>
        <v>1</v>
      </c>
      <c r="CF130" s="382">
        <f t="shared" si="28"/>
        <v>1</v>
      </c>
      <c r="CG130" s="327" t="s">
        <v>3509</v>
      </c>
      <c r="CH130" s="327" t="str">
        <f t="shared" si="18"/>
        <v xml:space="preserve">Porcentual </v>
      </c>
      <c r="CI130" s="327"/>
      <c r="CJ130" s="381">
        <v>4</v>
      </c>
      <c r="CK130" s="378" t="str">
        <f t="shared" si="19"/>
        <v xml:space="preserve">Secretaria General </v>
      </c>
      <c r="CL130" s="378" t="str">
        <f t="shared" si="20"/>
        <v xml:space="preserve">Porcentaje en la oportunidad en la gestión de pagos. </v>
      </c>
      <c r="CM130" s="378" t="str">
        <f t="shared" si="21"/>
        <v>Número de cuentas gestionadas en termino igual o menor a 5 días / Numero de cuentas recibidas para pago en el mes</v>
      </c>
      <c r="CN130" s="390">
        <f t="shared" si="22"/>
        <v>3242</v>
      </c>
      <c r="CO130" s="390">
        <f t="shared" si="23"/>
        <v>3242</v>
      </c>
      <c r="CP130" s="387">
        <f t="shared" si="26"/>
        <v>1</v>
      </c>
      <c r="CQ130" s="379">
        <f t="shared" si="24"/>
        <v>1</v>
      </c>
      <c r="CR130" s="379" t="str">
        <f t="shared" si="25"/>
        <v>CUMPLIO</v>
      </c>
      <c r="DB130" s="381"/>
      <c r="DC130" s="381"/>
      <c r="DD130" s="381"/>
      <c r="DE130" s="381"/>
      <c r="DF130" s="381"/>
      <c r="DG130" s="381"/>
    </row>
    <row r="131" spans="1:111" s="83" customFormat="1" ht="127.5" customHeight="1" thickTop="1" thickBot="1">
      <c r="A131" s="83" t="s">
        <v>459</v>
      </c>
      <c r="B131" s="75" t="s">
        <v>151</v>
      </c>
      <c r="C131" s="75" t="s">
        <v>938</v>
      </c>
      <c r="D131" s="75" t="s">
        <v>903</v>
      </c>
      <c r="E131" s="75" t="s">
        <v>1321</v>
      </c>
      <c r="F131" s="75" t="s">
        <v>1553</v>
      </c>
      <c r="G131" s="75" t="s">
        <v>215</v>
      </c>
      <c r="H131" s="75" t="s">
        <v>860</v>
      </c>
      <c r="I131" s="76" t="s">
        <v>1129</v>
      </c>
      <c r="J131" s="76" t="s">
        <v>1130</v>
      </c>
      <c r="K131" s="76" t="s">
        <v>1565</v>
      </c>
      <c r="L131" s="76" t="s">
        <v>1555</v>
      </c>
      <c r="M131" s="76" t="s">
        <v>552</v>
      </c>
      <c r="N131" s="76" t="s">
        <v>459</v>
      </c>
      <c r="O131" s="76" t="s">
        <v>553</v>
      </c>
      <c r="P131" s="75" t="s">
        <v>554</v>
      </c>
      <c r="Q131" s="75" t="s">
        <v>1566</v>
      </c>
      <c r="R131" s="75" t="s">
        <v>1567</v>
      </c>
      <c r="S131" s="75" t="s">
        <v>1568</v>
      </c>
      <c r="T131" s="76" t="s">
        <v>892</v>
      </c>
      <c r="U131" s="76" t="s">
        <v>871</v>
      </c>
      <c r="V131" s="76" t="s">
        <v>910</v>
      </c>
      <c r="W131" s="78">
        <v>1</v>
      </c>
      <c r="X131" s="300">
        <v>1</v>
      </c>
      <c r="Y131" s="76"/>
      <c r="Z131" s="76"/>
      <c r="AA131" s="76"/>
      <c r="AB131" s="79">
        <v>1</v>
      </c>
      <c r="AC131" s="76"/>
      <c r="AD131" s="76"/>
      <c r="AE131" s="76"/>
      <c r="AF131" s="79">
        <v>1</v>
      </c>
      <c r="AG131" s="76"/>
      <c r="AH131" s="76"/>
      <c r="AI131" s="76"/>
      <c r="AJ131" s="79">
        <v>1</v>
      </c>
      <c r="AK131" s="76" t="s">
        <v>873</v>
      </c>
      <c r="AL131" s="76" t="s">
        <v>873</v>
      </c>
      <c r="AM131" s="76" t="s">
        <v>873</v>
      </c>
      <c r="AN131" s="76" t="s">
        <v>873</v>
      </c>
      <c r="AO131" s="76" t="s">
        <v>1435</v>
      </c>
      <c r="AP131" s="82" t="s">
        <v>459</v>
      </c>
      <c r="AQ131" s="370">
        <f>+VLOOKUP(AP131,SharePoint!$BA$3:$BY$140,2,FALSE)</f>
        <v>0</v>
      </c>
      <c r="AR131" s="370">
        <f>+VLOOKUP(AP131,SharePoint!$BA$3:$BY$140,3,FALSE)</f>
        <v>0</v>
      </c>
      <c r="AS131" s="370">
        <f>+VLOOKUP(AP131,SharePoint!$BA$3:$BY$140,4,FALSE)</f>
        <v>0</v>
      </c>
      <c r="AT131" s="370">
        <f>+VLOOKUP(AP131,SharePoint!$BA$3:$BY$140,5,FALSE)</f>
        <v>11</v>
      </c>
      <c r="AU131" s="370">
        <f>+VLOOKUP(AP131,SharePoint!$BA$3:$BY$140,6,FALSE)</f>
        <v>0</v>
      </c>
      <c r="AV131" s="370">
        <f>+VLOOKUP(AP131,SharePoint!$BA$3:$BY$140,7,FALSE)</f>
        <v>0</v>
      </c>
      <c r="AW131" s="370">
        <f>+VLOOKUP(AP131,SharePoint!$BA$3:$BY$140,8,FALSE)</f>
        <v>0</v>
      </c>
      <c r="AX131" s="370">
        <f>+VLOOKUP(AP131,SharePoint!$BA$3:$BY$140,9,FALSE)</f>
        <v>25</v>
      </c>
      <c r="AY131" s="370">
        <f>+VLOOKUP(AP131,SharePoint!$BA$3:$BY$140,10,FALSE)</f>
        <v>0</v>
      </c>
      <c r="AZ131" s="370">
        <f>+VLOOKUP(AP131,SharePoint!$BA$3:$BY$140,11,FALSE)</f>
        <v>0</v>
      </c>
      <c r="BA131" s="370">
        <f>+VLOOKUP(AP131,SharePoint!$BA$3:$BY$140,12,FALSE)</f>
        <v>0</v>
      </c>
      <c r="BB131" s="370">
        <f>+VLOOKUP(AP131,SharePoint!$BA$3:$BY$140,13,FALSE)</f>
        <v>13</v>
      </c>
      <c r="BC131" s="226">
        <f>+VLOOKUP(AP131,SharePoint!$BA$3:$BY$140,14,FALSE)</f>
        <v>0</v>
      </c>
      <c r="BD131" s="226">
        <f>+VLOOKUP(AP131,SharePoint!$BA$3:$BY$140,15,FALSE)</f>
        <v>0</v>
      </c>
      <c r="BE131" s="226">
        <f>+VLOOKUP(AP131,SharePoint!$BA$3:$BY$140,16,FALSE)</f>
        <v>0</v>
      </c>
      <c r="BF131" s="226">
        <f>+VLOOKUP(AP131,SharePoint!$BA$3:$BY$140,17,FALSE)</f>
        <v>11</v>
      </c>
      <c r="BG131" s="226">
        <f>+VLOOKUP(AP131,SharePoint!$BA$3:$BY$140,18,FALSE)</f>
        <v>0</v>
      </c>
      <c r="BH131" s="226">
        <f>+VLOOKUP(AP131,SharePoint!$BA$3:$BY$140,19,FALSE)</f>
        <v>0</v>
      </c>
      <c r="BI131" s="226">
        <f>+VLOOKUP(AP131,SharePoint!$BA$3:$BY$140,20,FALSE)</f>
        <v>0</v>
      </c>
      <c r="BJ131" s="226">
        <f>+VLOOKUP(AP131,SharePoint!$BA$3:$BY$140,21,FALSE)</f>
        <v>25</v>
      </c>
      <c r="BK131" s="226">
        <f>+VLOOKUP(AP131,SharePoint!$BA$3:$BY$140,22,FALSE)</f>
        <v>0</v>
      </c>
      <c r="BL131" s="226">
        <f>+VLOOKUP(AP131,SharePoint!$BA$3:$BY$140,23,FALSE)</f>
        <v>0</v>
      </c>
      <c r="BM131" s="226">
        <f>+VLOOKUP(AP131,SharePoint!$BA$3:$BY$140,24,FALSE)</f>
        <v>0</v>
      </c>
      <c r="BN131" s="226">
        <f>+VLOOKUP(AP131,SharePoint!$BA$3:$BY$140,25,FALSE)</f>
        <v>13</v>
      </c>
      <c r="BO131" s="214" t="s">
        <v>873</v>
      </c>
      <c r="BP131" s="214" t="s">
        <v>873</v>
      </c>
      <c r="BQ131" s="214" t="s">
        <v>873</v>
      </c>
      <c r="BR131" s="215" t="s">
        <v>555</v>
      </c>
      <c r="BS131" s="214" t="s">
        <v>873</v>
      </c>
      <c r="BT131" s="214" t="s">
        <v>873</v>
      </c>
      <c r="BU131" s="214" t="s">
        <v>873</v>
      </c>
      <c r="BV131" s="214" t="s">
        <v>2911</v>
      </c>
      <c r="BW131" s="214" t="s">
        <v>873</v>
      </c>
      <c r="BX131" s="214" t="s">
        <v>875</v>
      </c>
      <c r="BY131" s="214" t="s">
        <v>875</v>
      </c>
      <c r="BZ131" s="214" t="s">
        <v>3328</v>
      </c>
      <c r="CA131" s="449">
        <v>1</v>
      </c>
      <c r="CB131" s="373" t="s">
        <v>3495</v>
      </c>
      <c r="CC131" s="359">
        <f t="shared" si="15"/>
        <v>49</v>
      </c>
      <c r="CD131" s="359">
        <f t="shared" si="16"/>
        <v>49</v>
      </c>
      <c r="CE131" s="382">
        <f t="shared" si="17"/>
        <v>1</v>
      </c>
      <c r="CF131" s="382">
        <f t="shared" si="28"/>
        <v>1</v>
      </c>
      <c r="CG131" s="327" t="s">
        <v>3509</v>
      </c>
      <c r="CH131" s="327" t="str">
        <f t="shared" si="18"/>
        <v xml:space="preserve">Porcentual </v>
      </c>
      <c r="CI131" s="327"/>
      <c r="CJ131" s="381">
        <v>5</v>
      </c>
      <c r="CK131" s="376" t="str">
        <f t="shared" si="19"/>
        <v xml:space="preserve">Secretaria General </v>
      </c>
      <c r="CL131" s="376" t="str">
        <f t="shared" si="20"/>
        <v>Porcentaje de solicitudes de excepciones al mandamiento de pagos y facilidades de pago.</v>
      </c>
      <c r="CM131" s="376" t="str">
        <f t="shared" si="21"/>
        <v>(número excepciones al mandamiento de pago y facilidades de pago resueltas oportunamente / número excepciones al mandamiento de pago y facilidades de pago solicitadas con cumplimiento de requisitos) *100.</v>
      </c>
      <c r="CN131" s="389">
        <f t="shared" si="22"/>
        <v>49</v>
      </c>
      <c r="CO131" s="389">
        <f t="shared" si="23"/>
        <v>49</v>
      </c>
      <c r="CP131" s="388">
        <f t="shared" si="26"/>
        <v>1</v>
      </c>
      <c r="CQ131" s="377">
        <f t="shared" si="24"/>
        <v>1</v>
      </c>
      <c r="CR131" s="377" t="str">
        <f t="shared" si="25"/>
        <v>CUMPLIO</v>
      </c>
      <c r="DB131" s="381"/>
      <c r="DC131" s="381"/>
      <c r="DD131" s="381"/>
      <c r="DE131" s="381"/>
      <c r="DF131" s="381"/>
      <c r="DG131" s="381"/>
    </row>
    <row r="132" spans="1:111" s="83" customFormat="1" ht="127.5" customHeight="1" thickTop="1" thickBot="1">
      <c r="A132" s="83" t="s">
        <v>465</v>
      </c>
      <c r="B132" s="75" t="s">
        <v>151</v>
      </c>
      <c r="C132" s="75" t="s">
        <v>938</v>
      </c>
      <c r="D132" s="75" t="s">
        <v>903</v>
      </c>
      <c r="E132" s="75" t="s">
        <v>1321</v>
      </c>
      <c r="F132" s="75" t="s">
        <v>1553</v>
      </c>
      <c r="G132" s="75" t="s">
        <v>215</v>
      </c>
      <c r="H132" s="75" t="s">
        <v>860</v>
      </c>
      <c r="I132" s="76" t="s">
        <v>1129</v>
      </c>
      <c r="J132" s="76" t="s">
        <v>1130</v>
      </c>
      <c r="K132" s="76" t="s">
        <v>1569</v>
      </c>
      <c r="L132" s="76" t="s">
        <v>1555</v>
      </c>
      <c r="M132" s="77" t="s">
        <v>559</v>
      </c>
      <c r="N132" s="76" t="s">
        <v>465</v>
      </c>
      <c r="O132" s="76" t="s">
        <v>1570</v>
      </c>
      <c r="P132" s="75" t="s">
        <v>1571</v>
      </c>
      <c r="Q132" s="75" t="s">
        <v>1572</v>
      </c>
      <c r="R132" s="75" t="s">
        <v>1573</v>
      </c>
      <c r="S132" s="75" t="s">
        <v>1568</v>
      </c>
      <c r="T132" s="76" t="s">
        <v>884</v>
      </c>
      <c r="U132" s="76" t="s">
        <v>871</v>
      </c>
      <c r="V132" s="76" t="s">
        <v>910</v>
      </c>
      <c r="W132" s="78">
        <v>1</v>
      </c>
      <c r="X132" s="300">
        <v>1</v>
      </c>
      <c r="Y132" s="76"/>
      <c r="Z132" s="76"/>
      <c r="AA132" s="76"/>
      <c r="AB132" s="79">
        <v>1</v>
      </c>
      <c r="AC132" s="76"/>
      <c r="AD132" s="76"/>
      <c r="AE132" s="76"/>
      <c r="AF132" s="79">
        <v>1</v>
      </c>
      <c r="AG132" s="76"/>
      <c r="AH132" s="76"/>
      <c r="AI132" s="76"/>
      <c r="AJ132" s="79">
        <v>1</v>
      </c>
      <c r="AK132" s="76" t="s">
        <v>873</v>
      </c>
      <c r="AL132" s="76" t="s">
        <v>873</v>
      </c>
      <c r="AM132" s="76" t="s">
        <v>873</v>
      </c>
      <c r="AN132" s="76" t="s">
        <v>873</v>
      </c>
      <c r="AO132" s="76" t="s">
        <v>1435</v>
      </c>
      <c r="AP132" s="82" t="s">
        <v>465</v>
      </c>
      <c r="AQ132" s="370">
        <f>+VLOOKUP(AP132,SharePoint!$BA$3:$BY$140,2,FALSE)</f>
        <v>0</v>
      </c>
      <c r="AR132" s="370">
        <f>+VLOOKUP(AP132,SharePoint!$BA$3:$BY$140,3,FALSE)</f>
        <v>0</v>
      </c>
      <c r="AS132" s="370">
        <f>+VLOOKUP(AP132,SharePoint!$BA$3:$BY$140,4,FALSE)</f>
        <v>0</v>
      </c>
      <c r="AT132" s="370">
        <f>+VLOOKUP(AP132,SharePoint!$BA$3:$BY$140,5,FALSE)</f>
        <v>8</v>
      </c>
      <c r="AU132" s="370">
        <f>+VLOOKUP(AP132,SharePoint!$BA$3:$BY$140,6,FALSE)</f>
        <v>0</v>
      </c>
      <c r="AV132" s="370">
        <f>+VLOOKUP(AP132,SharePoint!$BA$3:$BY$140,7,FALSE)</f>
        <v>0</v>
      </c>
      <c r="AW132" s="370">
        <f>+VLOOKUP(AP132,SharePoint!$BA$3:$BY$140,8,FALSE)</f>
        <v>0</v>
      </c>
      <c r="AX132" s="370">
        <f>+VLOOKUP(AP132,SharePoint!$BA$3:$BY$140,9,FALSE)</f>
        <v>15</v>
      </c>
      <c r="AY132" s="370">
        <f>+VLOOKUP(AP132,SharePoint!$BA$3:$BY$140,10,FALSE)</f>
        <v>0</v>
      </c>
      <c r="AZ132" s="370">
        <f>+VLOOKUP(AP132,SharePoint!$BA$3:$BY$140,11,FALSE)</f>
        <v>0</v>
      </c>
      <c r="BA132" s="370">
        <f>+VLOOKUP(AP132,SharePoint!$BA$3:$BY$140,12,FALSE)</f>
        <v>0</v>
      </c>
      <c r="BB132" s="370">
        <f>+VLOOKUP(AP132,SharePoint!$BA$3:$BY$140,13,FALSE)</f>
        <v>74</v>
      </c>
      <c r="BC132" s="226">
        <f>+VLOOKUP(AP132,SharePoint!$BA$3:$BY$140,14,FALSE)</f>
        <v>0</v>
      </c>
      <c r="BD132" s="226">
        <f>+VLOOKUP(AP132,SharePoint!$BA$3:$BY$140,15,FALSE)</f>
        <v>0</v>
      </c>
      <c r="BE132" s="226">
        <f>+VLOOKUP(AP132,SharePoint!$BA$3:$BY$140,16,FALSE)</f>
        <v>0</v>
      </c>
      <c r="BF132" s="226">
        <f>+VLOOKUP(AP132,SharePoint!$BA$3:$BY$140,17,FALSE)</f>
        <v>8</v>
      </c>
      <c r="BG132" s="226">
        <f>+VLOOKUP(AP132,SharePoint!$BA$3:$BY$140,18,FALSE)</f>
        <v>0</v>
      </c>
      <c r="BH132" s="226">
        <f>+VLOOKUP(AP132,SharePoint!$BA$3:$BY$140,19,FALSE)</f>
        <v>0</v>
      </c>
      <c r="BI132" s="226">
        <f>+VLOOKUP(AP132,SharePoint!$BA$3:$BY$140,20,FALSE)</f>
        <v>0</v>
      </c>
      <c r="BJ132" s="226">
        <f>+VLOOKUP(AP132,SharePoint!$BA$3:$BY$140,21,FALSE)</f>
        <v>15</v>
      </c>
      <c r="BK132" s="226">
        <f>+VLOOKUP(AP132,SharePoint!$BA$3:$BY$140,22,FALSE)</f>
        <v>0</v>
      </c>
      <c r="BL132" s="226">
        <f>+VLOOKUP(AP132,SharePoint!$BA$3:$BY$140,23,FALSE)</f>
        <v>0</v>
      </c>
      <c r="BM132" s="226">
        <f>+VLOOKUP(AP132,SharePoint!$BA$3:$BY$140,24,FALSE)</f>
        <v>0</v>
      </c>
      <c r="BN132" s="226">
        <f>+VLOOKUP(AP132,SharePoint!$BA$3:$BY$140,25,FALSE)</f>
        <v>74</v>
      </c>
      <c r="BO132" s="214" t="s">
        <v>873</v>
      </c>
      <c r="BP132" s="214" t="s">
        <v>873</v>
      </c>
      <c r="BQ132" s="214" t="s">
        <v>873</v>
      </c>
      <c r="BR132" s="215" t="s">
        <v>562</v>
      </c>
      <c r="BS132" s="214" t="s">
        <v>873</v>
      </c>
      <c r="BT132" s="214" t="s">
        <v>873</v>
      </c>
      <c r="BU132" s="214" t="s">
        <v>873</v>
      </c>
      <c r="BV132" s="214" t="s">
        <v>2912</v>
      </c>
      <c r="BW132" s="214" t="s">
        <v>873</v>
      </c>
      <c r="BX132" s="214" t="s">
        <v>875</v>
      </c>
      <c r="BY132" s="214" t="s">
        <v>875</v>
      </c>
      <c r="BZ132" s="214" t="s">
        <v>3370</v>
      </c>
      <c r="CA132" s="449">
        <v>1</v>
      </c>
      <c r="CB132" s="373" t="s">
        <v>3496</v>
      </c>
      <c r="CC132" s="359">
        <f t="shared" si="15"/>
        <v>97</v>
      </c>
      <c r="CD132" s="359">
        <f t="shared" si="16"/>
        <v>97</v>
      </c>
      <c r="CE132" s="382">
        <f t="shared" si="17"/>
        <v>1</v>
      </c>
      <c r="CF132" s="382">
        <f t="shared" si="28"/>
        <v>1</v>
      </c>
      <c r="CG132" s="327" t="s">
        <v>3509</v>
      </c>
      <c r="CH132" s="327" t="str">
        <f t="shared" si="18"/>
        <v xml:space="preserve">Porcentual </v>
      </c>
      <c r="CI132" s="327"/>
      <c r="CJ132" s="381">
        <v>1</v>
      </c>
      <c r="CK132" s="378" t="str">
        <f t="shared" si="19"/>
        <v xml:space="preserve">Secretaria General </v>
      </c>
      <c r="CL132" s="378" t="str">
        <f t="shared" si="20"/>
        <v xml:space="preserve">Porcentaje de conciliación de cartera y diferencias reciprocas de SNS con Entidades sin proceso concursal </v>
      </c>
      <c r="CM132" s="378" t="str">
        <f t="shared" si="21"/>
        <v>Total de Entidades conciliadas / total Entidades priorizadas de la cartera  y diferencias reciprocas reportadas al cierre del año inmediatamente anterior.</v>
      </c>
      <c r="CN132" s="390">
        <f t="shared" si="22"/>
        <v>97</v>
      </c>
      <c r="CO132" s="390">
        <f t="shared" si="23"/>
        <v>97</v>
      </c>
      <c r="CP132" s="387">
        <f t="shared" si="26"/>
        <v>1</v>
      </c>
      <c r="CQ132" s="379">
        <f t="shared" si="24"/>
        <v>1</v>
      </c>
      <c r="CR132" s="379" t="str">
        <f t="shared" si="25"/>
        <v>CUMPLIO</v>
      </c>
      <c r="DB132" s="415"/>
      <c r="DC132" s="415"/>
      <c r="DD132" s="415"/>
      <c r="DE132" s="415"/>
      <c r="DF132" s="415"/>
      <c r="DG132" s="415"/>
    </row>
    <row r="133" spans="1:111" s="83" customFormat="1" ht="127.5" customHeight="1" thickTop="1" thickBot="1">
      <c r="A133" s="83" t="s">
        <v>453</v>
      </c>
      <c r="B133" s="75" t="s">
        <v>151</v>
      </c>
      <c r="C133" s="75" t="s">
        <v>938</v>
      </c>
      <c r="D133" s="75" t="s">
        <v>903</v>
      </c>
      <c r="E133" s="75" t="s">
        <v>1321</v>
      </c>
      <c r="F133" s="75" t="s">
        <v>1553</v>
      </c>
      <c r="G133" s="75" t="s">
        <v>215</v>
      </c>
      <c r="H133" s="75" t="s">
        <v>886</v>
      </c>
      <c r="I133" s="76" t="s">
        <v>1129</v>
      </c>
      <c r="J133" s="76" t="s">
        <v>1130</v>
      </c>
      <c r="K133" s="76" t="s">
        <v>1569</v>
      </c>
      <c r="L133" s="76" t="s">
        <v>1555</v>
      </c>
      <c r="M133" s="77" t="s">
        <v>1574</v>
      </c>
      <c r="N133" s="76" t="s">
        <v>453</v>
      </c>
      <c r="O133" s="97" t="s">
        <v>1575</v>
      </c>
      <c r="P133" s="75" t="s">
        <v>753</v>
      </c>
      <c r="Q133" s="75" t="s">
        <v>2928</v>
      </c>
      <c r="R133" s="75" t="s">
        <v>2929</v>
      </c>
      <c r="S133" s="75" t="s">
        <v>1576</v>
      </c>
      <c r="T133" s="76" t="s">
        <v>884</v>
      </c>
      <c r="U133" s="76" t="s">
        <v>871</v>
      </c>
      <c r="V133" s="76" t="s">
        <v>988</v>
      </c>
      <c r="W133" s="79">
        <v>0</v>
      </c>
      <c r="X133" s="313">
        <v>1</v>
      </c>
      <c r="Y133" s="76"/>
      <c r="Z133" s="76"/>
      <c r="AA133" s="76"/>
      <c r="AB133" s="76"/>
      <c r="AC133" s="79"/>
      <c r="AD133" s="196">
        <v>0.05</v>
      </c>
      <c r="AE133" s="76"/>
      <c r="AF133" s="76"/>
      <c r="AG133" s="76"/>
      <c r="AH133" s="76"/>
      <c r="AI133" s="76"/>
      <c r="AJ133" s="196">
        <v>0.95</v>
      </c>
      <c r="AK133" s="76" t="s">
        <v>873</v>
      </c>
      <c r="AL133" s="76" t="s">
        <v>873</v>
      </c>
      <c r="AM133" s="76" t="s">
        <v>873</v>
      </c>
      <c r="AN133" s="76" t="s">
        <v>873</v>
      </c>
      <c r="AO133" s="76" t="s">
        <v>1435</v>
      </c>
      <c r="AP133" s="82" t="s">
        <v>453</v>
      </c>
      <c r="AQ133" s="370">
        <f>+VLOOKUP(AP133,SharePoint!$BA$3:$BY$140,2,FALSE)</f>
        <v>0</v>
      </c>
      <c r="AR133" s="370">
        <f>+VLOOKUP(AP133,SharePoint!$BA$3:$BY$140,3,FALSE)</f>
        <v>0</v>
      </c>
      <c r="AS133" s="370">
        <f>+VLOOKUP(AP133,SharePoint!$BA$3:$BY$140,4,FALSE)</f>
        <v>0</v>
      </c>
      <c r="AT133" s="370">
        <f>+VLOOKUP(AP133,SharePoint!$BA$3:$BY$140,5,FALSE)</f>
        <v>0</v>
      </c>
      <c r="AU133" s="370">
        <f>+VLOOKUP(AP133,SharePoint!$BA$3:$BY$140,6,FALSE)</f>
        <v>0</v>
      </c>
      <c r="AV133" s="370">
        <f>+VLOOKUP(AP133,SharePoint!$BA$3:$BY$140,7,FALSE)</f>
        <v>12912549248</v>
      </c>
      <c r="AW133" s="370">
        <f>+VLOOKUP(AP133,SharePoint!$BA$3:$BY$140,8,FALSE)</f>
        <v>0</v>
      </c>
      <c r="AX133" s="370">
        <f>+VLOOKUP(AP133,SharePoint!$BA$3:$BY$140,9,FALSE)</f>
        <v>0</v>
      </c>
      <c r="AY133" s="370">
        <f>+VLOOKUP(AP133,SharePoint!$BA$3:$BY$140,10,FALSE)</f>
        <v>0</v>
      </c>
      <c r="AZ133" s="370">
        <f>+VLOOKUP(AP133,SharePoint!$BA$3:$BY$140,11,FALSE)</f>
        <v>0</v>
      </c>
      <c r="BA133" s="370">
        <f>+VLOOKUP(AP133,SharePoint!$BA$3:$BY$140,12,FALSE)</f>
        <v>0</v>
      </c>
      <c r="BB133" s="370">
        <f>+VLOOKUP(AP133,SharePoint!$BA$3:$BY$140,13,FALSE)</f>
        <v>22676335912</v>
      </c>
      <c r="BC133" s="226">
        <f>+VLOOKUP(AP133,SharePoint!$BA$3:$BY$140,14,FALSE)</f>
        <v>0</v>
      </c>
      <c r="BD133" s="226">
        <f>+VLOOKUP(AP133,SharePoint!$BA$3:$BY$140,15,FALSE)</f>
        <v>0</v>
      </c>
      <c r="BE133" s="226">
        <f>+VLOOKUP(AP133,SharePoint!$BA$3:$BY$140,16,FALSE)</f>
        <v>0</v>
      </c>
      <c r="BF133" s="226">
        <f>+VLOOKUP(AP133,SharePoint!$BA$3:$BY$140,17,FALSE)</f>
        <v>0</v>
      </c>
      <c r="BG133" s="226">
        <f>+VLOOKUP(AP133,SharePoint!$BA$3:$BY$140,18,FALSE)</f>
        <v>0</v>
      </c>
      <c r="BH133" s="226">
        <f>+VLOOKUP(AP133,SharePoint!$BA$3:$BY$140,19,FALSE)</f>
        <v>26161920186</v>
      </c>
      <c r="BI133" s="226">
        <f>+VLOOKUP(AP133,SharePoint!$BA$3:$BY$140,20,FALSE)</f>
        <v>0</v>
      </c>
      <c r="BJ133" s="226">
        <f>+VLOOKUP(AP133,SharePoint!$BA$3:$BY$140,21,FALSE)</f>
        <v>0</v>
      </c>
      <c r="BK133" s="226">
        <f>+VLOOKUP(AP133,SharePoint!$BA$3:$BY$140,22,FALSE)</f>
        <v>0</v>
      </c>
      <c r="BL133" s="226">
        <f>+VLOOKUP(AP133,SharePoint!$BA$3:$BY$140,23,FALSE)</f>
        <v>0</v>
      </c>
      <c r="BM133" s="226">
        <f>+VLOOKUP(AP133,SharePoint!$BA$3:$BY$140,24,FALSE)</f>
        <v>0</v>
      </c>
      <c r="BN133" s="226">
        <f>+VLOOKUP(AP133,SharePoint!$BA$3:$BY$140,25,FALSE)</f>
        <v>26161920186</v>
      </c>
      <c r="BO133" s="214" t="s">
        <v>873</v>
      </c>
      <c r="BP133" s="214" t="s">
        <v>873</v>
      </c>
      <c r="BQ133" s="214" t="s">
        <v>873</v>
      </c>
      <c r="BR133" s="214" t="s">
        <v>873</v>
      </c>
      <c r="BS133" s="214" t="s">
        <v>873</v>
      </c>
      <c r="BT133" s="215" t="s">
        <v>754</v>
      </c>
      <c r="BU133" s="214" t="s">
        <v>873</v>
      </c>
      <c r="BV133" s="214" t="s">
        <v>873</v>
      </c>
      <c r="BW133" s="214" t="s">
        <v>873</v>
      </c>
      <c r="BX133" s="214" t="s">
        <v>875</v>
      </c>
      <c r="BY133" s="214" t="s">
        <v>875</v>
      </c>
      <c r="BZ133" s="214" t="s">
        <v>3369</v>
      </c>
      <c r="CA133" s="449">
        <v>1</v>
      </c>
      <c r="CB133" s="339" t="s">
        <v>3497</v>
      </c>
      <c r="CC133" s="328">
        <v>22676335912</v>
      </c>
      <c r="CD133" s="328">
        <v>26161920186</v>
      </c>
      <c r="CE133" s="382">
        <f>+CC133/CD133</f>
        <v>0.86676879031741572</v>
      </c>
      <c r="CF133" s="382">
        <f t="shared" si="28"/>
        <v>1</v>
      </c>
      <c r="CG133" s="327" t="s">
        <v>3511</v>
      </c>
      <c r="CH133" s="327" t="str">
        <f t="shared" si="18"/>
        <v xml:space="preserve">Porcentual </v>
      </c>
      <c r="CI133" s="327"/>
      <c r="CJ133" s="381">
        <v>2</v>
      </c>
      <c r="CK133" s="376" t="str">
        <f t="shared" si="19"/>
        <v xml:space="preserve">Secretaria General </v>
      </c>
      <c r="CL133" s="376" t="str">
        <f t="shared" si="20"/>
        <v xml:space="preserve">Porcentaje de recaudo de cartera, frente al valor total de la cartera cobrable. </v>
      </c>
      <c r="CM133" s="376" t="str">
        <f t="shared" si="21"/>
        <v>(valor total de la cartera clasificada como cobrable con corte al cierre de la vigencia anterior * 20) / 100</v>
      </c>
      <c r="CN133" s="389">
        <f t="shared" si="22"/>
        <v>22676335912</v>
      </c>
      <c r="CO133" s="389">
        <f t="shared" si="23"/>
        <v>26161920186</v>
      </c>
      <c r="CP133" s="388">
        <f t="shared" si="26"/>
        <v>0.86676879031741572</v>
      </c>
      <c r="CQ133" s="377">
        <f t="shared" si="24"/>
        <v>1</v>
      </c>
      <c r="CR133" s="377" t="str">
        <f t="shared" si="25"/>
        <v>INCUMPLIO</v>
      </c>
      <c r="DB133" s="415"/>
      <c r="DC133" s="415"/>
      <c r="DD133" s="415"/>
      <c r="DE133" s="415"/>
      <c r="DF133" s="415"/>
      <c r="DG133" s="415"/>
    </row>
    <row r="134" spans="1:111" ht="127.5" customHeight="1" thickTop="1" thickBot="1">
      <c r="CC134" s="359"/>
      <c r="CD134" s="359"/>
      <c r="CE134" s="343"/>
      <c r="CF134" s="327"/>
      <c r="CG134" s="327"/>
      <c r="CH134" s="327"/>
      <c r="CI134" s="327"/>
      <c r="CJ134" s="381">
        <v>3</v>
      </c>
      <c r="CR134" s="379"/>
    </row>
    <row r="135" spans="1:111" ht="127.5" customHeight="1">
      <c r="CC135" s="359"/>
      <c r="CD135" s="359"/>
      <c r="CE135" s="343"/>
      <c r="CF135" s="327"/>
      <c r="CG135" s="327"/>
      <c r="CH135" s="327"/>
      <c r="CI135" s="327"/>
      <c r="CJ135" s="381">
        <v>4</v>
      </c>
    </row>
    <row r="136" spans="1:111" ht="127.5" customHeight="1">
      <c r="CC136" s="359"/>
      <c r="CD136" s="359"/>
      <c r="CE136" s="343"/>
      <c r="CF136" s="327"/>
      <c r="CG136" s="327"/>
      <c r="CH136" s="327"/>
      <c r="CI136" s="327"/>
      <c r="CJ136" s="381">
        <v>5</v>
      </c>
    </row>
    <row r="137" spans="1:111" ht="127.5" customHeight="1">
      <c r="CC137" s="359"/>
      <c r="CD137" s="359"/>
      <c r="CE137" s="343"/>
      <c r="CF137" s="327"/>
      <c r="CG137" s="327"/>
      <c r="CH137" s="327"/>
      <c r="CI137" s="327"/>
      <c r="CJ137" s="381"/>
    </row>
    <row r="138" spans="1:111" ht="127.5" customHeight="1">
      <c r="CC138" s="359"/>
      <c r="CD138" s="359"/>
      <c r="CE138" s="343"/>
      <c r="CF138" s="327"/>
      <c r="CG138" s="327"/>
      <c r="CH138" s="327"/>
      <c r="CI138" s="327"/>
      <c r="CJ138" s="381"/>
    </row>
    <row r="139" spans="1:111" ht="127.5" customHeight="1">
      <c r="CC139" s="359"/>
      <c r="CD139" s="359"/>
      <c r="CE139" s="343"/>
      <c r="CF139" s="327"/>
      <c r="CG139" s="327"/>
      <c r="CH139" s="327"/>
      <c r="CI139" s="327"/>
      <c r="CJ139" s="381"/>
    </row>
    <row r="140" spans="1:111" ht="127.5" customHeight="1">
      <c r="CC140" s="359"/>
      <c r="CD140" s="359"/>
      <c r="CE140" s="343"/>
      <c r="CF140" s="327"/>
      <c r="CG140" s="327"/>
      <c r="CH140" s="327"/>
      <c r="CI140" s="327"/>
      <c r="CJ140" s="381"/>
    </row>
    <row r="141" spans="1:111" ht="127.5" customHeight="1">
      <c r="CE141" s="352"/>
    </row>
    <row r="142" spans="1:111" ht="127.5" customHeight="1">
      <c r="CE142" s="352"/>
    </row>
    <row r="143" spans="1:111" ht="127.5" customHeight="1">
      <c r="CE143" s="352"/>
    </row>
  </sheetData>
  <mergeCells count="18">
    <mergeCell ref="O3:R3"/>
    <mergeCell ref="S3:V3"/>
    <mergeCell ref="X3:AJ3"/>
    <mergeCell ref="AM3:AN3"/>
    <mergeCell ref="AK3:AK4"/>
    <mergeCell ref="AL3:AL4"/>
    <mergeCell ref="M3:M4"/>
    <mergeCell ref="B3:B4"/>
    <mergeCell ref="C3:C4"/>
    <mergeCell ref="D3:D4"/>
    <mergeCell ref="E3:E4"/>
    <mergeCell ref="F3:F4"/>
    <mergeCell ref="G3:G4"/>
    <mergeCell ref="H3:H4"/>
    <mergeCell ref="I3:I4"/>
    <mergeCell ref="J3:J4"/>
    <mergeCell ref="K3:K4"/>
    <mergeCell ref="L3:L4"/>
  </mergeCells>
  <phoneticPr fontId="44" type="noConversion"/>
  <conditionalFormatting sqref="A1:A1048576">
    <cfRule type="duplicateValues" dxfId="0" priority="4"/>
  </conditionalFormatting>
  <dataValidations count="13">
    <dataValidation type="list" allowBlank="1" showErrorMessage="1" sqref="AH22:AI23 AE22:AF23" xr:uid="{81877568-977E-4BD1-B0A1-E4A61C766D08}">
      <formula1>#REF!</formula1>
    </dataValidation>
    <dataValidation type="list" allowBlank="1" showInputMessage="1" showErrorMessage="1" sqref="AO5:AO86 AO88:AO133" xr:uid="{1348E03A-D79E-4A13-905B-3E1AF6AEA2A6}">
      <formula1>DEPENDENCIAS</formula1>
    </dataValidation>
    <dataValidation type="list" allowBlank="1" showInputMessage="1" showErrorMessage="1" sqref="B73:B74 B5:B41 B43:B57 B59:B70 B77:B84 B88:B133" xr:uid="{C01B9A40-C64D-4856-B864-62F002E5A487}">
      <formula1>ODS</formula1>
    </dataValidation>
    <dataValidation type="list" allowBlank="1" showInputMessage="1" showErrorMessage="1" sqref="AH31:AI32 AE31:AF32 AB31:AC32 Y31:Z32" xr:uid="{615474F9-2790-439B-8A59-A67B17EEF0EA}">
      <formula1>#REF!</formula1>
    </dataValidation>
    <dataValidation type="list" allowBlank="1" showInputMessage="1" showErrorMessage="1" sqref="G73:G74 G5:G41 G43:G57 G59:G70 G77:G84 F107:F111 G95:G133" xr:uid="{B432121E-884C-4ABD-B16B-52448B0418C7}">
      <formula1>OBI</formula1>
    </dataValidation>
    <dataValidation type="list" allowBlank="1" showInputMessage="1" showErrorMessage="1" sqref="T73:T74 T43:T70 T5:T41 T77:T84 T88:T133" xr:uid="{9089767B-07FF-4183-A8AE-2F3A91B41CC4}">
      <formula1>TIPO</formula1>
    </dataValidation>
    <dataValidation type="list" allowBlank="1" showInputMessage="1" showErrorMessage="1" sqref="C73:C74 C5:C23 C48:C57 C59:C70 C77:C85 C88:C133" xr:uid="{C586709B-E2F9-4BC9-999F-1519C66ED394}">
      <formula1>PND</formula1>
    </dataValidation>
    <dataValidation type="list" allowBlank="1" showInputMessage="1" showErrorMessage="1" sqref="U73 U43:U70 U5:U41 U77:U84 U88:U133" xr:uid="{257E665A-B730-4717-951C-72A48746042D}">
      <formula1>UM</formula1>
    </dataValidation>
    <dataValidation type="list" allowBlank="1" showInputMessage="1" showErrorMessage="1" sqref="AK90 AK60 AK116" xr:uid="{E66D57BC-CF8E-4950-9FE3-38A9BCF81F42}">
      <formula1>PI</formula1>
    </dataValidation>
    <dataValidation type="list" allowBlank="1" showInputMessage="1" showErrorMessage="1" sqref="W22:W23 V43:V45 V73:V74 V59:V70 V5:V41 V47:V57 V77:V84 V88:V133" xr:uid="{1F1D31D0-CCC2-4A10-B9AE-AE1C2E371D23}">
      <formula1>FRECU</formula1>
    </dataValidation>
    <dataValidation type="list" allowBlank="1" showInputMessage="1" showErrorMessage="1" sqref="H5:H41 H43:H133" xr:uid="{87CCC176-21A8-4B5C-9C83-669E61A15904}">
      <formula1>EES</formula1>
    </dataValidation>
    <dataValidation type="list" allowBlank="1" showInputMessage="1" showErrorMessage="1" sqref="F5:F41 F43:F57 F59:F84 F88:F133" xr:uid="{AE2F7EAD-53C4-4163-81EA-80ECC7812F32}">
      <formula1>P_MIPG</formula1>
    </dataValidation>
    <dataValidation type="list" allowBlank="1" showInputMessage="1" showErrorMessage="1" sqref="E5:E41 E43:E57 E59:E84 E88:E133" xr:uid="{FB30324C-B74F-4BB0-804A-39C8B37506FA}">
      <formula1>D_MIPG</formula1>
    </dataValidation>
  </dataValidations>
  <pageMargins left="0.7" right="0.7" top="0.75" bottom="0.75" header="0.3" footer="0.3"/>
  <ignoredErrors>
    <ignoredError sqref="CE116:CF118" unlockedFormula="1"/>
  </ignoredError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4C44D-E8C7-4B1D-B3A9-7D039B4F1B60}">
  <sheetPr codeName="Hoja29"/>
  <dimension ref="A1:Q67"/>
  <sheetViews>
    <sheetView view="pageBreakPreview" zoomScale="80" zoomScaleNormal="73" zoomScaleSheetLayoutView="80" zoomScalePageLayoutView="55" workbookViewId="0">
      <selection activeCell="S12" sqref="S12"/>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JURISDICCIONAL Y DE CONCILIACIÓN</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 xml:space="preserve">Porcentaje de demandas gestionadas en el semestre </v>
      </c>
      <c r="D6" s="711"/>
      <c r="E6" s="711"/>
      <c r="F6" s="711"/>
      <c r="G6" s="711"/>
      <c r="H6" s="711"/>
      <c r="I6" s="711"/>
      <c r="J6" s="711"/>
      <c r="K6" s="711"/>
      <c r="L6" s="711"/>
      <c r="M6" s="711"/>
      <c r="N6" s="711"/>
      <c r="O6" s="791"/>
      <c r="P6" s="128"/>
    </row>
    <row r="7" spans="1:17" ht="48.75" customHeight="1">
      <c r="A7" s="789" t="s">
        <v>10</v>
      </c>
      <c r="B7" s="790"/>
      <c r="C7" s="711" t="str">
        <f>VLOOKUP(L12,Reporte!A5:M133,10,FALSE)</f>
        <v>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v>
      </c>
      <c r="D7" s="711"/>
      <c r="E7" s="711"/>
      <c r="F7" s="711"/>
      <c r="G7" s="711"/>
      <c r="H7" s="711"/>
      <c r="I7" s="711"/>
      <c r="J7" s="711"/>
      <c r="K7" s="711"/>
      <c r="L7" s="711"/>
      <c r="M7" s="711"/>
      <c r="N7" s="711"/>
      <c r="O7" s="791"/>
      <c r="P7" s="128"/>
    </row>
    <row r="8" spans="1:17" ht="33" customHeight="1">
      <c r="A8" s="792" t="s">
        <v>1594</v>
      </c>
      <c r="B8" s="774"/>
      <c r="C8" s="711" t="str">
        <f>VLOOKUP(L12,Reporte!$A$5:$N$133,13,FALSE)</f>
        <v>Conocer y gestionar el proceso de Cobertura de servicios incluidos en el Plan de Beneficios de Salud - PBS, Cobertura de servicios NO incluidos en el PBS, Multiafiliación y Libre Elección y Movilidad conforme a la Ley 1949 de 2019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demandas gestionadas en el semestre </v>
      </c>
      <c r="D10" s="711"/>
      <c r="E10" s="711"/>
      <c r="F10" s="799" t="str">
        <f>VLOOKUP(L12,Reporte!$N$5:$BN$133,6,FALSE)</f>
        <v>Este indicador mide el número de procesos de Cobertura de servicios incluidos en el PBS, Cobertura de servicios NO incluidos en el PBS, Multiafiliación y Libre.</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Totalidad de las demandas radicadas en igual período</v>
      </c>
      <c r="D12" s="711"/>
      <c r="E12" s="711"/>
      <c r="F12" s="799"/>
      <c r="G12" s="799"/>
      <c r="H12" s="799"/>
      <c r="I12" s="799"/>
      <c r="J12" s="712" t="str">
        <f>VLOOKUP(L12,Reporte!$N$5:$BN$133,7,FALSE)</f>
        <v>Eficiencia</v>
      </c>
      <c r="K12" s="712"/>
      <c r="L12" s="713" t="s">
        <v>551</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Función Jurisdiccional y de Conciliación</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643</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531</v>
      </c>
      <c r="O22" s="133">
        <f>SUM(C22:N22)</f>
        <v>1174</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643</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531</v>
      </c>
      <c r="O23" s="133">
        <f>SUM(C23:N23)</f>
        <v>1174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​El número de demandas gestionadas en el semestre fueron de 643; la totalidad de las demandas radicadas en igual período fueron en total 643 y se gestionaron la totalidad , es decir el 100% y fueron a demanda regular en la Delegada.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​Area con mayor numero de estudios a desarrollar en demandas judiciales , pero con un equipo humano fortalecido en numero por una contratación de (02) profesionales en el segundo semestre del año que presto el apoyo para el logro de la meta. Es de comentar que se van a requerir mas profesionales ya que las demandas van en aumento por el reconocimiento en el sector de la DFJC como juez de la salud.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gestiono en su totalidad de 1174 demandas radicadas en el periodo de seguimiento, con cumplimiento de la meta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0CADD-F246-4FD2-AA3F-3F4ED4560D93}">
  <sheetPr codeName="Hoja3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JURISDICCIONAL Y DE CONCILIACIÓN</v>
      </c>
      <c r="D5" s="787"/>
      <c r="E5" s="787"/>
      <c r="F5" s="787"/>
      <c r="G5" s="787"/>
      <c r="H5" s="787"/>
      <c r="I5" s="787"/>
      <c r="J5" s="787"/>
      <c r="K5" s="787"/>
      <c r="L5" s="787"/>
      <c r="M5" s="787"/>
      <c r="N5" s="787"/>
      <c r="O5" s="788"/>
      <c r="P5" s="130"/>
      <c r="Q5" s="131"/>
    </row>
    <row r="6" spans="1:17" ht="28.5" customHeight="1">
      <c r="A6" s="789" t="s">
        <v>8</v>
      </c>
      <c r="B6" s="790"/>
      <c r="C6" s="711" t="str">
        <f>VLOOKUP(L12,Reporte!$N$5:$BN$133,2,FALSE)</f>
        <v>Socialización de las funciones jurisdiccional y de conciliación a los usuarios y actores del S.G.S.S.S.</v>
      </c>
      <c r="D6" s="711"/>
      <c r="E6" s="711"/>
      <c r="F6" s="711"/>
      <c r="G6" s="711"/>
      <c r="H6" s="711"/>
      <c r="I6" s="711"/>
      <c r="J6" s="711"/>
      <c r="K6" s="711"/>
      <c r="L6" s="711"/>
      <c r="M6" s="711"/>
      <c r="N6" s="711"/>
      <c r="O6" s="791"/>
      <c r="P6" s="128"/>
    </row>
    <row r="7" spans="1:17" ht="58.5" customHeight="1">
      <c r="A7" s="789" t="s">
        <v>10</v>
      </c>
      <c r="B7" s="790"/>
      <c r="C7" s="711" t="str">
        <f>VLOOKUP(L12,Reporte!A5:M133,10,FALSE)</f>
        <v>Fallar en derecho para garantizar el acceso a la salud y un eficiente flujo de recursos del Sistema General de Seguridad Social en Salud y actuar como ente conciliador, de oficio o a petición de parte, en los conflictos derivados de las obligaciones generadas en el Sistema General Seguridad Social en Salud.</v>
      </c>
      <c r="D7" s="711"/>
      <c r="E7" s="711"/>
      <c r="F7" s="711"/>
      <c r="G7" s="711"/>
      <c r="H7" s="711"/>
      <c r="I7" s="711"/>
      <c r="J7" s="711"/>
      <c r="K7" s="711"/>
      <c r="L7" s="711"/>
      <c r="M7" s="711"/>
      <c r="N7" s="711"/>
      <c r="O7" s="791"/>
      <c r="P7" s="128"/>
    </row>
    <row r="8" spans="1:17" ht="15.75">
      <c r="A8" s="792" t="s">
        <v>1594</v>
      </c>
      <c r="B8" s="774"/>
      <c r="C8" s="711" t="str">
        <f>VLOOKUP(L12,Reporte!$A$5:$N$133,13,FALSE)</f>
        <v>Realizar socialización de las funciones jurisdiccional y de conciliación a los usuarios y actores del S.G.S.S.S para el efectivo acceso a la justicia.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0" customHeight="1">
      <c r="A10" s="794"/>
      <c r="B10" s="795"/>
      <c r="C10" s="711" t="str">
        <f>VLOOKUP(L12,Reporte!$N$5:$BN$133,4,FALSE)</f>
        <v>Numero de socializaciones de las funciones jurisdiccional y de conciliación a los usuarios y actores del S.G.S.S.S.</v>
      </c>
      <c r="D10" s="711"/>
      <c r="E10" s="711"/>
      <c r="F10" s="799" t="str">
        <f>VLOOKUP(L12,Reporte!$N$5:$BN$133,6,FALSE)</f>
        <v>Este indicador mide el número de  socializaciones de las funciones jurisdiccional y de conciliación a los usuarios y actores del S.G.S.S.S.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556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10">
        <f>VLOOKUP(L12,Reporte!$N$5:$BN$133,11,FALSE)</f>
        <v>14</v>
      </c>
      <c r="D15" s="811"/>
      <c r="E15" s="812"/>
      <c r="F15" s="740" t="str">
        <f>VLOOKUP(L12,Reporte!$N$5:$BN$133,9,FALSE)</f>
        <v>Semestral</v>
      </c>
      <c r="G15" s="741"/>
      <c r="H15" s="707" t="s">
        <v>37</v>
      </c>
      <c r="I15" s="707"/>
      <c r="J15" s="746" t="s">
        <v>1595</v>
      </c>
      <c r="K15" s="747"/>
      <c r="L15" s="748"/>
      <c r="M15" s="775" t="str">
        <f>VLOOKUP(L12,Reporte!$N$5:$BN$133,28,FALSE)</f>
        <v>Delegatura Función Jurisdiccional y de Conciliación</v>
      </c>
      <c r="N15" s="776"/>
      <c r="O15" s="777"/>
      <c r="P15" s="128"/>
    </row>
    <row r="16" spans="1:17" ht="15.75">
      <c r="A16" s="730"/>
      <c r="B16" s="731"/>
      <c r="C16" s="813"/>
      <c r="D16" s="814"/>
      <c r="E16" s="815"/>
      <c r="F16" s="742"/>
      <c r="G16" s="743"/>
      <c r="H16" s="707" t="s">
        <v>40</v>
      </c>
      <c r="I16" s="707"/>
      <c r="J16" s="746" t="s">
        <v>1596</v>
      </c>
      <c r="K16" s="747"/>
      <c r="L16" s="748"/>
      <c r="M16" s="778"/>
      <c r="N16" s="779"/>
      <c r="O16" s="780"/>
      <c r="P16" s="128"/>
    </row>
    <row r="17" spans="1:17" ht="16.5" thickBot="1">
      <c r="A17" s="732"/>
      <c r="B17" s="733"/>
      <c r="C17" s="816"/>
      <c r="D17" s="817"/>
      <c r="E17" s="818"/>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7</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7</v>
      </c>
      <c r="O22" s="133">
        <f>SUM(C22:N22)</f>
        <v>14</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7</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7</v>
      </c>
      <c r="O23" s="133">
        <f>SUM(C23:N23)</f>
        <v>14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14</v>
      </c>
      <c r="D26" s="161">
        <f>+C26*0.98</f>
        <v>13.719999999999999</v>
      </c>
      <c r="E26" s="147"/>
      <c r="F26" s="147"/>
      <c r="G26" s="685"/>
      <c r="H26" s="685"/>
      <c r="I26" s="699"/>
      <c r="J26" s="699"/>
      <c r="K26" s="699"/>
      <c r="L26" s="685"/>
      <c r="M26" s="685"/>
      <c r="N26" s="685"/>
      <c r="O26" s="701"/>
      <c r="P26" s="148"/>
      <c r="Q26" s="149"/>
    </row>
    <row r="27" spans="1:17" s="127" customFormat="1" ht="15">
      <c r="A27" s="145" t="s">
        <v>95</v>
      </c>
      <c r="B27" s="161">
        <f>+D22</f>
        <v>0</v>
      </c>
      <c r="C27" s="161">
        <f>+C26</f>
        <v>14</v>
      </c>
      <c r="D27" s="161">
        <f>+D26</f>
        <v>13.719999999999999</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14</v>
      </c>
      <c r="D28" s="161">
        <f t="shared" si="0"/>
        <v>13.719999999999999</v>
      </c>
      <c r="E28" s="147"/>
      <c r="F28" s="147"/>
      <c r="G28" s="685"/>
      <c r="H28" s="685"/>
      <c r="I28" s="685"/>
      <c r="J28" s="685"/>
      <c r="K28" s="147"/>
      <c r="L28" s="685"/>
      <c r="M28" s="685"/>
      <c r="N28" s="685"/>
      <c r="O28" s="701"/>
      <c r="P28" s="148"/>
      <c r="Q28" s="149"/>
    </row>
    <row r="29" spans="1:17" s="127" customFormat="1" ht="15">
      <c r="A29" s="145" t="s">
        <v>97</v>
      </c>
      <c r="B29" s="161">
        <f>+F22</f>
        <v>0</v>
      </c>
      <c r="C29" s="161">
        <f t="shared" si="0"/>
        <v>14</v>
      </c>
      <c r="D29" s="161">
        <f t="shared" si="0"/>
        <v>13.719999999999999</v>
      </c>
      <c r="E29" s="147"/>
      <c r="F29" s="147"/>
      <c r="G29" s="685"/>
      <c r="H29" s="685"/>
      <c r="I29" s="685"/>
      <c r="J29" s="685"/>
      <c r="K29" s="147"/>
      <c r="L29" s="685"/>
      <c r="M29" s="685"/>
      <c r="N29" s="685"/>
      <c r="O29" s="701"/>
      <c r="P29" s="148"/>
      <c r="Q29" s="149"/>
    </row>
    <row r="30" spans="1:17" s="127" customFormat="1" ht="15">
      <c r="A30" s="145" t="s">
        <v>98</v>
      </c>
      <c r="B30" s="161">
        <f>+G22</f>
        <v>0</v>
      </c>
      <c r="C30" s="161">
        <f t="shared" si="0"/>
        <v>14</v>
      </c>
      <c r="D30" s="161">
        <f t="shared" si="0"/>
        <v>13.719999999999999</v>
      </c>
      <c r="E30" s="147"/>
      <c r="F30" s="147"/>
      <c r="G30" s="685"/>
      <c r="H30" s="685"/>
      <c r="I30" s="685"/>
      <c r="J30" s="685"/>
      <c r="K30" s="147"/>
      <c r="L30" s="685"/>
      <c r="M30" s="685"/>
      <c r="N30" s="685"/>
      <c r="O30" s="701"/>
      <c r="P30" s="148"/>
      <c r="Q30" s="149"/>
    </row>
    <row r="31" spans="1:17" s="127" customFormat="1" ht="15">
      <c r="A31" s="145" t="s">
        <v>99</v>
      </c>
      <c r="B31" s="161">
        <f>+H22</f>
        <v>7</v>
      </c>
      <c r="C31" s="161">
        <f t="shared" si="0"/>
        <v>14</v>
      </c>
      <c r="D31" s="161">
        <f t="shared" si="0"/>
        <v>13.719999999999999</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14</v>
      </c>
      <c r="D32" s="161">
        <f t="shared" si="0"/>
        <v>13.719999999999999</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14</v>
      </c>
      <c r="D33" s="161">
        <f t="shared" si="0"/>
        <v>13.719999999999999</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14</v>
      </c>
      <c r="D34" s="161">
        <f t="shared" si="0"/>
        <v>13.719999999999999</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14</v>
      </c>
      <c r="D35" s="161">
        <f t="shared" si="0"/>
        <v>13.719999999999999</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14</v>
      </c>
      <c r="D36" s="161">
        <f t="shared" si="0"/>
        <v>13.719999999999999</v>
      </c>
      <c r="E36" s="147"/>
      <c r="F36" s="147"/>
      <c r="G36" s="685"/>
      <c r="H36" s="685"/>
      <c r="I36" s="685"/>
      <c r="J36" s="685"/>
      <c r="K36" s="147"/>
      <c r="L36" s="685"/>
      <c r="M36" s="685"/>
      <c r="N36" s="685"/>
      <c r="O36" s="701"/>
      <c r="P36" s="148"/>
      <c r="Q36" s="149"/>
    </row>
    <row r="37" spans="1:17" s="127" customFormat="1" ht="15.75" thickBot="1">
      <c r="A37" s="150" t="s">
        <v>105</v>
      </c>
      <c r="B37" s="162">
        <f>+N22</f>
        <v>7</v>
      </c>
      <c r="C37" s="161">
        <f t="shared" si="0"/>
        <v>14</v>
      </c>
      <c r="D37" s="161">
        <f t="shared" si="0"/>
        <v>13.719999999999999</v>
      </c>
      <c r="E37" s="147"/>
      <c r="F37" s="147"/>
      <c r="G37" s="147"/>
      <c r="H37" s="147"/>
      <c r="I37" s="147"/>
      <c r="J37" s="147"/>
      <c r="K37" s="147"/>
      <c r="L37" s="685"/>
      <c r="M37" s="685"/>
      <c r="N37" s="685"/>
      <c r="O37" s="701"/>
      <c r="P37" s="148"/>
      <c r="Q37" s="149"/>
    </row>
    <row r="38" spans="1:17" s="127" customFormat="1" ht="15.75" thickBot="1">
      <c r="A38" s="152" t="s">
        <v>106</v>
      </c>
      <c r="B38" s="164">
        <f>+O22</f>
        <v>14</v>
      </c>
      <c r="C38" s="164">
        <f>+C37</f>
        <v>14</v>
      </c>
      <c r="D38" s="164">
        <f>+D37</f>
        <v>13.719999999999999</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​Se cumple con el numero de socializaciones de las funciones y actuvidades de la DFJC a los actores del SGSSS establecidas para el semestre , se anexan los informes , certificaciones y evidencias de asistencia tanto de los funcinarios como los actores del SGSSS.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25.25" customHeight="1" thickBot="1">
      <c r="A63" s="673" t="str">
        <f>VLOOKUP(L12,Reporte!$N$5:$BZ$133,65,FALSE)</f>
        <v xml:space="preserve">​Dentro de las actividades que realiza la Delegada en territorios en las acciones de prejornadas de conciliación , se realiza socialización de las funciones Jurisdiccional y actos conciliatorios con la normatividad que las ampara y asi se pondera de la mejor manera la presencia de la Supersalud con los actores del SGSSS involucrados en el proceso conciliatorio. Estas actividades de socializan siempre que se realizan las prejornadas y obviamente se refuerzan en las Jornadas Cociliatorias como parte de las actividades de dialogo con dichos actores.  Se anexa un informe realizado por al Coordinadora de Glosas de la Direccion Jurisdiccional donde ella siempre via teams o en su defecto con el apoyo del personal profesional de Conciliaciones realiza socializaciones de las funciones de la DFJC. Con la oferta de programas o campañas desconcentradas de promoción de derechos y acceso a la justicia en salud, se realizaron las prejornadas con el objetivo de cumplir con la finalidad del proceso y tambien con el fin de proteger y promover el cumplimiento igualitario de los derechos de las personas en el sistema general de salud, y el flujo adecuado de los recursos del SGSSS con oportunidad, eficiencia y equidad, en el marco de los conflictos derivados de las facturación en salud que presenten inconformidades ( Art.  de la Ley 1949 de 2019),  desplegando siempre la informacion para que los actores accedan a la función jurisdiccional donde se les explica a los asistentes los asuntos que conoce la función jurisdiccional, en especial la competencia consagrada en el literal f) de la Ley 1949 de 2019, cuando se suscita ese tipo deconflictos  y como se presenta la respectiva demanda ante el juez técnico de la salud.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las 14 socializaciones programadas, con cumplimiento la meta de establecida para 2025.No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D93CF-6DCE-4E32-B481-F1DDAED3AE44}">
  <sheetPr codeName="Hoja31"/>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TRÁMITES</v>
      </c>
      <c r="D5" s="787"/>
      <c r="E5" s="787"/>
      <c r="F5" s="787"/>
      <c r="G5" s="787"/>
      <c r="H5" s="787"/>
      <c r="I5" s="787"/>
      <c r="J5" s="787"/>
      <c r="K5" s="787"/>
      <c r="L5" s="787"/>
      <c r="M5" s="787"/>
      <c r="N5" s="787"/>
      <c r="O5" s="788"/>
      <c r="P5" s="130"/>
      <c r="Q5" s="131"/>
    </row>
    <row r="6" spans="1:17" ht="33" customHeight="1">
      <c r="A6" s="789" t="s">
        <v>8</v>
      </c>
      <c r="B6" s="790"/>
      <c r="C6" s="711" t="str">
        <f>VLOOKUP(L12,Reporte!$N$5:$BN$133,2,FALSE)</f>
        <v>Emitir los estudios de viabilidad o recomendación al Superintendente en 140 días o menos, a partir de la completitud de la información radicada por la entidad solicitante</v>
      </c>
      <c r="D6" s="711"/>
      <c r="E6" s="711"/>
      <c r="F6" s="711"/>
      <c r="G6" s="711"/>
      <c r="H6" s="711"/>
      <c r="I6" s="711"/>
      <c r="J6" s="711"/>
      <c r="K6" s="711"/>
      <c r="L6" s="711"/>
      <c r="M6" s="711"/>
      <c r="N6" s="711"/>
      <c r="O6" s="791"/>
      <c r="P6" s="128"/>
    </row>
    <row r="7" spans="1:17" ht="36.75" customHeight="1">
      <c r="A7" s="789" t="s">
        <v>10</v>
      </c>
      <c r="B7" s="790"/>
      <c r="C7" s="711" t="str">
        <f>VLOOKUP(L12,Reporte!A5:M133,10,FALSE)</f>
        <v>Gestionar y evaluar las solicitudes de los trámites presentados por las entidades vigiladas y por personas naturales y/o jurídicas, con el propósito de satisfacer las necesidades y expectativas de los grupos de valor y de interés de la Superintendencia Nacional de Salud</v>
      </c>
      <c r="D7" s="711"/>
      <c r="E7" s="711"/>
      <c r="F7" s="711"/>
      <c r="G7" s="711"/>
      <c r="H7" s="711"/>
      <c r="I7" s="711"/>
      <c r="J7" s="711"/>
      <c r="K7" s="711"/>
      <c r="L7" s="711"/>
      <c r="M7" s="711"/>
      <c r="N7" s="711"/>
      <c r="O7" s="791"/>
      <c r="P7" s="128"/>
    </row>
    <row r="8" spans="1:17" ht="15.75">
      <c r="A8" s="792" t="s">
        <v>1594</v>
      </c>
      <c r="B8" s="774"/>
      <c r="C8" s="711" t="str">
        <f>VLOOKUP(L12,Reporte!$A$5:$N$133,13,FALSE)</f>
        <v>Resolver o gestionar las solicitudes de los vigilados en los tiempos establecidos en el proceso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8.5" customHeight="1">
      <c r="A10" s="794"/>
      <c r="B10" s="795"/>
      <c r="C10" s="711" t="str">
        <f>VLOOKUP(L12,Reporte!$N$5:$BN$133,4,FALSE)</f>
        <v xml:space="preserve">Cantidad de trámites con estudio de viabilidad o recomendación gestionados en 140 días o menos  </v>
      </c>
      <c r="D10" s="711"/>
      <c r="E10" s="711"/>
      <c r="F10" s="799" t="str">
        <f>VLOOKUP(L12,Reporte!$N$5:$BN$133,6,FALSE)</f>
        <v>Este indicador mide el porcentaje lo estudios de viabilidad o recomendaciones de la informacion radicada.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Total de trámites gestionados en el periodo*100</v>
      </c>
      <c r="D12" s="711"/>
      <c r="E12" s="711"/>
      <c r="F12" s="799"/>
      <c r="G12" s="799"/>
      <c r="H12" s="799"/>
      <c r="I12" s="799"/>
      <c r="J12" s="712" t="str">
        <f>VLOOKUP(L12,Reporte!$N$5:$BN$133,7,FALSE)</f>
        <v>Eficiencia</v>
      </c>
      <c r="K12" s="712"/>
      <c r="L12" s="713" t="s">
        <v>366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0.85</v>
      </c>
      <c r="D15" s="735"/>
      <c r="E15" s="729"/>
      <c r="F15" s="740" t="str">
        <f>VLOOKUP(L12,Reporte!$N$5:$BN$133,9,FALSE)</f>
        <v>Trimestral</v>
      </c>
      <c r="G15" s="741"/>
      <c r="H15" s="707" t="s">
        <v>37</v>
      </c>
      <c r="I15" s="707"/>
      <c r="J15" s="746" t="s">
        <v>1595</v>
      </c>
      <c r="K15" s="747"/>
      <c r="L15" s="748"/>
      <c r="M15" s="775" t="str">
        <f>VLOOKUP(L12,Reporte!$N$5:$BN$133,28,FALSE)</f>
        <v>Delegatura Entidades Aseguramiento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12</v>
      </c>
      <c r="F22" s="139">
        <f>VLOOKUP(L12,Reporte!$N$5:$BN$133,33,FALSE)</f>
        <v>0</v>
      </c>
      <c r="G22" s="132">
        <f>VLOOKUP(L12,Reporte!$N$5:$BN$133,34,FALSE)</f>
        <v>0</v>
      </c>
      <c r="H22" s="139">
        <f>VLOOKUP(L12,Reporte!$N$5:$BN$133,35,FALSE)</f>
        <v>11</v>
      </c>
      <c r="I22" s="132">
        <f>VLOOKUP(L12,Reporte!$N$5:$BN$133,36,FALSE)</f>
        <v>0</v>
      </c>
      <c r="J22" s="139">
        <f>VLOOKUP(L12,Reporte!$N$5:$BN$133,37,FALSE)</f>
        <v>0</v>
      </c>
      <c r="K22" s="139">
        <f>VLOOKUP(L12,Reporte!$N$5:$BN$133,38,FALSE)</f>
        <v>19</v>
      </c>
      <c r="L22" s="139">
        <f>VLOOKUP(L12,Reporte!$N$5:$BN$133,39,FALSE)</f>
        <v>0</v>
      </c>
      <c r="M22" s="139">
        <f>VLOOKUP(L12,Reporte!$N$5:$BN$133,40,FALSE)</f>
        <v>0</v>
      </c>
      <c r="N22" s="133">
        <f>VLOOKUP(L12,Reporte!$N$5:$BN$133,41,FALSE)</f>
        <v>5</v>
      </c>
      <c r="O22" s="133">
        <f>SUM(C22:N22)</f>
        <v>47</v>
      </c>
      <c r="P22" s="128"/>
    </row>
    <row r="23" spans="1:17" ht="16.5" thickBot="1">
      <c r="A23" s="690" t="s">
        <v>76</v>
      </c>
      <c r="B23" s="691"/>
      <c r="C23" s="140">
        <f>VLOOKUP(L12,Reporte!$N$5:$BN$133,42,FALSE)</f>
        <v>0</v>
      </c>
      <c r="D23" s="140">
        <f>VLOOKUP(L12,Reporte!$N$5:$BN$133,43,FALSE)</f>
        <v>0</v>
      </c>
      <c r="E23" s="140">
        <f>VLOOKUP(L12,Reporte!$N$5:$BN$133,44,FALSE)</f>
        <v>14</v>
      </c>
      <c r="F23" s="140">
        <f>VLOOKUP(L12,Reporte!$N$5:$BN$133,45,FALSE)</f>
        <v>0</v>
      </c>
      <c r="G23" s="140">
        <f>VLOOKUP(L12,Reporte!$N$5:$BN$133,46,FALSE)</f>
        <v>0</v>
      </c>
      <c r="H23" s="140">
        <f>VLOOKUP(L12,Reporte!$N$5:$BN$133,47,FALSE)</f>
        <v>14</v>
      </c>
      <c r="I23" s="140">
        <f>VLOOKUP(L12,Reporte!$N$5:$BN$133,48,FALSE)</f>
        <v>0</v>
      </c>
      <c r="J23" s="140">
        <f>VLOOKUP(L12,Reporte!$N$5:$BN$133,49,FALSE)</f>
        <v>0</v>
      </c>
      <c r="K23" s="140">
        <f>VLOOKUP(L12,Reporte!$N$5:$BN$133,50,FALSE)</f>
        <v>21</v>
      </c>
      <c r="L23" s="140">
        <f>VLOOKUP(L12,Reporte!$N$5:$BN$133,51,FALSE)</f>
        <v>0</v>
      </c>
      <c r="M23" s="140">
        <f>VLOOKUP(L12,Reporte!$N$5:$BN$133,52,FALSE)</f>
        <v>0</v>
      </c>
      <c r="N23" s="141">
        <f>VLOOKUP(L12,Reporte!$N$5:$BN$133,53,FALSE)</f>
        <v>5</v>
      </c>
      <c r="O23" s="133">
        <f>SUM(C23:N23)</f>
        <v>54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0.85</v>
      </c>
      <c r="D26" s="146">
        <f>+C26*0.98</f>
        <v>0.83299999999999996</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0.85</v>
      </c>
      <c r="D27" s="146">
        <f>+D26</f>
        <v>0.83299999999999996</v>
      </c>
      <c r="E27" s="147"/>
      <c r="F27" s="147"/>
      <c r="G27" s="685"/>
      <c r="H27" s="685"/>
      <c r="I27" s="685"/>
      <c r="J27" s="685"/>
      <c r="K27" s="147"/>
      <c r="L27" s="685"/>
      <c r="M27" s="685"/>
      <c r="N27" s="685"/>
      <c r="O27" s="701"/>
      <c r="P27" s="148"/>
      <c r="Q27" s="149"/>
    </row>
    <row r="28" spans="1:17" s="127" customFormat="1" ht="15">
      <c r="A28" s="145" t="s">
        <v>96</v>
      </c>
      <c r="B28" s="146">
        <f>IF(ISERROR($E$22/$E$23),0,$E$22/$E$23)</f>
        <v>0.8571428571428571</v>
      </c>
      <c r="C28" s="146">
        <f t="shared" ref="C28:D37" si="0">+C27</f>
        <v>0.85</v>
      </c>
      <c r="D28" s="146">
        <f t="shared" si="0"/>
        <v>0.83299999999999996</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0.85</v>
      </c>
      <c r="D29" s="146">
        <f t="shared" si="0"/>
        <v>0.83299999999999996</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0.85</v>
      </c>
      <c r="D30" s="146">
        <f t="shared" si="0"/>
        <v>0.83299999999999996</v>
      </c>
      <c r="E30" s="147"/>
      <c r="F30" s="147"/>
      <c r="G30" s="685"/>
      <c r="H30" s="685"/>
      <c r="I30" s="685"/>
      <c r="J30" s="685"/>
      <c r="K30" s="147"/>
      <c r="L30" s="685"/>
      <c r="M30" s="685"/>
      <c r="N30" s="685"/>
      <c r="O30" s="701"/>
      <c r="P30" s="148"/>
      <c r="Q30" s="149"/>
    </row>
    <row r="31" spans="1:17" s="127" customFormat="1" ht="15">
      <c r="A31" s="145" t="s">
        <v>99</v>
      </c>
      <c r="B31" s="146">
        <f>IF(ISERROR($H$22/$H$23),0,$H$22/$H$23)</f>
        <v>0.7857142857142857</v>
      </c>
      <c r="C31" s="146">
        <f t="shared" si="0"/>
        <v>0.85</v>
      </c>
      <c r="D31" s="146">
        <f t="shared" si="0"/>
        <v>0.83299999999999996</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0.85</v>
      </c>
      <c r="D32" s="146">
        <f t="shared" si="0"/>
        <v>0.83299999999999996</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0.85</v>
      </c>
      <c r="D33" s="146">
        <f t="shared" si="0"/>
        <v>0.83299999999999996</v>
      </c>
      <c r="E33" s="147"/>
      <c r="F33" s="147"/>
      <c r="G33" s="685"/>
      <c r="H33" s="685"/>
      <c r="I33" s="685"/>
      <c r="J33" s="685"/>
      <c r="K33" s="147"/>
      <c r="L33" s="685"/>
      <c r="M33" s="685"/>
      <c r="N33" s="685"/>
      <c r="O33" s="701"/>
      <c r="P33" s="148"/>
      <c r="Q33" s="149"/>
    </row>
    <row r="34" spans="1:17" s="127" customFormat="1" ht="15">
      <c r="A34" s="145" t="s">
        <v>102</v>
      </c>
      <c r="B34" s="146">
        <f>IF(ISERROR($K$22/$K$23),0,$K$22/$K$23)</f>
        <v>0.90476190476190477</v>
      </c>
      <c r="C34" s="146">
        <f t="shared" si="0"/>
        <v>0.85</v>
      </c>
      <c r="D34" s="146">
        <f t="shared" si="0"/>
        <v>0.83299999999999996</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0.85</v>
      </c>
      <c r="D35" s="146">
        <f t="shared" si="0"/>
        <v>0.83299999999999996</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0.85</v>
      </c>
      <c r="D36" s="146">
        <f t="shared" si="0"/>
        <v>0.83299999999999996</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0.85</v>
      </c>
      <c r="D37" s="146">
        <f t="shared" si="0"/>
        <v>0.83299999999999996</v>
      </c>
      <c r="E37" s="147"/>
      <c r="F37" s="147"/>
      <c r="G37" s="147"/>
      <c r="H37" s="147"/>
      <c r="I37" s="147"/>
      <c r="J37" s="147"/>
      <c r="K37" s="147"/>
      <c r="L37" s="685"/>
      <c r="M37" s="685"/>
      <c r="N37" s="685"/>
      <c r="O37" s="701"/>
      <c r="P37" s="148"/>
      <c r="Q37" s="149"/>
    </row>
    <row r="38" spans="1:17" s="127" customFormat="1" ht="15.75" thickBot="1">
      <c r="A38" s="152" t="s">
        <v>106</v>
      </c>
      <c r="B38" s="153">
        <f>IF(ISERROR($O$22/$O$23),0,$O$22/$O$23)</f>
        <v>0.87037037037037035</v>
      </c>
      <c r="C38" s="153">
        <f>+C37</f>
        <v>0.85</v>
      </c>
      <c r="D38" s="153">
        <f>+D37</f>
        <v>0.83299999999999996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​Durante el primer trimestre de 2025, se finalizaron 14 trámites de los cuáles 12 fueron gestionados con estudio de viabilidad o recomendación en 140 dias o menos, cumpliendo asi con el 85.71% de la meta programada.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0" t="str">
        <f>VLOOKUP(L12,Reporte!$N$5:$BZ$133,59,FALSE)</f>
        <v>​Se presentaron demoras en el proceso de gestión debido a la falta de contratación oportuna de los actuarios necesarios la vigencia. La ausencia de personal especializado afectó la eficiencia en el trámite. Sin embargo, en este trimestre se dio celeridad a estos trámites vencidos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​Durante el tercer trimestre de 2025, se finalizaron 21 trámites de los cuales 19 fueron gestionados con estudio de viabilidad o recomendación en 140 días o menos, con un porcentaje de 90,5 % de trámites finalizados en 140 días o menos, superando la meta programada del 85%.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8.5" customHeight="1" thickBot="1">
      <c r="A63" s="670" t="str">
        <f>VLOOKUP(L12,Reporte!$N$5:$BZ$133,65,FALSE)</f>
        <v xml:space="preserve">​Durante el cuarto trimestre de 2025, se finalizaron 5 trámites de los cuales 5 fueron gestionados con estudio de viabilidad o recomendación en 140 días o menos, cumpliendo así con el 100 % de la meta programada. Para la vigencia 2025 se cumplió con la meta propuesta para este indicador, sin embargo, se presentan casos en los que no se puede cumplir con el termino estipulado por cambios de los directivos o de personal, así como en la revisión de otras dependencias. Por lo que es necesario buscar alternativas que permitan que no se afecten los tiempos para dar gestión a los trámites radicados por los vigiados.
</v>
      </c>
      <c r="B63" s="671"/>
      <c r="C63" s="671"/>
      <c r="D63" s="671"/>
      <c r="E63" s="671"/>
      <c r="F63" s="671"/>
      <c r="G63" s="671"/>
      <c r="H63" s="671"/>
      <c r="I63" s="671"/>
      <c r="J63" s="671"/>
      <c r="K63" s="671"/>
      <c r="L63" s="671"/>
      <c r="M63" s="671"/>
      <c r="N63" s="671"/>
      <c r="O63" s="672"/>
      <c r="P63" s="155"/>
      <c r="Q63" s="156"/>
    </row>
    <row r="64" spans="1:17" ht="12" customHeight="1">
      <c r="A64" s="819" t="str">
        <f>VLOOKUP(L12,Reporte!$AP$5:$CB$133,39,FALSE)</f>
        <v>OBSERVACIONES: Se gestionaron 47 trámites dentro de termino 140 días de un total de 54 gestionados en ese periodo es decir un 87% de actividad, con un sobrecumplimiento de 102% con respecto a la meta porcentual de 85% establecida para 2025. No se presentan observaciones sobre el reporte de datos realizado en el SharePoint de PAG 2025</v>
      </c>
      <c r="B64" s="820"/>
      <c r="C64" s="820"/>
      <c r="D64" s="820"/>
      <c r="E64" s="820"/>
      <c r="F64" s="820"/>
      <c r="G64" s="820"/>
      <c r="H64" s="820"/>
      <c r="I64" s="820"/>
      <c r="J64" s="820"/>
      <c r="K64" s="820"/>
      <c r="L64" s="820"/>
      <c r="M64" s="820"/>
      <c r="N64" s="820"/>
      <c r="O64" s="821"/>
      <c r="P64" s="128"/>
    </row>
    <row r="65" spans="1:16" ht="38.25" customHeight="1" thickBot="1">
      <c r="A65" s="822"/>
      <c r="B65" s="823"/>
      <c r="C65" s="823"/>
      <c r="D65" s="823"/>
      <c r="E65" s="823"/>
      <c r="F65" s="823"/>
      <c r="G65" s="823"/>
      <c r="H65" s="823"/>
      <c r="I65" s="823"/>
      <c r="J65" s="823"/>
      <c r="K65" s="823"/>
      <c r="L65" s="823"/>
      <c r="M65" s="823"/>
      <c r="N65" s="823"/>
      <c r="O65" s="824"/>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2D45B-C5AC-442D-A3CC-14AFCADE6449}">
  <sheetPr codeName="Hoja32"/>
  <dimension ref="A1:Q67"/>
  <sheetViews>
    <sheetView view="pageBreakPreview" zoomScale="80" zoomScaleNormal="73" zoomScaleSheetLayoutView="80" zoomScalePageLayoutView="55" workbookViewId="0">
      <selection activeCellId="1" sqref="R57 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1.5" customHeight="1">
      <c r="A6" s="789" t="s">
        <v>8</v>
      </c>
      <c r="B6" s="790"/>
      <c r="C6" s="711" t="str">
        <f>VLOOKUP(L12,Reporte!$N$5:$BN$133,2,FALSE)</f>
        <v>Porcentaje de EPS y otras EAS con acciones de Inspección y vigilancia por parte de la Delegada de EAS</v>
      </c>
      <c r="D6" s="711"/>
      <c r="E6" s="711"/>
      <c r="F6" s="711"/>
      <c r="G6" s="711"/>
      <c r="H6" s="711"/>
      <c r="I6" s="711"/>
      <c r="J6" s="711"/>
      <c r="K6" s="711"/>
      <c r="L6" s="711"/>
      <c r="M6" s="711"/>
      <c r="N6" s="711"/>
      <c r="O6" s="791"/>
      <c r="P6" s="128"/>
    </row>
    <row r="7" spans="1:17" ht="57.7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48" customHeight="1">
      <c r="A8" s="792" t="s">
        <v>1594</v>
      </c>
      <c r="B8" s="774"/>
      <c r="C8" s="711" t="str">
        <f>VLOOKUP(L12,Reporte!$A$5:$N$133,13,FALSE)</f>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mediana de los porcentajes de cobertura # de vigilados a los que se efectúo la acción de IV </v>
      </c>
      <c r="D10" s="711"/>
      <c r="E10" s="711"/>
      <c r="F10" s="799" t="str">
        <f>VLOOKUP(L12,Reporte!$N$5:$BN$133,6,FALSE)</f>
        <v xml:space="preserve">Este indicador mide EL Número de evaluaciones de la gestión del riesgo en salud de las Entidades Promotoras de Salud </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 de vigilados objeto o susceptibles de la acción</v>
      </c>
      <c r="D12" s="711"/>
      <c r="E12" s="711"/>
      <c r="F12" s="799"/>
      <c r="G12" s="799"/>
      <c r="H12" s="799"/>
      <c r="I12" s="799"/>
      <c r="J12" s="712" t="str">
        <f>VLOOKUP(L12,Reporte!$N$5:$BN$133,7,FALSE)</f>
        <v>Efectividad</v>
      </c>
      <c r="K12" s="712"/>
      <c r="L12" s="713" t="s">
        <v>510</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Porcentual</v>
      </c>
      <c r="B15" s="729"/>
      <c r="C15" s="734">
        <f>VLOOKUP(L12,Reporte!$N$5:$BN$133,11,FALSE)</f>
        <v>0.8</v>
      </c>
      <c r="D15" s="735"/>
      <c r="E15" s="729"/>
      <c r="F15" s="740" t="str">
        <f>VLOOKUP(L12,Reporte!$N$5:$BN$133,9,FALSE)</f>
        <v>Trimestral</v>
      </c>
      <c r="G15" s="741"/>
      <c r="H15" s="707" t="s">
        <v>37</v>
      </c>
      <c r="I15" s="707"/>
      <c r="J15" s="746" t="s">
        <v>1595</v>
      </c>
      <c r="K15" s="747"/>
      <c r="L15" s="748"/>
      <c r="M15" s="775" t="str">
        <f>VLOOKUP(L12,Reporte!$N$5:$BN$133,28,FALSE)</f>
        <v>Delegatura Entidades Aseguramiento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99">
        <f>VLOOKUP(L12,Reporte!$N$5:$BN$133,30,FALSE)</f>
        <v>0</v>
      </c>
      <c r="D22" s="199">
        <f>VLOOKUP(L12,Reporte!$N$5:$BN$133,31,FALSE)</f>
        <v>0</v>
      </c>
      <c r="E22" s="232">
        <f>VLOOKUP(L12,Reporte!$N$5:$BN$133,32,FALSE)</f>
        <v>0.873</v>
      </c>
      <c r="F22" s="200">
        <f>VLOOKUP(L12,Reporte!$N$5:$BN$133,33,FALSE)</f>
        <v>0</v>
      </c>
      <c r="G22" s="199">
        <f>VLOOKUP(L12,Reporte!$N$5:$BN$133,34,FALSE)</f>
        <v>0</v>
      </c>
      <c r="H22" s="199">
        <f>VLOOKUP(L12,Reporte!$N$5:$BN$133,35,FALSE)</f>
        <v>0.49</v>
      </c>
      <c r="I22" s="199">
        <f>VLOOKUP(L12,Reporte!$N$5:$BN$133,36,FALSE)</f>
        <v>0</v>
      </c>
      <c r="J22" s="200">
        <f>VLOOKUP(L12,Reporte!$N$5:$BN$133,37,FALSE)</f>
        <v>0</v>
      </c>
      <c r="K22" s="200">
        <f>VLOOKUP(L12,Reporte!$N$5:$BN$133,38,FALSE)</f>
        <v>0.82</v>
      </c>
      <c r="L22" s="200">
        <f>VLOOKUP(L12,Reporte!$N$5:$BN$133,39,FALSE)</f>
        <v>0</v>
      </c>
      <c r="M22" s="200">
        <f>VLOOKUP(L12,Reporte!$N$5:$BN$133,40,FALSE)</f>
        <v>0</v>
      </c>
      <c r="N22" s="201">
        <f>VLOOKUP(L12,Reporte!$N$5:$BN$133,41,FALSE)</f>
        <v>0.76</v>
      </c>
      <c r="O22" s="201">
        <f>SUM(E22+H22+K22+N22)/4</f>
        <v>0.7357499999999999</v>
      </c>
      <c r="P22" s="128"/>
    </row>
    <row r="23" spans="1:17" ht="16.5" thickBot="1">
      <c r="A23" s="690" t="s">
        <v>76</v>
      </c>
      <c r="B23" s="691"/>
      <c r="C23" s="202">
        <f>VLOOKUP(L12,Reporte!$N$5:$BN$133,42,FALSE)</f>
        <v>0</v>
      </c>
      <c r="D23" s="202">
        <f>VLOOKUP(L12,Reporte!$N$5:$BN$133,43,FALSE)</f>
        <v>0</v>
      </c>
      <c r="E23" s="233">
        <f>VLOOKUP(L12,Reporte!$N$5:$BN$133,44,FALSE)</f>
        <v>1</v>
      </c>
      <c r="F23" s="202">
        <f>VLOOKUP(L12,Reporte!$N$5:$BN$133,45,FALSE)</f>
        <v>0</v>
      </c>
      <c r="G23" s="202">
        <f>VLOOKUP(L12,Reporte!$N$5:$BN$133,46,FALSE)</f>
        <v>0</v>
      </c>
      <c r="H23" s="202">
        <f>VLOOKUP(L12,Reporte!$N$5:$BN$133,47,FALSE)</f>
        <v>1</v>
      </c>
      <c r="I23" s="202">
        <f>VLOOKUP(L12,Reporte!$N$5:$BN$133,48,FALSE)</f>
        <v>0</v>
      </c>
      <c r="J23" s="202">
        <f>VLOOKUP(L12,Reporte!$N$5:$BN$133,49,FALSE)</f>
        <v>0</v>
      </c>
      <c r="K23" s="202">
        <f>VLOOKUP(L12,Reporte!$N$5:$BN$133,50,FALSE)</f>
        <v>1</v>
      </c>
      <c r="L23" s="202">
        <f>VLOOKUP(L12,Reporte!$N$5:$BN$133,51,FALSE)</f>
        <v>0</v>
      </c>
      <c r="M23" s="202">
        <f>VLOOKUP(L12,Reporte!$N$5:$BN$133,52,FALSE)</f>
        <v>0</v>
      </c>
      <c r="N23" s="203">
        <f>VLOOKUP(L12,Reporte!$N$5:$BN$133,53,FALSE)</f>
        <v>1</v>
      </c>
      <c r="O23" s="201">
        <f>MAX(C23:N23)</f>
        <v>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0.8</v>
      </c>
      <c r="D26" s="146">
        <f>+C26*0.98</f>
        <v>0.78400000000000003</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0.8</v>
      </c>
      <c r="D27" s="146">
        <f>+D26</f>
        <v>0.78400000000000003</v>
      </c>
      <c r="E27" s="147"/>
      <c r="F27" s="147"/>
      <c r="G27" s="685"/>
      <c r="H27" s="685"/>
      <c r="I27" s="685"/>
      <c r="J27" s="685"/>
      <c r="K27" s="147"/>
      <c r="L27" s="685"/>
      <c r="M27" s="685"/>
      <c r="N27" s="685"/>
      <c r="O27" s="701"/>
      <c r="P27" s="148"/>
      <c r="Q27" s="149"/>
    </row>
    <row r="28" spans="1:17" s="127" customFormat="1" ht="15">
      <c r="A28" s="145" t="s">
        <v>96</v>
      </c>
      <c r="B28" s="146">
        <f>IF(ISERROR($E$22/$E$23),0,$E$22/$E$23)</f>
        <v>0.873</v>
      </c>
      <c r="C28" s="146">
        <f t="shared" ref="C28:D37" si="0">+C27</f>
        <v>0.8</v>
      </c>
      <c r="D28" s="146">
        <f t="shared" si="0"/>
        <v>0.78400000000000003</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0.8</v>
      </c>
      <c r="D29" s="146">
        <f t="shared" si="0"/>
        <v>0.78400000000000003</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0.8</v>
      </c>
      <c r="D30" s="146">
        <f t="shared" si="0"/>
        <v>0.78400000000000003</v>
      </c>
      <c r="E30" s="147"/>
      <c r="F30" s="147"/>
      <c r="G30" s="685"/>
      <c r="H30" s="685"/>
      <c r="I30" s="685"/>
      <c r="J30" s="685"/>
      <c r="K30" s="147"/>
      <c r="L30" s="685"/>
      <c r="M30" s="685"/>
      <c r="N30" s="685"/>
      <c r="O30" s="701"/>
      <c r="P30" s="148"/>
      <c r="Q30" s="149"/>
    </row>
    <row r="31" spans="1:17" s="127" customFormat="1" ht="15">
      <c r="A31" s="145" t="s">
        <v>99</v>
      </c>
      <c r="B31" s="146">
        <f>IF(ISERROR($H$22/$H$23),0,$H$22/$H$23)</f>
        <v>0.49</v>
      </c>
      <c r="C31" s="146">
        <f t="shared" si="0"/>
        <v>0.8</v>
      </c>
      <c r="D31" s="146">
        <f t="shared" si="0"/>
        <v>0.78400000000000003</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0.8</v>
      </c>
      <c r="D32" s="146">
        <f t="shared" si="0"/>
        <v>0.78400000000000003</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0.8</v>
      </c>
      <c r="D33" s="146">
        <f t="shared" si="0"/>
        <v>0.78400000000000003</v>
      </c>
      <c r="E33" s="147"/>
      <c r="F33" s="147"/>
      <c r="G33" s="685"/>
      <c r="H33" s="685"/>
      <c r="I33" s="685"/>
      <c r="J33" s="685"/>
      <c r="K33" s="147"/>
      <c r="L33" s="685"/>
      <c r="M33" s="685"/>
      <c r="N33" s="685"/>
      <c r="O33" s="701"/>
      <c r="P33" s="148"/>
      <c r="Q33" s="149"/>
    </row>
    <row r="34" spans="1:17" s="127" customFormat="1" ht="15">
      <c r="A34" s="145" t="s">
        <v>102</v>
      </c>
      <c r="B34" s="146">
        <f>IF(ISERROR($K$22/$K$23),0,$K$22/$K$23)</f>
        <v>0.82</v>
      </c>
      <c r="C34" s="146">
        <f t="shared" si="0"/>
        <v>0.8</v>
      </c>
      <c r="D34" s="146">
        <f t="shared" si="0"/>
        <v>0.78400000000000003</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0.8</v>
      </c>
      <c r="D35" s="146">
        <f t="shared" si="0"/>
        <v>0.78400000000000003</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0.8</v>
      </c>
      <c r="D36" s="146">
        <f t="shared" si="0"/>
        <v>0.78400000000000003</v>
      </c>
      <c r="E36" s="147"/>
      <c r="F36" s="147"/>
      <c r="G36" s="685"/>
      <c r="H36" s="685"/>
      <c r="I36" s="685"/>
      <c r="J36" s="685"/>
      <c r="K36" s="147"/>
      <c r="L36" s="685"/>
      <c r="M36" s="685"/>
      <c r="N36" s="685"/>
      <c r="O36" s="701"/>
      <c r="P36" s="148"/>
      <c r="Q36" s="149"/>
    </row>
    <row r="37" spans="1:17" s="127" customFormat="1" ht="15.75" thickBot="1">
      <c r="A37" s="150" t="s">
        <v>105</v>
      </c>
      <c r="B37" s="151">
        <f>IF(ISERROR($N$22/$N$23),0,$N$22/$N$23)</f>
        <v>0.76</v>
      </c>
      <c r="C37" s="146">
        <f t="shared" si="0"/>
        <v>0.8</v>
      </c>
      <c r="D37" s="146">
        <f t="shared" si="0"/>
        <v>0.78400000000000003</v>
      </c>
      <c r="E37" s="147"/>
      <c r="F37" s="147"/>
      <c r="G37" s="147"/>
      <c r="H37" s="147"/>
      <c r="I37" s="147"/>
      <c r="J37" s="147"/>
      <c r="K37" s="147"/>
      <c r="L37" s="685"/>
      <c r="M37" s="685"/>
      <c r="N37" s="685"/>
      <c r="O37" s="701"/>
      <c r="P37" s="148"/>
      <c r="Q37" s="149"/>
    </row>
    <row r="38" spans="1:17" s="127" customFormat="1" ht="15.75" thickBot="1">
      <c r="A38" s="152" t="s">
        <v>106</v>
      </c>
      <c r="B38" s="153">
        <f>IF(ISERROR($O$22/$O$23),0,$O$22/$O$23)</f>
        <v>0.7357499999999999</v>
      </c>
      <c r="C38" s="153">
        <f>+C37</f>
        <v>0.8</v>
      </c>
      <c r="D38" s="153">
        <f>+D37</f>
        <v>0.78400000000000003</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Observación: Una vez realizada la consolidación de las actividades de IV desarrolladas por los grupos internos de trabajo se indica que se cumplio con el indicador para el primer trimestre, cuya mediana correspondiente es 87.3 %.
Se aclara que cada grupo tienen diferentes tipos de vigilados por lo que el total de vigilados no son objeto de acciones de IV por todos los grupos internos de trabajo.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​Durante el segundo trimestre de 2025 la Delegada para Entidades de Aseguramiento en Salud, ejjecutó 51 mesas técnicas, respondiendo a las necesidades identificadas durante el periodo. Dentro de las cuales se logro una mediana de 49%</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​Una vez realizada la consolidación de las actividades de IV desarrolladas por los grupos internos de trabajo se indica que se cumplio con el indicador para el tercer trimestre correspondiente al 82 %.
Se aclara que cada grupo tienen diferentes tipos de vigilados por lo que el total de vigilados no son objeto de acciones de IV por todos los grupos internos de trabajo.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​Una vez realizada la consolidación de las actividades de IV desarrolladas por los grupos internos de trabajo se indica que el cumplimiento del indicador para el cuarto trimestre correspondiente al 76 %., es decir se realizaron acciones de IV al 76% de los vigilado. Se aclara que cada grupo tienen diferentes tipos de vigilados por lo que el total de vigilados no son objeto de acciones de IV por todos los grupos internos de trabajo. Para el IV trimestre no se alcanzo la meta programada, dado que se debio priorizar las auditorias, sumado al cambio de directivos y personal de planta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 xml:space="preserve">OBSERVACIONES: Solo 2 de los 4 reportes  alcanzaron la meta propuesta del 80%, lo que genera un incumplimiento para la vigencia; Por tanto para la vigencia 2026 se recomienda tomar medidas para mejorar la cobertura de acciones de IV que se logran en las mesas. </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3B27-6CDF-4A2E-B3D2-7C234465ADC5}">
  <sheetPr codeName="Hoja33"/>
  <dimension ref="A1:Q67"/>
  <sheetViews>
    <sheetView view="pageBreakPreview" zoomScale="80" zoomScaleNormal="73" zoomScaleSheetLayoutView="80" zoomScalePageLayoutView="55" workbookViewId="0">
      <selection activeCell="Q8" sqref="Q8"/>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AUDITORÍAS</v>
      </c>
      <c r="D5" s="787"/>
      <c r="E5" s="787"/>
      <c r="F5" s="787"/>
      <c r="G5" s="787"/>
      <c r="H5" s="787"/>
      <c r="I5" s="787"/>
      <c r="J5" s="787"/>
      <c r="K5" s="787"/>
      <c r="L5" s="787"/>
      <c r="M5" s="787"/>
      <c r="N5" s="787"/>
      <c r="O5" s="788"/>
      <c r="P5" s="130"/>
      <c r="Q5" s="131"/>
    </row>
    <row r="6" spans="1:17" ht="15.75">
      <c r="A6" s="789" t="s">
        <v>8</v>
      </c>
      <c r="B6" s="790"/>
      <c r="C6" s="711" t="str">
        <f>VLOOKUP(L12,Reporte!$N$5:$BN$133,2,FALSE)</f>
        <v>Auditorias realizadas a las entidades de aseguramiento en salud y otras entidades de aseguramiento</v>
      </c>
      <c r="D6" s="711"/>
      <c r="E6" s="711"/>
      <c r="F6" s="711"/>
      <c r="G6" s="711"/>
      <c r="H6" s="711"/>
      <c r="I6" s="711"/>
      <c r="J6" s="711"/>
      <c r="K6" s="711"/>
      <c r="L6" s="711"/>
      <c r="M6" s="711"/>
      <c r="N6" s="711"/>
      <c r="O6" s="791"/>
      <c r="P6" s="128"/>
    </row>
    <row r="7" spans="1:17" ht="42.75" customHeight="1">
      <c r="A7" s="789" t="s">
        <v>10</v>
      </c>
      <c r="B7" s="790"/>
      <c r="C7" s="711" t="str">
        <f>VLOOKUP(L12,Reporte!A5:M133,10,FALSE)</f>
        <v>Desarrollar acciones de inspección a través de análisis específicos y requerimientos, con el fin de identificar las brechas existentes entre lo establecido por la ley y lo que realmente están desarrollando nuestros grupos de valor y de esta manera poder identificar acciones para reducir estas brechas, buscando la protección de los derechos de los usuarios del Sistema General de Seguridad Social en Salud- SGSSS. </v>
      </c>
      <c r="D7" s="711"/>
      <c r="E7" s="711"/>
      <c r="F7" s="711"/>
      <c r="G7" s="711"/>
      <c r="H7" s="711"/>
      <c r="I7" s="711"/>
      <c r="J7" s="711"/>
      <c r="K7" s="711"/>
      <c r="L7" s="711"/>
      <c r="M7" s="711"/>
      <c r="N7" s="711"/>
      <c r="O7" s="791"/>
      <c r="P7" s="128"/>
    </row>
    <row r="8" spans="1:17" ht="47.25" customHeight="1">
      <c r="A8" s="792" t="s">
        <v>1594</v>
      </c>
      <c r="B8" s="774"/>
      <c r="C8" s="711" t="str">
        <f>VLOOKUP(L12,Reporte!$A$5:$N$133,13,FALSE)</f>
        <v>Medir la efectividad de la acciones de inspección y vigilancia realizadas a las Entidades de aseguramiento en salud sobre el cumplimiento de las normas de índole jurídico, financiero, económico, técnico-científico o administrativo que regulan el Sistema General de Seguridad Social en Salud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auditorías ejecutadas </v>
      </c>
      <c r="D10" s="711"/>
      <c r="E10" s="711"/>
      <c r="F10" s="799" t="str">
        <f>VLOOKUP(L12,Reporte!$N$5:$BN$133,6,FALSE)</f>
        <v>Este indicador mide el porcentaje de número de reclamos en salud finalizados.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65.25" customHeight="1" thickBot="1">
      <c r="A12" s="796"/>
      <c r="B12" s="768"/>
      <c r="C12" s="710" t="str">
        <f>VLOOKUP(L12,Reporte!$N$5:$BN$133,5,FALSE)</f>
        <v xml:space="preserve"> Número total de auditorías proyectadas en el periodo de acuerdo con el Programa Anual de Auditorías de la Delegada.</v>
      </c>
      <c r="D12" s="711"/>
      <c r="E12" s="711"/>
      <c r="F12" s="799"/>
      <c r="G12" s="799"/>
      <c r="H12" s="799"/>
      <c r="I12" s="799"/>
      <c r="J12" s="712" t="str">
        <f>VLOOKUP(L12,Reporte!$N$5:$BN$133,7,FALSE)</f>
        <v>Eficiencia</v>
      </c>
      <c r="K12" s="712"/>
      <c r="L12" s="713" t="s">
        <v>230</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0.85</v>
      </c>
      <c r="D15" s="735"/>
      <c r="E15" s="729"/>
      <c r="F15" s="740" t="str">
        <f>VLOOKUP(L12,Reporte!$N$5:$BN$133,9,FALSE)</f>
        <v>Trimestral</v>
      </c>
      <c r="G15" s="741"/>
      <c r="H15" s="707" t="s">
        <v>37</v>
      </c>
      <c r="I15" s="707"/>
      <c r="J15" s="746" t="s">
        <v>1595</v>
      </c>
      <c r="K15" s="747"/>
      <c r="L15" s="748"/>
      <c r="M15" s="775" t="str">
        <f>VLOOKUP(L12,Reporte!$N$5:$BN$133,28,FALSE)</f>
        <v>Delegatura Entidades Aseguramiento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5</v>
      </c>
      <c r="F22" s="139">
        <f>VLOOKUP(L12,Reporte!$N$5:$BN$133,33,FALSE)</f>
        <v>0</v>
      </c>
      <c r="G22" s="132">
        <f>VLOOKUP(L12,Reporte!$N$5:$BN$133,34,FALSE)</f>
        <v>0</v>
      </c>
      <c r="H22" s="139">
        <f>VLOOKUP(L12,Reporte!$N$5:$BN$133,35,FALSE)</f>
        <v>16</v>
      </c>
      <c r="I22" s="132">
        <f>VLOOKUP(L12,Reporte!$N$5:$BN$133,36,FALSE)</f>
        <v>0</v>
      </c>
      <c r="J22" s="139">
        <f>VLOOKUP(L12,Reporte!$N$5:$BN$133,37,FALSE)</f>
        <v>0</v>
      </c>
      <c r="K22" s="139">
        <f>VLOOKUP(L12,Reporte!$N$5:$BN$133,38,FALSE)</f>
        <v>9</v>
      </c>
      <c r="L22" s="139">
        <f>VLOOKUP(L12,Reporte!$N$5:$BN$133,39,FALSE)</f>
        <v>0</v>
      </c>
      <c r="M22" s="139">
        <f>VLOOKUP(L12,Reporte!$N$5:$BN$133,40,FALSE)</f>
        <v>0</v>
      </c>
      <c r="N22" s="133">
        <f>VLOOKUP(L12,Reporte!$N$5:$BN$133,41,FALSE)</f>
        <v>9</v>
      </c>
      <c r="O22" s="133">
        <f>SUM(C22:N22)</f>
        <v>39</v>
      </c>
      <c r="P22" s="128"/>
    </row>
    <row r="23" spans="1:17" ht="16.5" thickBot="1">
      <c r="A23" s="690" t="s">
        <v>76</v>
      </c>
      <c r="B23" s="691"/>
      <c r="C23" s="140">
        <f>VLOOKUP(L12,Reporte!$N$5:$BN$133,42,FALSE)</f>
        <v>0</v>
      </c>
      <c r="D23" s="140">
        <f>VLOOKUP(L12,Reporte!$N$5:$BN$133,43,FALSE)</f>
        <v>0</v>
      </c>
      <c r="E23" s="140">
        <f>VLOOKUP(L12,Reporte!$N$5:$BN$133,44,FALSE)</f>
        <v>10</v>
      </c>
      <c r="F23" s="140">
        <f>VLOOKUP(L12,Reporte!$N$5:$BN$133,45,FALSE)</f>
        <v>0</v>
      </c>
      <c r="G23" s="140">
        <f>VLOOKUP(L12,Reporte!$N$5:$BN$133,46,FALSE)</f>
        <v>0</v>
      </c>
      <c r="H23" s="140">
        <f>VLOOKUP(L12,Reporte!$N$5:$BN$133,47,FALSE)</f>
        <v>11</v>
      </c>
      <c r="I23" s="140">
        <f>VLOOKUP(L12,Reporte!$N$5:$BN$133,48,FALSE)</f>
        <v>0</v>
      </c>
      <c r="J23" s="140">
        <f>VLOOKUP(L12,Reporte!$N$5:$BN$133,49,FALSE)</f>
        <v>0</v>
      </c>
      <c r="K23" s="140">
        <f>VLOOKUP(L12,Reporte!$N$5:$BN$133,50,FALSE)</f>
        <v>9</v>
      </c>
      <c r="L23" s="140">
        <f>VLOOKUP(L12,Reporte!$N$5:$BN$133,51,FALSE)</f>
        <v>0</v>
      </c>
      <c r="M23" s="140">
        <f>VLOOKUP(L12,Reporte!$N$5:$BN$133,52,FALSE)</f>
        <v>0</v>
      </c>
      <c r="N23" s="141">
        <f>VLOOKUP(L12,Reporte!$N$5:$BN$133,53,FALSE)</f>
        <v>9</v>
      </c>
      <c r="O23" s="133">
        <f>SUM(C23:N23)</f>
        <v>39</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0.85</v>
      </c>
      <c r="D26" s="146">
        <f>+C26*0.98</f>
        <v>0.83299999999999996</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0.85</v>
      </c>
      <c r="D27" s="146">
        <f>+D26</f>
        <v>0.83299999999999996</v>
      </c>
      <c r="E27" s="147"/>
      <c r="F27" s="147"/>
      <c r="G27" s="685"/>
      <c r="H27" s="685"/>
      <c r="I27" s="685"/>
      <c r="J27" s="685"/>
      <c r="K27" s="147"/>
      <c r="L27" s="685"/>
      <c r="M27" s="685"/>
      <c r="N27" s="685"/>
      <c r="O27" s="701"/>
      <c r="P27" s="148"/>
      <c r="Q27" s="149"/>
    </row>
    <row r="28" spans="1:17" s="127" customFormat="1" ht="15">
      <c r="A28" s="145" t="s">
        <v>96</v>
      </c>
      <c r="B28" s="146">
        <f>IF(ISERROR($E$22/$E$23),0,$E$22/$E$23)</f>
        <v>0.5</v>
      </c>
      <c r="C28" s="146">
        <f t="shared" ref="C28:D37" si="0">+C27</f>
        <v>0.85</v>
      </c>
      <c r="D28" s="146">
        <f t="shared" si="0"/>
        <v>0.83299999999999996</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0.85</v>
      </c>
      <c r="D29" s="146">
        <f t="shared" si="0"/>
        <v>0.83299999999999996</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0.85</v>
      </c>
      <c r="D30" s="146">
        <f t="shared" si="0"/>
        <v>0.83299999999999996</v>
      </c>
      <c r="E30" s="147"/>
      <c r="F30" s="147"/>
      <c r="G30" s="685"/>
      <c r="H30" s="685"/>
      <c r="I30" s="685"/>
      <c r="J30" s="685"/>
      <c r="K30" s="147"/>
      <c r="L30" s="685"/>
      <c r="M30" s="685"/>
      <c r="N30" s="685"/>
      <c r="O30" s="701"/>
      <c r="P30" s="148"/>
      <c r="Q30" s="149"/>
    </row>
    <row r="31" spans="1:17" s="127" customFormat="1" ht="15">
      <c r="A31" s="145" t="s">
        <v>99</v>
      </c>
      <c r="B31" s="146">
        <f>IF(ISERROR($H$22/$H$23),0,$H$22/$H$23)</f>
        <v>1.4545454545454546</v>
      </c>
      <c r="C31" s="146">
        <f t="shared" si="0"/>
        <v>0.85</v>
      </c>
      <c r="D31" s="146">
        <f t="shared" si="0"/>
        <v>0.83299999999999996</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0.85</v>
      </c>
      <c r="D32" s="146">
        <f t="shared" si="0"/>
        <v>0.83299999999999996</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0.85</v>
      </c>
      <c r="D33" s="146">
        <f t="shared" si="0"/>
        <v>0.83299999999999996</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0.85</v>
      </c>
      <c r="D34" s="146">
        <f t="shared" si="0"/>
        <v>0.83299999999999996</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0.85</v>
      </c>
      <c r="D35" s="146">
        <f t="shared" si="0"/>
        <v>0.83299999999999996</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0.85</v>
      </c>
      <c r="D36" s="146">
        <f t="shared" si="0"/>
        <v>0.83299999999999996</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0.85</v>
      </c>
      <c r="D37" s="146">
        <f t="shared" si="0"/>
        <v>0.83299999999999996</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0.85</v>
      </c>
      <c r="D38" s="153">
        <f>+D37</f>
        <v>0.83299999999999996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​Para el primer trimestre de 2025 se proyectaron la realización de 10 auditorias de las cuales se realizaron 5, dado que se debieron dar prioridad a otras acciones de IV, asi mismo durante el mes de enero no se contaron con recursos de tiquetes, dado que se debio realizar una adición al contrato suscrito con Subaturs, lo que afecto el cumplimiento del indicador.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​Durante el segundo trimestre de 21025 se realizaron 16 auditorias del 11 programdas, con el fn de subsanar las 5 auditorias que no se realizaron en el primer trimestre de 2025.  Es así que ala fecha se han ejecutado el 100% de las acutorías programadas para el segundo semestre de 2025.</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Durante el tercer trimestre de 2025 se realizaron 9 auditorías de 9 programadas, para un cumplimiento del 100%, superando la meta programada del 85 %.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​Para el IV trimestre se realizaron 9 auditorias de las 9 proyectadas para el trimestre, cumpliendo con el 100% de las auditorias proyectadas. Superando la meta del 85% proyectada. Para la vigencia 2025 se presentaron dificultades al inicio de la vigencia debido a la falta de tiquetes, situación que afecto el cumplimiento de este indicador en el primer trimestre, se sugiere proyectar este tipo contratos con vigencias futuras a fin de no afectar las acciones de Inspección y Vigilancia proyectadas desde esta dependencia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ejecutaron 39 auditorias con sobrecumplimiento del 117% con respecto de la meta porcentual de 85%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4E76-A4FE-48BC-AE60-65924C4E786D}">
  <sheetPr codeName="Hoja3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Porcentaje de avance en la actualización de la información de las fichas productos de los seguimientos</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3" customHeight="1">
      <c r="A8" s="792" t="s">
        <v>1594</v>
      </c>
      <c r="B8" s="774"/>
      <c r="C8" s="711" t="str">
        <f>VLOOKUP(L12,Reporte!$A$5:$N$133,13,FALSE)</f>
        <v>Realizar seguimiento a las EPS a las entidades bajo  medida y a la gestión de los agentes interventores y contralores designados por la Superintendencia Nacional de Salud.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Fichas técnicas con información actualizadas </v>
      </c>
      <c r="D10" s="711"/>
      <c r="E10" s="711"/>
      <c r="F10" s="799" t="str">
        <f>VLOOKUP(L12,Reporte!$N$5:$BN$133,6,FALSE)</f>
        <v>Este indicador mide el seguimiento y monitoreo de las entidades de medidas de vigilancia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entidades en medida*100</v>
      </c>
      <c r="D12" s="711"/>
      <c r="E12" s="711"/>
      <c r="F12" s="799"/>
      <c r="G12" s="799"/>
      <c r="H12" s="799"/>
      <c r="I12" s="799"/>
      <c r="J12" s="712" t="str">
        <f>VLOOKUP(L12,Reporte!$N$5:$BN$133,7,FALSE)</f>
        <v>Eficiencia</v>
      </c>
      <c r="K12" s="712"/>
      <c r="L12" s="713" t="s">
        <v>258</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0.85</v>
      </c>
      <c r="D15" s="735"/>
      <c r="E15" s="729"/>
      <c r="F15" s="740" t="str">
        <f>VLOOKUP(L12,Reporte!$N$5:$BN$133,9,FALSE)</f>
        <v>Trimestral</v>
      </c>
      <c r="G15" s="741"/>
      <c r="H15" s="707" t="s">
        <v>37</v>
      </c>
      <c r="I15" s="707"/>
      <c r="J15" s="746" t="s">
        <v>1595</v>
      </c>
      <c r="K15" s="747"/>
      <c r="L15" s="748"/>
      <c r="M15" s="775" t="str">
        <f>VLOOKUP(L12,Reporte!$N$5:$BN$133,28,FALSE)</f>
        <v>Delegatura Entidades Aseguramiento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16</v>
      </c>
      <c r="F22" s="139">
        <f>VLOOKUP(L12,Reporte!$N$5:$BN$133,33,FALSE)</f>
        <v>0</v>
      </c>
      <c r="G22" s="132">
        <f>VLOOKUP(L12,Reporte!$N$5:$BN$133,34,FALSE)</f>
        <v>0</v>
      </c>
      <c r="H22" s="139">
        <f>VLOOKUP(L12,Reporte!$N$5:$BN$133,35,FALSE)</f>
        <v>8</v>
      </c>
      <c r="I22" s="132">
        <f>VLOOKUP(L12,Reporte!$N$5:$BN$133,36,FALSE)</f>
        <v>0</v>
      </c>
      <c r="J22" s="139">
        <f>VLOOKUP(L12,Reporte!$N$5:$BN$133,37,FALSE)</f>
        <v>0</v>
      </c>
      <c r="K22" s="139">
        <f>VLOOKUP(L12,Reporte!$N$5:$BN$133,38,FALSE)</f>
        <v>15</v>
      </c>
      <c r="L22" s="139">
        <f>VLOOKUP(L12,Reporte!$N$5:$BN$133,39,FALSE)</f>
        <v>0</v>
      </c>
      <c r="M22" s="139">
        <f>VLOOKUP(L12,Reporte!$N$5:$BN$133,40,FALSE)</f>
        <v>0</v>
      </c>
      <c r="N22" s="133">
        <f>VLOOKUP(L12,Reporte!$N$5:$BN$133,41,FALSE)</f>
        <v>30</v>
      </c>
      <c r="O22" s="133">
        <f>SUM(C22:N22)</f>
        <v>69</v>
      </c>
      <c r="P22" s="128"/>
    </row>
    <row r="23" spans="1:17" ht="16.5" thickBot="1">
      <c r="A23" s="690" t="s">
        <v>76</v>
      </c>
      <c r="B23" s="691"/>
      <c r="C23" s="140">
        <f>VLOOKUP(L12,Reporte!$N$5:$BN$133,42,FALSE)</f>
        <v>0</v>
      </c>
      <c r="D23" s="140">
        <f>VLOOKUP(L12,Reporte!$N$5:$BN$133,43,FALSE)</f>
        <v>0</v>
      </c>
      <c r="E23" s="140">
        <f>VLOOKUP(L12,Reporte!$N$5:$BN$133,44,FALSE)</f>
        <v>18</v>
      </c>
      <c r="F23" s="140">
        <f>VLOOKUP(L12,Reporte!$N$5:$BN$133,45,FALSE)</f>
        <v>0</v>
      </c>
      <c r="G23" s="140">
        <f>VLOOKUP(L12,Reporte!$N$5:$BN$133,46,FALSE)</f>
        <v>0</v>
      </c>
      <c r="H23" s="140">
        <f>VLOOKUP(L12,Reporte!$N$5:$BN$133,47,FALSE)</f>
        <v>11</v>
      </c>
      <c r="I23" s="140">
        <f>VLOOKUP(L12,Reporte!$N$5:$BN$133,48,FALSE)</f>
        <v>0</v>
      </c>
      <c r="J23" s="140">
        <f>VLOOKUP(L12,Reporte!$N$5:$BN$133,49,FALSE)</f>
        <v>0</v>
      </c>
      <c r="K23" s="140">
        <f>VLOOKUP(L12,Reporte!$N$5:$BN$133,50,FALSE)</f>
        <v>22</v>
      </c>
      <c r="L23" s="140">
        <f>VLOOKUP(L12,Reporte!$N$5:$BN$133,51,FALSE)</f>
        <v>0</v>
      </c>
      <c r="M23" s="140">
        <f>VLOOKUP(L12,Reporte!$N$5:$BN$133,52,FALSE)</f>
        <v>0</v>
      </c>
      <c r="N23" s="141">
        <f>VLOOKUP(L12,Reporte!$N$5:$BN$133,53,FALSE)</f>
        <v>30</v>
      </c>
      <c r="O23" s="133">
        <f>SUM(C23:N23)</f>
        <v>81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0.85</v>
      </c>
      <c r="D26" s="146">
        <f>+C26*0.98</f>
        <v>0.83299999999999996</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0.85</v>
      </c>
      <c r="D27" s="146">
        <f>+D26</f>
        <v>0.83299999999999996</v>
      </c>
      <c r="E27" s="147"/>
      <c r="F27" s="147"/>
      <c r="G27" s="685"/>
      <c r="H27" s="685"/>
      <c r="I27" s="685"/>
      <c r="J27" s="685"/>
      <c r="K27" s="147"/>
      <c r="L27" s="685"/>
      <c r="M27" s="685"/>
      <c r="N27" s="685"/>
      <c r="O27" s="701"/>
      <c r="P27" s="148"/>
      <c r="Q27" s="149"/>
    </row>
    <row r="28" spans="1:17" s="127" customFormat="1" ht="15">
      <c r="A28" s="145" t="s">
        <v>96</v>
      </c>
      <c r="B28" s="146">
        <f>IF(ISERROR($E$22/$E$23),0,$E$22/$E$23)</f>
        <v>0.88888888888888884</v>
      </c>
      <c r="C28" s="146">
        <f t="shared" ref="C28:D37" si="0">+C27</f>
        <v>0.85</v>
      </c>
      <c r="D28" s="146">
        <f t="shared" si="0"/>
        <v>0.83299999999999996</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0.85</v>
      </c>
      <c r="D29" s="146">
        <f t="shared" si="0"/>
        <v>0.83299999999999996</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0.85</v>
      </c>
      <c r="D30" s="146">
        <f t="shared" si="0"/>
        <v>0.83299999999999996</v>
      </c>
      <c r="E30" s="147"/>
      <c r="F30" s="147"/>
      <c r="G30" s="685"/>
      <c r="H30" s="685"/>
      <c r="I30" s="685"/>
      <c r="J30" s="685"/>
      <c r="K30" s="147"/>
      <c r="L30" s="685"/>
      <c r="M30" s="685"/>
      <c r="N30" s="685"/>
      <c r="O30" s="701"/>
      <c r="P30" s="148"/>
      <c r="Q30" s="149"/>
    </row>
    <row r="31" spans="1:17" s="127" customFormat="1" ht="15">
      <c r="A31" s="145" t="s">
        <v>99</v>
      </c>
      <c r="B31" s="146">
        <f>IF(ISERROR($H$22/$H$23),0,$H$22/$H$23)</f>
        <v>0.72727272727272729</v>
      </c>
      <c r="C31" s="146">
        <f t="shared" si="0"/>
        <v>0.85</v>
      </c>
      <c r="D31" s="146">
        <f t="shared" si="0"/>
        <v>0.83299999999999996</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0.85</v>
      </c>
      <c r="D32" s="146">
        <f t="shared" si="0"/>
        <v>0.83299999999999996</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0.85</v>
      </c>
      <c r="D33" s="146">
        <f t="shared" si="0"/>
        <v>0.83299999999999996</v>
      </c>
      <c r="E33" s="147"/>
      <c r="F33" s="147"/>
      <c r="G33" s="685"/>
      <c r="H33" s="685"/>
      <c r="I33" s="685"/>
      <c r="J33" s="685"/>
      <c r="K33" s="147"/>
      <c r="L33" s="685"/>
      <c r="M33" s="685"/>
      <c r="N33" s="685"/>
      <c r="O33" s="701"/>
      <c r="P33" s="148"/>
      <c r="Q33" s="149"/>
    </row>
    <row r="34" spans="1:17" s="127" customFormat="1" ht="15">
      <c r="A34" s="145" t="s">
        <v>102</v>
      </c>
      <c r="B34" s="146">
        <f>IF(ISERROR($K$22/$K$23),0,$K$22/$K$23)</f>
        <v>0.68181818181818177</v>
      </c>
      <c r="C34" s="146">
        <f t="shared" si="0"/>
        <v>0.85</v>
      </c>
      <c r="D34" s="146">
        <f t="shared" si="0"/>
        <v>0.83299999999999996</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0.85</v>
      </c>
      <c r="D35" s="146">
        <f t="shared" si="0"/>
        <v>0.83299999999999996</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0.85</v>
      </c>
      <c r="D36" s="146">
        <f t="shared" si="0"/>
        <v>0.83299999999999996</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0.85</v>
      </c>
      <c r="D37" s="146">
        <f t="shared" si="0"/>
        <v>0.83299999999999996</v>
      </c>
      <c r="E37" s="147"/>
      <c r="F37" s="147"/>
      <c r="G37" s="147"/>
      <c r="H37" s="147"/>
      <c r="I37" s="147"/>
      <c r="J37" s="147"/>
      <c r="K37" s="147"/>
      <c r="L37" s="685"/>
      <c r="M37" s="685"/>
      <c r="N37" s="685"/>
      <c r="O37" s="701"/>
      <c r="P37" s="148"/>
      <c r="Q37" s="149"/>
    </row>
    <row r="38" spans="1:17" s="127" customFormat="1" ht="15.75" thickBot="1">
      <c r="A38" s="152" t="s">
        <v>106</v>
      </c>
      <c r="B38" s="153">
        <f>IF(ISERROR($O$22/$O$23),0,$O$22/$O$23)</f>
        <v>0.85185185185185186</v>
      </c>
      <c r="C38" s="153">
        <f>+C37</f>
        <v>0.85</v>
      </c>
      <c r="D38" s="153">
        <f>+D37</f>
        <v>0.83299999999999996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63.75" customHeight="1" thickBot="1">
      <c r="A45" s="682" t="str">
        <f>VLOOKUP(L12,Reporte!$N$5:$BZ$133,56,FALSE)</f>
        <v>​A corte febrero de 2025 se encontraban 9 EPS bajo medida especial, la actualización de las fichas se realiza de manera mensual, siendo actualizadas a diciembre de 2024 la fichas correspondientes a las 9 EPS y para el mes de enero 7 de las 9 EPS, lo que corresponde al 88% de las fichas técnicas. Se indica que la actualización correspondiente al mes de febrero del 2025, depende de la informacíón reportada por los vigilados de acuerdo con lo establecido en la Circular Única y sus modificatorias, que establece que la información reportada por las EPS debe hacerse a los (veinte (20) días del mes siguiente del periodo de  reporte, siendo esta reportada el 20 de marzo, por lo que se encuentra en análisis y evaluación por parte de los profesionales de cada componente, la cual será entregada completamente en el siguiente trimestre</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​Teniendo en cuena la contingencia de requerimientos realizada en el segundo trimestre de 2025 a la Dirección de Medidas Especiales de EPS E.A., se evidenció la actualización de 8 fichas de seguimiento de 11 entidades en medida.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51.75" customHeight="1" thickBot="1">
      <c r="A57" s="682" t="str">
        <f>VLOOKUP(L12,Reporte!$N$5:$BZ$133,62,FALSE)</f>
        <v xml:space="preserve">​Durante el tercer trimestre de 2025 se efectuó la actualización de 15 de las 22 medidas programadas para el periodo. Es preciso señalar que durante el periodo 11 entidades se encuentran bajo medida especial. Sin embargo, el alto volumen de requerimientos recibidos durante el trimestre, derivados de la orden impartida por la Corte Constitucional en relación con la EPS Sanitas, así como las condiciones administrativas y financieras de la Nueva EPS, generaron múltiples solicitudes de control político por parte del Congreso de la República y requerimientos adicionales de los entes de control. Esta situación superó la capacidad operativa de la Dirección de Medidas Especiales, situación que se vio agravada por la rotación de personal como resultado del concurso de méritos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70.5" customHeight="1" thickBot="1">
      <c r="A63" s="673" t="str">
        <f>VLOOKUP(L12,Reporte!$N$5:$BZ$133,65,FALSE)</f>
        <v xml:space="preserve">​Durante el IV trimestre de 2025 se realizó la actualización de las fichas de las 10 eps que actualmente se encuentran en medida especial, se reportan las fichas con corte a agosto, septiembre y octubre de 2025 para un total de 30 fichas en el trimestre. Se indica que las fichas a corte de noviembre de 2025, no se pudieron realizar debido al cambio de interventores, lo que ha ocasionado demoras en el reporte de los indicadores fénix, los cuales tambien hacen parte de la informacion relacionada en la ficha de seguimiento. Para la vigencia 2025, se presentaron dificultades para el cumplimiento de este indicador dado el alto volumen de requerimientos por partes del congreso entes de control, lo que demanda la atención de los profesionales a cargo del seguimiento de las EPS.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 xml:space="preserve">OBSERVACIONES: Se han actualizado 69 fichas técnicas de 51 entidades bajo medida que equivale a 85,2%, con Sobrecumplimiento de 100,2% con respecto de la meta porcentual establecida del 85% para 2025. </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C52B-3701-4970-8408-12A975EBD501}">
  <sheetPr codeName="Hoja35"/>
  <dimension ref="A1:Q67"/>
  <sheetViews>
    <sheetView view="pageBreakPreview" topLeftCell="A6" zoomScale="80" zoomScaleNormal="73" zoomScaleSheetLayoutView="80" zoomScalePageLayoutView="55" workbookViewId="0">
      <selection activeCell="R31" sqref="R31"/>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33.75" customHeight="1">
      <c r="A6" s="789" t="s">
        <v>8</v>
      </c>
      <c r="B6" s="790"/>
      <c r="C6" s="711" t="str">
        <f>VLOOKUP(L12,Reporte!$N$5:$BN$133,2,FALSE)</f>
        <v>Seguimiento y monitoreo a entidades en medida de vigilancia.</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5.25" customHeight="1">
      <c r="A8" s="792" t="s">
        <v>1594</v>
      </c>
      <c r="B8" s="774"/>
      <c r="C8" s="711" t="str">
        <f>VLOOKUP(L12,Reporte!$A$5:$N$133,13,FALSE)</f>
        <v>Realizar el seguimiento a las Entidades sujetas a vigilancia de la Delegada de Entidades de Aseguramiento en Salud - EAS y auxiliares de justicia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Numero de seguimientos en campo a las entidades en medida especial </v>
      </c>
      <c r="D10" s="711"/>
      <c r="E10" s="711"/>
      <c r="F10" s="799" t="str">
        <f>VLOOKUP(L12,Reporte!$N$5:$BN$133,6,FALSE)</f>
        <v>Este indicador mide el Número Informes de seguimiento analizados  por el equipo técnico de la Dirección de Medidas Especiales para EPS y entidades adaptadas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Eficiencia</v>
      </c>
      <c r="K12" s="712"/>
      <c r="L12" s="713" t="s">
        <v>311</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17</v>
      </c>
      <c r="D15" s="826"/>
      <c r="E15" s="827"/>
      <c r="F15" s="740" t="str">
        <f>VLOOKUP(L12,Reporte!$N$5:$BN$133,9,FALSE)</f>
        <v>Trimestral</v>
      </c>
      <c r="G15" s="741"/>
      <c r="H15" s="707" t="s">
        <v>37</v>
      </c>
      <c r="I15" s="707"/>
      <c r="J15" s="746" t="s">
        <v>1595</v>
      </c>
      <c r="K15" s="747"/>
      <c r="L15" s="748"/>
      <c r="M15" s="775" t="str">
        <f>VLOOKUP(L12,Reporte!$N$5:$BN$133,28,FALSE)</f>
        <v>Delegatura Entidades Aseguramiento en Salud</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6</v>
      </c>
      <c r="F22" s="139">
        <f>VLOOKUP(L12,Reporte!$N$5:$BN$133,33,FALSE)</f>
        <v>0</v>
      </c>
      <c r="G22" s="132">
        <f>VLOOKUP(L12,Reporte!$N$5:$BN$133,34,FALSE)</f>
        <v>0</v>
      </c>
      <c r="H22" s="139">
        <f>VLOOKUP(L12,Reporte!$N$5:$BN$133,35,FALSE)</f>
        <v>2</v>
      </c>
      <c r="I22" s="132">
        <f>VLOOKUP(L12,Reporte!$N$5:$BN$133,36,FALSE)</f>
        <v>0</v>
      </c>
      <c r="J22" s="139">
        <f>VLOOKUP(L12,Reporte!$N$5:$BN$133,37,FALSE)</f>
        <v>0</v>
      </c>
      <c r="K22" s="139">
        <f>VLOOKUP(L12,Reporte!$N$5:$BN$133,38,FALSE)</f>
        <v>3</v>
      </c>
      <c r="L22" s="139">
        <f>VLOOKUP(L12,Reporte!$N$5:$BN$133,39,FALSE)</f>
        <v>0</v>
      </c>
      <c r="M22" s="139">
        <f>VLOOKUP(L12,Reporte!$N$5:$BN$133,40,FALSE)</f>
        <v>0</v>
      </c>
      <c r="N22" s="133">
        <f>VLOOKUP(L12,Reporte!$N$5:$BN$133,41,FALSE)</f>
        <v>5</v>
      </c>
      <c r="O22" s="133">
        <f>SUM(C22:N22)</f>
        <v>16</v>
      </c>
      <c r="P22" s="128"/>
    </row>
    <row r="23" spans="1:17" ht="16.5" thickBot="1">
      <c r="A23" s="690" t="s">
        <v>76</v>
      </c>
      <c r="B23" s="691"/>
      <c r="C23" s="140">
        <f>VLOOKUP(L12,Reporte!$N$5:$BN$133,42,FALSE)</f>
        <v>0</v>
      </c>
      <c r="D23" s="140">
        <f>VLOOKUP(L12,Reporte!$N$5:$BN$133,43,FALSE)</f>
        <v>0</v>
      </c>
      <c r="E23" s="140">
        <f>VLOOKUP(L12,Reporte!$N$5:$BN$133,44,FALSE)</f>
        <v>6</v>
      </c>
      <c r="F23" s="140">
        <f>VLOOKUP(L12,Reporte!$N$5:$BN$133,45,FALSE)</f>
        <v>0</v>
      </c>
      <c r="G23" s="140">
        <f>VLOOKUP(L12,Reporte!$N$5:$BN$133,46,FALSE)</f>
        <v>0</v>
      </c>
      <c r="H23" s="140">
        <f>VLOOKUP(L12,Reporte!$N$5:$BN$133,47,FALSE)</f>
        <v>2</v>
      </c>
      <c r="I23" s="140">
        <f>VLOOKUP(L12,Reporte!$N$5:$BN$133,48,FALSE)</f>
        <v>0</v>
      </c>
      <c r="J23" s="140">
        <f>VLOOKUP(L12,Reporte!$N$5:$BN$133,49,FALSE)</f>
        <v>0</v>
      </c>
      <c r="K23" s="140">
        <f>VLOOKUP(L12,Reporte!$N$5:$BN$133,50,FALSE)</f>
        <v>4</v>
      </c>
      <c r="L23" s="140">
        <f>VLOOKUP(L12,Reporte!$N$5:$BN$133,51,FALSE)</f>
        <v>0</v>
      </c>
      <c r="M23" s="140">
        <f>VLOOKUP(L12,Reporte!$N$5:$BN$133,52,FALSE)</f>
        <v>0</v>
      </c>
      <c r="N23" s="141">
        <f>VLOOKUP(L12,Reporte!$N$5:$BN$133,53,FALSE)</f>
        <v>5</v>
      </c>
      <c r="O23" s="133">
        <f>SUM(C23:N23)</f>
        <v>17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17</v>
      </c>
      <c r="D26" s="161">
        <f>+C26*0.98</f>
        <v>16.66</v>
      </c>
      <c r="E26" s="147"/>
      <c r="F26" s="147"/>
      <c r="G26" s="685"/>
      <c r="H26" s="685"/>
      <c r="I26" s="699"/>
      <c r="J26" s="699"/>
      <c r="K26" s="699"/>
      <c r="L26" s="685"/>
      <c r="M26" s="685"/>
      <c r="N26" s="685"/>
      <c r="O26" s="701"/>
      <c r="P26" s="148"/>
      <c r="Q26" s="149"/>
    </row>
    <row r="27" spans="1:17" s="127" customFormat="1" ht="15">
      <c r="A27" s="145" t="s">
        <v>95</v>
      </c>
      <c r="B27" s="161">
        <f>+D22</f>
        <v>0</v>
      </c>
      <c r="C27" s="161">
        <f>+C26</f>
        <v>17</v>
      </c>
      <c r="D27" s="161">
        <f>+D26</f>
        <v>16.66</v>
      </c>
      <c r="E27" s="147"/>
      <c r="F27" s="147"/>
      <c r="G27" s="685"/>
      <c r="H27" s="685"/>
      <c r="I27" s="685"/>
      <c r="J27" s="685"/>
      <c r="K27" s="147"/>
      <c r="L27" s="685"/>
      <c r="M27" s="685"/>
      <c r="N27" s="685"/>
      <c r="O27" s="701"/>
      <c r="P27" s="148"/>
      <c r="Q27" s="149"/>
    </row>
    <row r="28" spans="1:17" s="127" customFormat="1" ht="15">
      <c r="A28" s="145" t="s">
        <v>96</v>
      </c>
      <c r="B28" s="161">
        <f>+E22</f>
        <v>6</v>
      </c>
      <c r="C28" s="161">
        <f t="shared" ref="C28:D37" si="0">+C27</f>
        <v>17</v>
      </c>
      <c r="D28" s="161">
        <f t="shared" si="0"/>
        <v>16.66</v>
      </c>
      <c r="E28" s="147"/>
      <c r="F28" s="147"/>
      <c r="G28" s="685"/>
      <c r="H28" s="685"/>
      <c r="I28" s="685"/>
      <c r="J28" s="685"/>
      <c r="K28" s="147"/>
      <c r="L28" s="685"/>
      <c r="M28" s="685"/>
      <c r="N28" s="685"/>
      <c r="O28" s="701"/>
      <c r="P28" s="148"/>
      <c r="Q28" s="149"/>
    </row>
    <row r="29" spans="1:17" s="127" customFormat="1" ht="15">
      <c r="A29" s="145" t="s">
        <v>97</v>
      </c>
      <c r="B29" s="161">
        <f>+F22</f>
        <v>0</v>
      </c>
      <c r="C29" s="161">
        <f t="shared" si="0"/>
        <v>17</v>
      </c>
      <c r="D29" s="161">
        <f t="shared" si="0"/>
        <v>16.66</v>
      </c>
      <c r="E29" s="147"/>
      <c r="F29" s="147"/>
      <c r="G29" s="685"/>
      <c r="H29" s="685"/>
      <c r="I29" s="685"/>
      <c r="J29" s="685"/>
      <c r="K29" s="147"/>
      <c r="L29" s="685"/>
      <c r="M29" s="685"/>
      <c r="N29" s="685"/>
      <c r="O29" s="701"/>
      <c r="P29" s="148"/>
      <c r="Q29" s="149"/>
    </row>
    <row r="30" spans="1:17" s="127" customFormat="1" ht="15">
      <c r="A30" s="145" t="s">
        <v>98</v>
      </c>
      <c r="B30" s="161">
        <f>+G22</f>
        <v>0</v>
      </c>
      <c r="C30" s="161">
        <f t="shared" si="0"/>
        <v>17</v>
      </c>
      <c r="D30" s="161">
        <f t="shared" si="0"/>
        <v>16.66</v>
      </c>
      <c r="E30" s="147"/>
      <c r="F30" s="147"/>
      <c r="G30" s="685"/>
      <c r="H30" s="685"/>
      <c r="I30" s="685"/>
      <c r="J30" s="685"/>
      <c r="K30" s="147"/>
      <c r="L30" s="685"/>
      <c r="M30" s="685"/>
      <c r="N30" s="685"/>
      <c r="O30" s="701"/>
      <c r="P30" s="148"/>
      <c r="Q30" s="149"/>
    </row>
    <row r="31" spans="1:17" s="127" customFormat="1" ht="15">
      <c r="A31" s="145" t="s">
        <v>99</v>
      </c>
      <c r="B31" s="161">
        <f>+H22</f>
        <v>2</v>
      </c>
      <c r="C31" s="161">
        <f t="shared" si="0"/>
        <v>17</v>
      </c>
      <c r="D31" s="161">
        <f t="shared" si="0"/>
        <v>16.66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17</v>
      </c>
      <c r="D32" s="161">
        <f t="shared" si="0"/>
        <v>16.66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17</v>
      </c>
      <c r="D33" s="161">
        <f t="shared" si="0"/>
        <v>16.66</v>
      </c>
      <c r="E33" s="147"/>
      <c r="F33" s="147"/>
      <c r="G33" s="685"/>
      <c r="H33" s="685"/>
      <c r="I33" s="685"/>
      <c r="J33" s="685"/>
      <c r="K33" s="147"/>
      <c r="L33" s="685"/>
      <c r="M33" s="685"/>
      <c r="N33" s="685"/>
      <c r="O33" s="701"/>
      <c r="P33" s="148"/>
      <c r="Q33" s="149"/>
    </row>
    <row r="34" spans="1:17" s="127" customFormat="1" ht="15">
      <c r="A34" s="145" t="s">
        <v>102</v>
      </c>
      <c r="B34" s="161">
        <f>+K22</f>
        <v>3</v>
      </c>
      <c r="C34" s="161">
        <f t="shared" si="0"/>
        <v>17</v>
      </c>
      <c r="D34" s="161">
        <f t="shared" si="0"/>
        <v>16.66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17</v>
      </c>
      <c r="D35" s="161">
        <f t="shared" si="0"/>
        <v>16.66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17</v>
      </c>
      <c r="D36" s="161">
        <f t="shared" si="0"/>
        <v>16.66</v>
      </c>
      <c r="E36" s="147"/>
      <c r="F36" s="147"/>
      <c r="G36" s="685"/>
      <c r="H36" s="685"/>
      <c r="I36" s="685"/>
      <c r="J36" s="685"/>
      <c r="K36" s="147"/>
      <c r="L36" s="685"/>
      <c r="M36" s="685"/>
      <c r="N36" s="685"/>
      <c r="O36" s="701"/>
      <c r="P36" s="148"/>
      <c r="Q36" s="149"/>
    </row>
    <row r="37" spans="1:17" s="127" customFormat="1" ht="15.75" thickBot="1">
      <c r="A37" s="150" t="s">
        <v>105</v>
      </c>
      <c r="B37" s="162">
        <f>+N22</f>
        <v>5</v>
      </c>
      <c r="C37" s="161">
        <f t="shared" si="0"/>
        <v>17</v>
      </c>
      <c r="D37" s="161">
        <f t="shared" si="0"/>
        <v>16.66</v>
      </c>
      <c r="E37" s="147"/>
      <c r="F37" s="147"/>
      <c r="G37" s="147"/>
      <c r="H37" s="147"/>
      <c r="I37" s="147"/>
      <c r="J37" s="147"/>
      <c r="K37" s="147"/>
      <c r="L37" s="685"/>
      <c r="M37" s="685"/>
      <c r="N37" s="685"/>
      <c r="O37" s="701"/>
      <c r="P37" s="148"/>
      <c r="Q37" s="149"/>
    </row>
    <row r="38" spans="1:17" s="127" customFormat="1" ht="15.75" thickBot="1">
      <c r="A38" s="152" t="s">
        <v>106</v>
      </c>
      <c r="B38" s="164">
        <f>+O22</f>
        <v>16</v>
      </c>
      <c r="C38" s="164">
        <f>+C37</f>
        <v>17</v>
      </c>
      <c r="D38" s="164">
        <f>+D37</f>
        <v>16.66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19.5" customHeight="1" thickBot="1">
      <c r="A45" s="682" t="str">
        <f>VLOOKUP(L12,Reporte!$N$5:$BZ$133,56,FALSE)</f>
        <v xml:space="preserve">​Para el presente trimestre se realizó seguimiento a 6 de las 11 EPS que actualmente se encuentran en medida especial, cumpliendo asi con el 100% del indicador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​Se ejecutaron los dos seguimiento programados para el segundo trimestre de 2025.</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122.25" customHeight="1" thickBot="1">
      <c r="A57" s="682" t="str">
        <f>VLOOKUP(L12,Reporte!$N$5:$BZ$133,62,FALSE)</f>
        <v>​Para el tercer trimestre de 2025 se tenían programados 4 seguimientos en campo a las EPS Capresoca, Sanitas, Nueva EPS y Coosalud, sin embargo solo se realizaron 3, teniendo en cuenta que la Corte Constitucional por medio de la SENTENCIA SU-277 del 26 de junio de 2025, bajo el expediente con radicado T-10.477.327, Magistrado ponente: Juan Carlos Cortés González, la Sala Plena de la Corte Constitucional resolvió DEJAR SIN EFECTOS la Resolución No. 2024160000003002-6 del 2 de abril de 2024 que ordenó la toma de posesión inmediata de los bienes, haberes y negocios de la Entidad Promotora de Salud Sanitas S.A.S. por el término de un año, así como la intervención forzosa para ejercer la administración de dicha EPS; la Resolución 2024100000003060-6 del 10 de abril de 2024 que la corrigió; así como la Resolución 2025320030001947-6 del 1 de abril de 2025, mediante la cual se prorrogó dicha medida de intervención por un año, dictadas por la Superintendencia Nacional de Salud, de acuerdo con lo expuesto en la parte considerativa de esta sentencia, situación que conllevo a la no realización del seguimiento. Asi mismo se informa que dadas las condiciones administrativas y financieras de la Nueva EPS, la SNS instaló la instancia de seguimiento permanente en la Nueva EPS, ordenada mediante  Resolución 2025320030006237-6 del 31 de julio de 2025, modificada por la Resolución 2025320030006459-6 del 6 de agosto de 2025, la cual tiene por objetivo reallizar un monitoreo al cumplimiento de las órdenes impartidas en la resolución de la medida de cesación, que involucrará la verificación de los procesos que hoy aplica la EPS en la asignación de recursos del Sistema General de Seguridad Social en Salud y la garantía de la atención a la población afiliada, motivo por el cual no se aporta el auto del seguimiento, sino las resoluciones mencionadas.</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​Para el cuarto trimestre se realizó seguimiento a 5 de las 10 EPS que actualmente se encuentran en medida especial, cumpliendo así con el 100% del indicador. Para la vigencia 2025 se cumplió con la meta propuesta para este indicador, no se presentaron inconvenientes para el cumplimiento del indicador, sin embargo, teniendo en cuenta el cambio de personal se considera importante fortalecer las competencias de los nuevos funcionarios.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16 monitoreos de 17 programados, con incumplimiento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B5EDD-6C42-422D-A076-5CCC9E8CF7CE}">
  <sheetPr codeName="Hoja36"/>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3" customHeight="1">
      <c r="A6" s="789" t="s">
        <v>8</v>
      </c>
      <c r="B6" s="790"/>
      <c r="C6" s="834" t="str">
        <f>VLOOKUP(L12,Reporte!$N$5:$BN$133,2,FALSE)</f>
        <v>Porcentaje del total de Actores del sistema con acciones de inspección y vigilancia por parte de la Dirección Regional
* Nota: Se calcula por Dirección Regional - ocho indicadores</v>
      </c>
      <c r="D6" s="834"/>
      <c r="E6" s="834"/>
      <c r="F6" s="834"/>
      <c r="G6" s="834"/>
      <c r="H6" s="834"/>
      <c r="I6" s="834"/>
      <c r="J6" s="834"/>
      <c r="K6" s="834"/>
      <c r="L6" s="834"/>
      <c r="M6" s="834"/>
      <c r="N6" s="834"/>
      <c r="O6" s="835"/>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28.5" customHeight="1">
      <c r="A8" s="792" t="s">
        <v>1594</v>
      </c>
      <c r="B8" s="774"/>
      <c r="C8" s="711" t="str">
        <f>VLOOKUP(L12,Reporte!$A$5:$N$133,13,FALSE)</f>
        <v>Ampliar el campo de acción de las Direcciones Regionales respecto de los actores del sistema, a través de la definición de acuerdos con las demás Delegadas para la desconcentración de acciones de inspección y vigilancia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2.75" customHeight="1">
      <c r="A10" s="794"/>
      <c r="B10" s="795"/>
      <c r="C10" s="711" t="str">
        <f>VLOOKUP(L12,Reporte!$N$5:$BN$133,4,FALSE)</f>
        <v xml:space="preserve">Número de categoría de Actores del sistema con acciones de inspección y vigilancia por parte de la Direcciones regional </v>
      </c>
      <c r="D10" s="711"/>
      <c r="E10" s="711"/>
      <c r="F10" s="799" t="str">
        <f>VLOOKUP(L12,Reporte!$N$5:$BN$133,6,FALSE)</f>
        <v>Este indicador mide el numero de informes de seguimiento geeneradas por acciones de IV.</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5.5" customHeight="1" thickBot="1">
      <c r="A12" s="796"/>
      <c r="B12" s="768"/>
      <c r="C12" s="710" t="str">
        <f>VLOOKUP(L12,Reporte!$N$5:$BN$133,5,FALSE)</f>
        <v xml:space="preserve"> 09 categorías de actores del sistema sujeto de acciones de inspección y vigilancia de la SNS*100.</v>
      </c>
      <c r="D12" s="711"/>
      <c r="E12" s="711"/>
      <c r="F12" s="799"/>
      <c r="G12" s="799"/>
      <c r="H12" s="799"/>
      <c r="I12" s="799"/>
      <c r="J12" s="712" t="str">
        <f>VLOOKUP(L12,Reporte!$N$5:$BN$133,7,FALSE)</f>
        <v>Eficacia</v>
      </c>
      <c r="K12" s="712"/>
      <c r="L12" s="713" t="s">
        <v>272</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4.75" customHeight="1">
      <c r="A15" s="728" t="str">
        <f>VLOOKUP(L12,Reporte!$N$5:$BN$133,8,FALSE)</f>
        <v xml:space="preserve">Porcentual </v>
      </c>
      <c r="B15" s="729"/>
      <c r="C15" s="734">
        <f>VLOOKUP(L12,Reporte!$N$5:$BN$133,11,FALSE)</f>
        <v>0.66666666666666663</v>
      </c>
      <c r="D15" s="735"/>
      <c r="E15" s="729"/>
      <c r="F15" s="740" t="str">
        <f>VLOOKUP(L12,Reporte!$N$5:$BN$133,9,FALSE)</f>
        <v>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4.75" customHeight="1">
      <c r="A16" s="730"/>
      <c r="B16" s="731"/>
      <c r="C16" s="736"/>
      <c r="D16" s="737"/>
      <c r="E16" s="731"/>
      <c r="F16" s="742"/>
      <c r="G16" s="743"/>
      <c r="H16" s="707" t="s">
        <v>40</v>
      </c>
      <c r="I16" s="707"/>
      <c r="J16" s="746" t="s">
        <v>1596</v>
      </c>
      <c r="K16" s="747"/>
      <c r="L16" s="748"/>
      <c r="M16" s="778"/>
      <c r="N16" s="779"/>
      <c r="O16" s="780"/>
      <c r="P16" s="128"/>
    </row>
    <row r="17" spans="1:17" ht="24.75" customHeight="1"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97">
        <f>VLOOKUP(L12,Reporte!$N$5:$BN$133,30,FALSE)</f>
        <v>0</v>
      </c>
      <c r="D22" s="197">
        <f>VLOOKUP(L12,Reporte!$N$5:$BN$133,31,FALSE)</f>
        <v>0</v>
      </c>
      <c r="E22" s="197">
        <f>VLOOKUP(L12,Reporte!$N$5:$BN$133,32,FALSE)</f>
        <v>4.625</v>
      </c>
      <c r="F22" s="204">
        <f>VLOOKUP(L12,Reporte!$N$5:$BN$133,33,FALSE)</f>
        <v>0</v>
      </c>
      <c r="G22" s="197">
        <f>VLOOKUP(L12,Reporte!$N$5:$BN$133,34,FALSE)</f>
        <v>0</v>
      </c>
      <c r="H22" s="204">
        <f>VLOOKUP(L12,Reporte!$N$5:$BN$133,35,FALSE)</f>
        <v>5</v>
      </c>
      <c r="I22" s="197">
        <f>VLOOKUP(L12,Reporte!$N$5:$BN$133,36,FALSE)</f>
        <v>0</v>
      </c>
      <c r="J22" s="204">
        <f>VLOOKUP(L12,Reporte!$N$5:$BN$133,37,FALSE)</f>
        <v>0</v>
      </c>
      <c r="K22" s="204">
        <f>VLOOKUP(L12,Reporte!$N$5:$BN$133,38,FALSE)</f>
        <v>5.75</v>
      </c>
      <c r="L22" s="204">
        <f>VLOOKUP(L12,Reporte!$N$5:$BN$133,39,FALSE)</f>
        <v>0</v>
      </c>
      <c r="M22" s="204">
        <f>VLOOKUP(L12,Reporte!$N$5:$BN$133,40,FALSE)</f>
        <v>0</v>
      </c>
      <c r="N22" s="205">
        <f>VLOOKUP(L12,Reporte!$N$5:$BN$133,41,FALSE)</f>
        <v>6</v>
      </c>
      <c r="O22" s="205">
        <f>MAX(C22:N22)</f>
        <v>6</v>
      </c>
      <c r="P22" s="128"/>
    </row>
    <row r="23" spans="1:17" ht="16.5" thickBot="1">
      <c r="A23" s="690" t="s">
        <v>76</v>
      </c>
      <c r="B23" s="691"/>
      <c r="C23" s="198">
        <f>VLOOKUP(L12,Reporte!$N$5:$BN$133,42,FALSE)</f>
        <v>0</v>
      </c>
      <c r="D23" s="198">
        <f>VLOOKUP(L12,Reporte!$N$5:$BN$133,43,FALSE)</f>
        <v>0</v>
      </c>
      <c r="E23" s="198">
        <f>VLOOKUP(L12,Reporte!$N$5:$BN$133,44,FALSE)</f>
        <v>9</v>
      </c>
      <c r="F23" s="198">
        <f>VLOOKUP(L12,Reporte!$N$5:$BN$133,45,FALSE)</f>
        <v>0</v>
      </c>
      <c r="G23" s="198">
        <f>VLOOKUP(L12,Reporte!$N$5:$BN$133,46,FALSE)</f>
        <v>0</v>
      </c>
      <c r="H23" s="198">
        <f>VLOOKUP(L12,Reporte!$N$5:$BN$133,47,FALSE)</f>
        <v>9</v>
      </c>
      <c r="I23" s="198">
        <f>VLOOKUP(L12,Reporte!$N$5:$BN$133,48,FALSE)</f>
        <v>0</v>
      </c>
      <c r="J23" s="198">
        <f>VLOOKUP(L12,Reporte!$N$5:$BN$133,49,FALSE)</f>
        <v>0</v>
      </c>
      <c r="K23" s="198">
        <f>VLOOKUP(L12,Reporte!$N$5:$BN$133,50,FALSE)</f>
        <v>9</v>
      </c>
      <c r="L23" s="198">
        <f>VLOOKUP(L12,Reporte!$N$5:$BN$133,51,FALSE)</f>
        <v>0</v>
      </c>
      <c r="M23" s="198">
        <f>VLOOKUP(L12,Reporte!$N$5:$BN$133,52,FALSE)</f>
        <v>0</v>
      </c>
      <c r="N23" s="206">
        <f>VLOOKUP(L12,Reporte!$N$5:$BN$133,53,FALSE)</f>
        <v>9</v>
      </c>
      <c r="O23" s="205">
        <f>MAX(C23:N23)</f>
        <v>9</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0.66666666666666663</v>
      </c>
      <c r="D26" s="146">
        <f>+C26*0.98</f>
        <v>0.65333333333333332</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0.66666666666666663</v>
      </c>
      <c r="D27" s="146">
        <f>+D26</f>
        <v>0.65333333333333332</v>
      </c>
      <c r="E27" s="147"/>
      <c r="F27" s="147"/>
      <c r="G27" s="685"/>
      <c r="H27" s="685"/>
      <c r="I27" s="685"/>
      <c r="J27" s="685"/>
      <c r="K27" s="147"/>
      <c r="L27" s="685"/>
      <c r="M27" s="685"/>
      <c r="N27" s="685"/>
      <c r="O27" s="701"/>
      <c r="P27" s="148"/>
      <c r="Q27" s="149"/>
    </row>
    <row r="28" spans="1:17" s="127" customFormat="1" ht="15">
      <c r="A28" s="145" t="s">
        <v>96</v>
      </c>
      <c r="B28" s="146">
        <f>IF(ISERROR($E$22/$E$23),0,$E$22/$E$23)</f>
        <v>0.51388888888888884</v>
      </c>
      <c r="C28" s="146">
        <f t="shared" ref="C28:D37" si="0">+C27</f>
        <v>0.66666666666666663</v>
      </c>
      <c r="D28" s="146">
        <f t="shared" si="0"/>
        <v>0.65333333333333332</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0.66666666666666663</v>
      </c>
      <c r="D29" s="146">
        <f t="shared" si="0"/>
        <v>0.65333333333333332</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0.66666666666666663</v>
      </c>
      <c r="D30" s="146">
        <f t="shared" si="0"/>
        <v>0.65333333333333332</v>
      </c>
      <c r="E30" s="147"/>
      <c r="F30" s="147"/>
      <c r="G30" s="685"/>
      <c r="H30" s="685"/>
      <c r="I30" s="685"/>
      <c r="J30" s="685"/>
      <c r="K30" s="147"/>
      <c r="L30" s="685"/>
      <c r="M30" s="685"/>
      <c r="N30" s="685"/>
      <c r="O30" s="701"/>
      <c r="P30" s="148"/>
      <c r="Q30" s="149"/>
    </row>
    <row r="31" spans="1:17" s="127" customFormat="1" ht="15">
      <c r="A31" s="145" t="s">
        <v>99</v>
      </c>
      <c r="B31" s="146">
        <f>IF(ISERROR($H$22/$H$23),0,$H$22/$H$23)</f>
        <v>0.55555555555555558</v>
      </c>
      <c r="C31" s="146">
        <f t="shared" si="0"/>
        <v>0.66666666666666663</v>
      </c>
      <c r="D31" s="146">
        <f t="shared" si="0"/>
        <v>0.65333333333333332</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0.66666666666666663</v>
      </c>
      <c r="D32" s="146">
        <f t="shared" si="0"/>
        <v>0.65333333333333332</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0.66666666666666663</v>
      </c>
      <c r="D33" s="146">
        <f t="shared" si="0"/>
        <v>0.65333333333333332</v>
      </c>
      <c r="E33" s="147"/>
      <c r="F33" s="147"/>
      <c r="G33" s="685"/>
      <c r="H33" s="685"/>
      <c r="I33" s="685"/>
      <c r="J33" s="685"/>
      <c r="K33" s="147"/>
      <c r="L33" s="685"/>
      <c r="M33" s="685"/>
      <c r="N33" s="685"/>
      <c r="O33" s="701"/>
      <c r="P33" s="148"/>
      <c r="Q33" s="149"/>
    </row>
    <row r="34" spans="1:17" s="127" customFormat="1" ht="15">
      <c r="A34" s="145" t="s">
        <v>102</v>
      </c>
      <c r="B34" s="146">
        <f>IF(ISERROR($K$22/$K$23),0,$K$22/$K$23)</f>
        <v>0.63888888888888884</v>
      </c>
      <c r="C34" s="146">
        <f t="shared" si="0"/>
        <v>0.66666666666666663</v>
      </c>
      <c r="D34" s="146">
        <f t="shared" si="0"/>
        <v>0.65333333333333332</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0.66666666666666663</v>
      </c>
      <c r="D35" s="146">
        <f t="shared" si="0"/>
        <v>0.65333333333333332</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0.66666666666666663</v>
      </c>
      <c r="D36" s="146">
        <f t="shared" si="0"/>
        <v>0.65333333333333332</v>
      </c>
      <c r="E36" s="147"/>
      <c r="F36" s="147"/>
      <c r="G36" s="685"/>
      <c r="H36" s="685"/>
      <c r="I36" s="685"/>
      <c r="J36" s="685"/>
      <c r="K36" s="147"/>
      <c r="L36" s="685"/>
      <c r="M36" s="685"/>
      <c r="N36" s="685"/>
      <c r="O36" s="701"/>
      <c r="P36" s="148"/>
      <c r="Q36" s="149"/>
    </row>
    <row r="37" spans="1:17" s="127" customFormat="1" ht="15.75" thickBot="1">
      <c r="A37" s="150" t="s">
        <v>105</v>
      </c>
      <c r="B37" s="151">
        <f>IF(ISERROR($N$22/$N$23),0,$N$22/$N$23)</f>
        <v>0.66666666666666663</v>
      </c>
      <c r="C37" s="146">
        <f t="shared" si="0"/>
        <v>0.66666666666666663</v>
      </c>
      <c r="D37" s="146">
        <f t="shared" si="0"/>
        <v>0.65333333333333332</v>
      </c>
      <c r="E37" s="147"/>
      <c r="F37" s="147"/>
      <c r="G37" s="147"/>
      <c r="H37" s="147"/>
      <c r="I37" s="147"/>
      <c r="J37" s="147"/>
      <c r="K37" s="147"/>
      <c r="L37" s="685"/>
      <c r="M37" s="685"/>
      <c r="N37" s="685"/>
      <c r="O37" s="701"/>
      <c r="P37" s="148"/>
      <c r="Q37" s="149"/>
    </row>
    <row r="38" spans="1:17" s="127" customFormat="1" ht="15.75" thickBot="1">
      <c r="A38" s="152" t="s">
        <v>106</v>
      </c>
      <c r="B38" s="153">
        <f>IF(ISERROR($O$22/$O$23),0,$O$22/$O$23)</f>
        <v>0.66666666666666663</v>
      </c>
      <c r="C38" s="153">
        <f>+C37</f>
        <v>0.66666666666666663</v>
      </c>
      <c r="D38" s="153">
        <f>+D37</f>
        <v>0.65333333333333332</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114.75" customHeight="1" thickBot="1">
      <c r="A45" s="682" t="str">
        <f>VLOOKUP(L12,Reporte!$N$5:$BZ$133,56,FALSE)</f>
        <v xml:space="preserve">​La meta estuvo muy cerca de alcanzarse, hizo falta una regional más con un nuevo actor del sistema apoyado, sin embargo ete indicador subirá en el siguiente reporte.
Todas Las regionales vienen realizado actividades con los 4 actores acumulados que se llevan (Etidades territoriales, Usuarios, Gestores Farmacéuticos y Aseguradores)  y han comenzado su apoyo a Prestadores también.  Esto en apoyo a las respectivas Delegadas.
De acuerdo a las Regionales que han activado apoyo con prestadores, este se calcula en un 62,5% (5 de 8 regionales) de acuerdo a la evidencia adjunta
Sumando los 4 actores iniciales más el 62,5%  del nuevo actor (prestadores)  y comparándolos con los 9 para el cuatrienio, se tiene un 51,39%,  (4,625/9) lo cual es un avance importante rumbo a la meta de 66% propuesta para 2025.  Es decir, que a final de 2025 debe consolidarse el apoyo a prestadores e incluir además un sexto grupo de valor, y así lograr ese 66%.
La razón por la cual se tiene una meta de 66% (6 de 9) para este año, es que para cada año del cuatrienio se tiene la misma meta (con excepción del último, donde son 3 de 9, es decir, el 33,3%, de tal forma que al sumar los 4 porcentajes de los 4 años deberá darel 100%, es decir, 9 actores de 9 posibles en 4 años.
Se anexan las evidencias correspondientes dentro del URL adjunto.  ya que hay evidencias de todas las regionales y estas son muy pesadas para ser cargadas aquí.  Se han concedido algunos permisos para este URL. (Andrea del Pilar López, Mónica Liliana Salazar, Gloria Rocío PEreira, Peter William VArgas, Johana Patricia Orjuela).  Si Alguien mas de la OAP o de la OCI requiere ingresar al URL, solicitarlo a Rafael Enrique García Cadavid.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38" customHeight="1" thickBot="1">
      <c r="A51" s="670" t="str">
        <f>VLOOKUP(L12,Reporte!$N$5:$BZ$133,59,FALSE)</f>
        <v xml:space="preserve">Para   este primer trimestre se avanzó en la implementación de acciones con   prestadores de servicios de salud en las Direcciones Regionales.
Sumando los 4 actores iniciales más el 100% del nuevo   actor (prestadores) y comparándolos con los 9 para el cuatrienio, se tiene un   alcance de 5 actores de 9 previstos, alcanzando el 55% programado para junio   de 2025, lo que además, representa un avance importante rumbo a la meta de   66% propuesta para 2025.
 El indicador representa un buen avance para el segundo trimestre, dado que   se vienen generando más acciones que dan cuenta de esta de este   abordaje.
 A continuación se relacionan las acciones adelantadas durante el trimestre,   asl cuales corresponden al monitoreo de referencia y contrareferencia en   coordinación con la Superintendencia Delegada para Prestadores de Servicios   de Salud:
 Dirección Regional Caribe:
     2/04/2025 - La Guajira - Maicao: Hospital San José de Maicao
     7/04/2025 - La Guajira - San Juan del Cesar: Hospital San Rafael de San   Juan Cesar
     28/05/2025 - Magdalena - Santa Marta: ESE   Alejandro Próspero Reverend
     25/06/2025 - Cesar - Valledupar: Hospital Eduardo Arrendondo Daza
 Dirección Regional Norte:
     1/04/2025 - Bolívar - Cartagena: 
     28/04/2025 - Sucre - Sincelejo: ESE Hospital Universitario de Sincelejo   Sucre
     26/05/2025 - Córdoba - Montería: ESE Hospital San Jeronimo de   Montería
 Dirección Regional Occidental: 
     21/05/2025 - Cauca - Popayán: 
     Dirección Regional Sur:
     19/06/2025 - Ibague - Tolima: Hospital Federico   LLeras
     26/06/2025 - Ibague - Tolima: Hospital Federico Lleras
Se precisa que fue emitida el el 13 de mayo de 2025 fue emitida la Circular   interna 2025500000000007-4 de 2025, bajo la cual se imparten instrucciones   para mejorar la capacidad resolutiva de las Direcciones Regionales de la   Superintendencia Nacional de Salud. En esta circular, se definen acciones   dirigidas a los sujetos vigilados de la SNS y que podrán ser adelantadas por   las Direcciones Regionales, en articulación y coordinación con el nivel   central. Esto favorece ampliar el campo de acción en territorio.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173.25" customHeight="1" thickBot="1">
      <c r="A57" s="682" t="str">
        <f>VLOOKUP(L12,Reporte!$N$5:$BZ$133,62,FALSE)</f>
        <v>Para el periodo de seguimiento se realizaron actividades con el actor Aseguradores, en 6 de las 8  regionales, lo que equivale a un acumulado de 5.75 actores de los 9 programados para el cuatrienio, faltando 0.25 para alcanzar la meta de la vigencia de 2025, el detalle de las actividades se rrelaciona acontinuación:
 - DR Andina:se realizaron Mesas de PQRD con 2 nuevos aseguradores en el mes de Agosto:  Policia, Astmetsalud
- DR Orinoquía:Seguimiento del 1 al 10 de la Mesa PQRD con Capital Salud EPS Meta, Seguimiento del 1 al 9 de la Mesa PQRD con Famisanar EPS Meta, Seguimiento del 1 al 9 de la Mesa PQRD con Nueva EPS Meta, Seguimiento del 1 al 8 de la Mesa PQRD con Sanitas EPS Meta
- DR Occidental: Se realizaron tres (3) mesas de Inspección y Vigilancia para seguimeinto de PQRD a las EPS Nueva EPS, Emssanar y Servicio Occidental de Salud. Adicionalmente en la Sede Agualongo Se realizó una lista de verificación LVR a la EPS Asmet Salud y mesa PQRD Emssanar. 
- DR Sur: Se desarrollaron un total de 3 acciones que consistieron en la realización de mesa de trabajo seguimiento PQRD Huila y Tolima con Famisanar y 2 requerimientos a Famisanar EPS y Asmet Salud EPS para resolución de PQRD
- DR Nororiental: 4 Mesa aseguradores (1seguimiento a estratégia contención de quejas con EPS Santander) y ( 3 Mesas Seguimiento TBC Bucaramanga) 
- DR Caribe: Se realizó mesa tecnica de flujo de recursos con las 15 EPS que operan en los departamentos de Magdalena, Cesar y Guajira.
- Sede Insular: Se ejecutó IVR a Nueva EPS el 17 de julio de 2025.
- DR Chocó: N/A Por dificultades logísticas impidieron la consolidación del informe el reporte ingresará en el cuarto trimestre del año.
- DR Norte: N/A, se tiene programado para el cuarto trimestre del año</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200.25" customHeight="1" thickBot="1">
      <c r="A63" s="673" t="str">
        <f>VLOOKUP(L12,Reporte!$N$5:$BZ$133,65,FALSE)</f>
        <v>Para el reporte correspondientes al trimestre pasado (III), se evidenció un cumplimiento parcial de la meta, debido a que no fue posible reportar oportrunamente las acciones con aseguradores por parte de las Direcciones Regionales de Chocó y Norte. Esta situación se presentó como consecuencias de fallas técnicas que impidieron el cargue de la información dentro de los tiempos establecidos. 
No obstante, una vez superadas dichas contingencias, se registran los avances en estas dos regionales, lo que permite dar cumplimiento a la meta establecida para la vigencia, corresponidente a 2 actores del sistema de salud con acciones por parte de las Direcciones Regionales. A continuación, presenta esta información de manera detallada:
REGIONAL CHOCÓ:Mesa técnica en el marco RIAS . Mesa de PQRD FOMAG
REGIONAL NORTE: Se realizaron 3 Mesas de PQRD Cajacopi, Coosalud y Mutualser
De igual forma, se realizaron más acciones por parte de otras Direcciones Regionales, las cuales se presentan a continuación:
REGIONAL NORORIENTAL: Seguimiento mesa de contratacióncon Coosalud
REGIONAL ORINOQUIA: Mesa de contingencia de medicamentos con Nueva EPS y el Gestor Farmacéutico de MyT -  Mesa problemática de prestación de servicios con Coosalud y los prestadores Salud Renal y MyT - Mesa problemática de prestación de servicios con Sanitas y los prestadores Salud Renal y MyT - Mesa problemática de prestación de servicios con Nueva EPS y los prestadores Salud Renal y MyT
REGIONAL OCCIDENTAL SEDE AGUALONGO: Mesa problemática de prestación  de servicios  con Asmet Salud y las ESE de la Costa Pacífica.
REGIONAL CARIBE: Mesa técnica en el  marco RIAS en Valledpar, Cesar.
DIRECCIÓN REGIONAL SUR: mesa de trabajo con los Seguro Obligatorio de Accidentes de Tránsito (SOAT) y la Nueva EPS</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 realizado acciones de inspección y vigilancia a 6 actores del sistema de salud, de forma acumulada; Es decir que se lleva un avance del 66%, dando cumplimiento a la cobertura de 2 actores para  2025, que corresponden a Prestadores y Aseguradores.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25D13-FE35-4193-B6E6-963768E0B951}">
  <sheetPr codeName="Hoja3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2.25" customHeight="1">
      <c r="A6" s="789" t="s">
        <v>8</v>
      </c>
      <c r="B6" s="790"/>
      <c r="C6" s="834" t="str">
        <f>VLOOKUP(L12,Reporte!$N$5:$BN$133,2,FALSE)</f>
        <v>Porcentaje de Nuevos territorios (Departamentos, Municipios o Distritos) impactados con acciones de IV por parte de las Direcciones Regionales sobre el total de Nuevos Territorios programados.
NOTA: Se entienden como nuevos territorios impactados, aquellos que no hayan tenido acciones de IV en la Vigencia Anterior, y sí en la actual.
NOTA 2:  Las acciones de inspección y vigilancia pueden ser auditorías, mesas de Inspección y Vigilancia, Acciones Integrales en Territorio, Estrategia de territorios Vitales, Fortalecimiento de competencias de las Entidades Territoriales, entre otras.</v>
      </c>
      <c r="D6" s="834"/>
      <c r="E6" s="834"/>
      <c r="F6" s="834"/>
      <c r="G6" s="834"/>
      <c r="H6" s="834"/>
      <c r="I6" s="834"/>
      <c r="J6" s="834"/>
      <c r="K6" s="834"/>
      <c r="L6" s="834"/>
      <c r="M6" s="834"/>
      <c r="N6" s="834"/>
      <c r="O6" s="835"/>
      <c r="P6" s="128"/>
    </row>
    <row r="7" spans="1:17" ht="56.2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Implementar acciones de inspección y vigilancia en nuevos  territorios que han carecido de ellas de manera adecuada.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nuevos territorios impactados con Acciones de IV </v>
      </c>
      <c r="D10" s="711"/>
      <c r="E10" s="711"/>
      <c r="F10" s="799" t="str">
        <f>VLOOKUP(L12,Reporte!$N$5:$BN$133,6,FALSE)</f>
        <v>Este indicador mide número de mesas de flujo de recursos en los departamoentos y distritos priorizados.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63" customHeight="1" thickBot="1">
      <c r="A12" s="796"/>
      <c r="B12" s="768"/>
      <c r="C12" s="710" t="str">
        <f>VLOOKUP(L12,Reporte!$N$5:$BN$133,5,FALSE)</f>
        <v xml:space="preserve"> Número de Nuevos territorios programados por la Direcciones Regionales para intervenir*100</v>
      </c>
      <c r="D12" s="711"/>
      <c r="E12" s="711"/>
      <c r="F12" s="799"/>
      <c r="G12" s="799"/>
      <c r="H12" s="799"/>
      <c r="I12" s="799"/>
      <c r="J12" s="712" t="str">
        <f>VLOOKUP(L12,Reporte!$N$5:$BN$133,7,FALSE)</f>
        <v>Efectividad</v>
      </c>
      <c r="K12" s="712"/>
      <c r="L12" s="713" t="s">
        <v>278</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5.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5.5" customHeight="1">
      <c r="A16" s="730"/>
      <c r="B16" s="731"/>
      <c r="C16" s="736"/>
      <c r="D16" s="737"/>
      <c r="E16" s="731"/>
      <c r="F16" s="742"/>
      <c r="G16" s="743"/>
      <c r="H16" s="707" t="s">
        <v>40</v>
      </c>
      <c r="I16" s="707"/>
      <c r="J16" s="746" t="s">
        <v>1596</v>
      </c>
      <c r="K16" s="747"/>
      <c r="L16" s="748"/>
      <c r="M16" s="778"/>
      <c r="N16" s="779"/>
      <c r="O16" s="780"/>
      <c r="P16" s="128"/>
    </row>
    <row r="17" spans="1:17" ht="25.5" customHeight="1"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18</v>
      </c>
      <c r="F22" s="139">
        <f>VLOOKUP(L12,Reporte!$N$5:$BN$133,33,FALSE)</f>
        <v>0</v>
      </c>
      <c r="G22" s="132">
        <f>VLOOKUP(L12,Reporte!$N$5:$BN$133,34,FALSE)</f>
        <v>0</v>
      </c>
      <c r="H22" s="139">
        <f>VLOOKUP(L12,Reporte!$N$5:$BN$133,35,FALSE)</f>
        <v>23</v>
      </c>
      <c r="I22" s="132">
        <f>VLOOKUP(L12,Reporte!$N$5:$BN$133,36,FALSE)</f>
        <v>0</v>
      </c>
      <c r="J22" s="139">
        <f>VLOOKUP(L12,Reporte!$N$5:$BN$133,37,FALSE)</f>
        <v>0</v>
      </c>
      <c r="K22" s="139">
        <f>VLOOKUP(L12,Reporte!$N$5:$BN$133,38,FALSE)</f>
        <v>50</v>
      </c>
      <c r="L22" s="139">
        <f>VLOOKUP(L12,Reporte!$N$5:$BN$133,39,FALSE)</f>
        <v>0</v>
      </c>
      <c r="M22" s="139">
        <f>VLOOKUP(L12,Reporte!$N$5:$BN$133,40,FALSE)</f>
        <v>0</v>
      </c>
      <c r="N22" s="133">
        <f>VLOOKUP(L12,Reporte!$N$5:$BN$133,41,FALSE)</f>
        <v>1</v>
      </c>
      <c r="O22" s="133">
        <f>SUM(C22:N22)</f>
        <v>92</v>
      </c>
      <c r="P22" s="128"/>
    </row>
    <row r="23" spans="1:17" ht="16.5" thickBot="1">
      <c r="A23" s="690" t="s">
        <v>76</v>
      </c>
      <c r="B23" s="691"/>
      <c r="C23" s="140">
        <f>VLOOKUP(L12,Reporte!$N$5:$BN$133,42,FALSE)</f>
        <v>0</v>
      </c>
      <c r="D23" s="140">
        <f>VLOOKUP(L12,Reporte!$N$5:$BN$133,43,FALSE)</f>
        <v>0</v>
      </c>
      <c r="E23" s="140">
        <f>VLOOKUP(L12,Reporte!$N$5:$BN$133,44,FALSE)</f>
        <v>18</v>
      </c>
      <c r="F23" s="140">
        <f>VLOOKUP(L12,Reporte!$N$5:$BN$133,45,FALSE)</f>
        <v>0</v>
      </c>
      <c r="G23" s="140">
        <f>VLOOKUP(L12,Reporte!$N$5:$BN$133,46,FALSE)</f>
        <v>0</v>
      </c>
      <c r="H23" s="140">
        <f>VLOOKUP(L12,Reporte!$N$5:$BN$133,47,FALSE)</f>
        <v>23</v>
      </c>
      <c r="I23" s="140">
        <f>VLOOKUP(L12,Reporte!$N$5:$BN$133,48,FALSE)</f>
        <v>0</v>
      </c>
      <c r="J23" s="140">
        <f>VLOOKUP(L12,Reporte!$N$5:$BN$133,49,FALSE)</f>
        <v>0</v>
      </c>
      <c r="K23" s="140">
        <f>VLOOKUP(L12,Reporte!$N$5:$BN$133,50,FALSE)</f>
        <v>50</v>
      </c>
      <c r="L23" s="140">
        <f>VLOOKUP(L12,Reporte!$N$5:$BN$133,51,FALSE)</f>
        <v>0</v>
      </c>
      <c r="M23" s="140">
        <f>VLOOKUP(L12,Reporte!$N$5:$BN$133,52,FALSE)</f>
        <v>0</v>
      </c>
      <c r="N23" s="141">
        <f>VLOOKUP(L12,Reporte!$N$5:$BN$133,53,FALSE)</f>
        <v>1</v>
      </c>
      <c r="O23" s="133">
        <f>SUM(C23:N23)</f>
        <v>92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Se programaron 18  Nuevos Territorios nuevos para la vigencia a los cuales se llegó con acciones por parte de las Direcciones Regionales., cumpliendo con el 100% del indicador. En las evidencias que se anexan puede verse cuales son esos 18 territorios nuevos y algunas de las acciones en los mismos.  Para Chocó y Caribe, los nuevos territorios están programados para siguientes trimestres.​
Se adjunta en carpeta compartida:  Excel con la relación de los 18 nuevos  territorios y subcarpetas con una muestra de acciones en cada uno de ellos.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23" customHeight="1" thickBot="1">
      <c r="A51" s="673" t="str">
        <f>VLOOKUP(L12,Reporte!$N$5:$BZ$133,59,FALSE)</f>
        <v>Durante   el segundo trimestre se abordaron un total de 23 nuevos territorios por parte   de las Direcciones Regionales, así:
     Dirección Regional Andina (5 nuevos territorios):   Se impactaron los territorios con mesas IV en Marmato y Neira en Caldas y   Guarne en Antioquia.
     Con Jornadas de Atención al usuario a Villa María y Filadelfia en   Caldas.
     Dirección Regional Norte (2 nuevos territorios): Se efectuó jornada de atención al usuario en los   corregimientos de Bayunca y La Boquilla en Cartagena.
     Dirección Regional Sur (4 nuevos territorios): Teniendo en cuenta la declaratoria de emergencia por fiebre   amarilla se realizaron mesas de IV en los municipios de Ataco, Coyaima,   Icononzo y Melgar (Tolima) con el fin, de garantizar que los municipios de   alto riesgo dieran cumplimiento a la reglamentación vigente en pro de   disminuir el indicadore del evento.
     Dirección Regional Nororiental (4 nuevos   territorios): 
     - JAU en el municipio de Chitagá, Norte de Santander el 08 de abril de   2025.
     - Mesa IV Sotaquirá, Boyacá el 05 y 06 de mayo de 2025.
     - Mesa IV Chitagá, Norte de Santander el 12 y 13 de mayo de 2025.
     - Mesa IV Chitaraque, Boyacá el 26 y 27 de junio de 2025.
     Dirección Regional Caribe (3 nuevos   territorios):
     - 1 mesa de IV en el Municipio de Gonzalez   -Cesar.
     - 2 Auditorias específicas en los municipios de Gamarra – Cesar y El Piñon   -Magdalena.
     Dirección Regional Occidental (5 nuevos   territorios):
     - Mesa de IV: Timbiquí Cauca, Piendamó Cauca,  López de Micay Cauca
     - Jornada de atención al usuario: Chachagüi Nariño
     - Acción Integral en el Territorio: Olaya Herrera Nariño</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208.5" customHeight="1" thickBot="1">
      <c r="A57" s="682" t="str">
        <f>VLOOKUP(L12,Reporte!$N$5:$BZ$133,62,FALSE)</f>
        <v xml:space="preserve">Para el periodo de seguimiento se programaron impactar 50 nuevos territorios y se logró llegar a 50, lo cual evidencia un cumplimiento del 100% de los territorios programados para el periodo, así:              DR Andina: Acción Inspectiva con prestadores en Ituango, y Mesa convocada por terceros en Santuario Risaralda.
DR Orinoquía:En total fueron impactados 3 nuevos territorios. 1. Mesa IV en cumaribo -  VIchada el 13 y 14 de agosto de 2025. 2. Mesa IV en San Carlos de Guaroa - Meta el 28 de julio de 2025. 3. Mesa IV en San Martin de los Llanos - Meta el 30 de Julio de 2025.
DR Occidental: Se realizaron un total de ocho (8) acciones de inspección y vigilancia en nuevos territorios, tres (3) en el departamento del Cauca, en los municipios de Puerto Tejada (vigías en el territorio referencia y contrarreferencia y a gestor farmacéutico); Villa Rica  (vigías en el territorio referencia y contrarreferencia y a gestor farmacéutico); Caloto (mesa de IV tosferina) y en el Valle del Cauca cinco (5) acciones, Tuluá (vigías en el territorio referencia y contrarreferencia); Palmira (vigías en el territorio referencia y contrarreferencia y a gestor farmacéutico); Candelaria (vigías en el territorio referencia y contrarreferencia y a gestor farmacéutico); Yumbo (vigías en el territorio referencia y contrarreferencia y a gestor farmacéutico) y Guadalajara de Buga vigías en el territorio (referencia y contrarreferencia y a gestor farmacéutico). 
DR Sur: En total fueron 4 territorios nuevos atendidos con: Mesa IV - San Vicente del Caguán - Caquetá, Mesa de Gobernanza - San Miguel y Orito - Putumayo, Apoyo a DPU en jornada de atención al usuario - Ataco - Tolima. 
DR Norte: N/A
DR Nororiental: 4 nuevos territorios  (2 Mesa IV de Gámeza e Iza), (1 Mesa Consejo Municipal Moniquirá), (2 Vigías de la Salud en Málaga y Socorro), (1 LVR en San Vicente de Chucurí)
DR Chocó: 9 acciones entre las cuales mesas IV, REFERENCIA Y CONTRAREFERENCIA
DR Caribe: 1 Mesa IV - Bosconia - Cesar,  5 Mesas de Gobernanza:  Cesar:  2:   Becerril, Talamemeque, Magdalena:  3 Salamina, Puebloviejo, La Guajira: 1:  Fonseca. 1 AIT - Santa Ana Magdalena. Proceso de referencia y contrareferencia.  5, LVR Gestores Farmaceuticos: 4
Sede Agualongo: En la sede Agualongo se realizaron cuatro (4) mesas de Inspección y Vigilancia en los municipios de Magui Payan, Barbacoas, Sandoná y Tuquerres.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47" customHeight="1" thickBot="1">
      <c r="A63" s="673" t="str">
        <f>VLOOKUP(L12,Reporte!$N$5:$BZ$133,65,FALSE)</f>
        <v>Para el último trimestre, se programó la intervención de once (11) nuevos territorios, los cuales fueron atendidos mediante acciones preventivas y/o de inspección y vigilancia, adelantadas por las diferentes Direcciones Regionales, así:   
Regional Andina: Durante el trimestre se realizaron mesas de inspección y vigilancia en Arboletes y Turbo. Adicionalmente, se abordaron nueve (9) sentencias en Valdivia y una mesa convocada por terceros en Sabanalarga.
Regional Nororiental: Se llevó a cabo una mesa de inspección y vigilancia en el municipio de Toledo y una mesa de gobernanza en Socha.
Regional Occidental – Sede Agualongo: Se realizó una mesa de inspección y vigilancia en el municipio de Aldana.
Regional Sur: Se desarrolló una mesa de gobernanza con el municipio de Acevedo, así como una acción de inspección y vigilancia a la ejecución técnica y financiera del Plan de Intervenciones Colectivas (PIC) vigencia 2024, en los municipios de Murillo y Yondó.
Regional Occidental: Se ejecutó una Acción Integral en Territorio en el municipio de Sevilla, departamento del Valle del Cauca.
Es importante resaltar, que en algunas direcciones regionales no se pudo programar acciones de IV en nuevos territorios debido a los problemas de orden público presentados en algunas regiones del país.</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impactaron con acciones IVC 92 nuevos territorios, con cumplimiento de la meta establecida para 2025 que corresponde al 100% de cobertura de los territorios programados.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2E9C2-07A5-4DD3-BC13-946CA498CD82}">
  <sheetPr codeName="Hoja3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Porcentaje de alertas generadas en desarrollo de las acciones de IV a generadores, recaudadores y administradores de recursos del SGSSS con acciones de gestión sobre el total de alertas</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Supervisar las alertas interpuestas a los Generadores, Recaudadores y Administradores de Recursos del SGSSSS mediante acciones de IV</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5.5" customHeight="1">
      <c r="A10" s="794"/>
      <c r="B10" s="795"/>
      <c r="C10" s="711" t="str">
        <f>VLOOKUP(L12,Reporte!$N$5:$BN$133,4,FALSE)</f>
        <v xml:space="preserve">Número de alertas generadas en el informe del trimestre anterior con acciones de gestión </v>
      </c>
      <c r="D10" s="711"/>
      <c r="E10" s="711"/>
      <c r="F10" s="799" t="str">
        <f>VLOOKUP(L12,Reporte!$N$5:$BN$133,6,FALSE)</f>
        <v>Este indicador mide el numero de informes de seguimiento de laertas geeneradas por acciones de IV</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Total de alertas encontradas en el informe del trimestre anterior*100</v>
      </c>
      <c r="D12" s="711"/>
      <c r="E12" s="711"/>
      <c r="F12" s="799"/>
      <c r="G12" s="799"/>
      <c r="H12" s="799"/>
      <c r="I12" s="799"/>
      <c r="J12" s="712" t="str">
        <f>VLOOKUP(L12,Reporte!$N$5:$BN$133,7,FALSE)</f>
        <v>Eficiencia</v>
      </c>
      <c r="K12" s="712"/>
      <c r="L12" s="713" t="s">
        <v>284</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7"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7" customHeight="1">
      <c r="A16" s="730"/>
      <c r="B16" s="731"/>
      <c r="C16" s="736"/>
      <c r="D16" s="737"/>
      <c r="E16" s="731"/>
      <c r="F16" s="742"/>
      <c r="G16" s="743"/>
      <c r="H16" s="707" t="s">
        <v>40</v>
      </c>
      <c r="I16" s="707"/>
      <c r="J16" s="746" t="s">
        <v>1596</v>
      </c>
      <c r="K16" s="747"/>
      <c r="L16" s="748"/>
      <c r="M16" s="778"/>
      <c r="N16" s="779"/>
      <c r="O16" s="780"/>
      <c r="P16" s="128"/>
    </row>
    <row r="17" spans="1:17" ht="27" customHeight="1"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30</v>
      </c>
      <c r="F22" s="139">
        <f>VLOOKUP(L12,Reporte!$N$5:$BN$133,33,FALSE)</f>
        <v>0</v>
      </c>
      <c r="G22" s="132">
        <f>VLOOKUP(L12,Reporte!$N$5:$BN$133,34,FALSE)</f>
        <v>0</v>
      </c>
      <c r="H22" s="139">
        <f>VLOOKUP(L12,Reporte!$N$5:$BN$133,35,FALSE)</f>
        <v>23</v>
      </c>
      <c r="I22" s="132">
        <f>VLOOKUP(L12,Reporte!$N$5:$BN$133,36,FALSE)</f>
        <v>0</v>
      </c>
      <c r="J22" s="139">
        <f>VLOOKUP(L12,Reporte!$N$5:$BN$133,37,FALSE)</f>
        <v>0</v>
      </c>
      <c r="K22" s="139">
        <f>VLOOKUP(L12,Reporte!$N$5:$BN$133,38,FALSE)</f>
        <v>2</v>
      </c>
      <c r="L22" s="139">
        <f>VLOOKUP(L12,Reporte!$N$5:$BN$133,39,FALSE)</f>
        <v>0</v>
      </c>
      <c r="M22" s="139">
        <f>VLOOKUP(L12,Reporte!$N$5:$BN$133,40,FALSE)</f>
        <v>0</v>
      </c>
      <c r="N22" s="133">
        <f>VLOOKUP(L12,Reporte!$N$5:$BN$133,41,FALSE)</f>
        <v>1</v>
      </c>
      <c r="O22" s="133">
        <f>SUM(C22:N22)</f>
        <v>56</v>
      </c>
      <c r="P22" s="128"/>
    </row>
    <row r="23" spans="1:17" ht="16.5" thickBot="1">
      <c r="A23" s="690" t="s">
        <v>76</v>
      </c>
      <c r="B23" s="691"/>
      <c r="C23" s="140">
        <f>VLOOKUP(L12,Reporte!$N$5:$BN$133,42,FALSE)</f>
        <v>0</v>
      </c>
      <c r="D23" s="140">
        <f>VLOOKUP(L12,Reporte!$N$5:$BN$133,43,FALSE)</f>
        <v>0</v>
      </c>
      <c r="E23" s="140">
        <f>VLOOKUP(L12,Reporte!$N$5:$BN$133,44,FALSE)</f>
        <v>30</v>
      </c>
      <c r="F23" s="140">
        <f>VLOOKUP(L12,Reporte!$N$5:$BN$133,45,FALSE)</f>
        <v>0</v>
      </c>
      <c r="G23" s="140">
        <f>VLOOKUP(L12,Reporte!$N$5:$BN$133,46,FALSE)</f>
        <v>0</v>
      </c>
      <c r="H23" s="140">
        <f>VLOOKUP(L12,Reporte!$N$5:$BN$133,47,FALSE)</f>
        <v>23</v>
      </c>
      <c r="I23" s="140">
        <f>VLOOKUP(L12,Reporte!$N$5:$BN$133,48,FALSE)</f>
        <v>0</v>
      </c>
      <c r="J23" s="140">
        <f>VLOOKUP(L12,Reporte!$N$5:$BN$133,49,FALSE)</f>
        <v>0</v>
      </c>
      <c r="K23" s="140">
        <f>VLOOKUP(L12,Reporte!$N$5:$BN$133,50,FALSE)</f>
        <v>2</v>
      </c>
      <c r="L23" s="140">
        <f>VLOOKUP(L12,Reporte!$N$5:$BN$133,51,FALSE)</f>
        <v>0</v>
      </c>
      <c r="M23" s="140">
        <f>VLOOKUP(L12,Reporte!$N$5:$BN$133,52,FALSE)</f>
        <v>0</v>
      </c>
      <c r="N23" s="141">
        <f>VLOOKUP(L12,Reporte!$N$5:$BN$133,53,FALSE)</f>
        <v>1</v>
      </c>
      <c r="O23" s="133">
        <f>SUM(C23:N23)</f>
        <v>56</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129" customHeight="1" thickBot="1">
      <c r="A45" s="682" t="str">
        <f>VLOOKUP(L12,Reporte!$N$5:$BZ$133,56,FALSE)</f>
        <v xml:space="preserve">​ Se anexa informe aportado por la Dirección de Inspección y Vigilancia a Generadores, recaudadores y Administradores de Recursos del SGSSS.  Este informe contiene las alertas detectadas en las acciones de IV de esa Dirección, y frente a cada una, se detalla qué acciones de seguimiento o supervisión se han realizado.
Se realiza informe de seguimiento a las alertas generadas en las acciones de Inspección y Vigilancia a Generadores, Recaudadores y Administradores de recursos del SGSSS.
En el informe, Frente a cada alerta que se encuentra abierta, se relacionan las acciones que se han realizado para su seguimiento o supervisión.
Puede evidenciarse que para cada una de las 30 alertas encontradas hay acciones de supervisión o seguimiento generadas, es decir, se tiene el 100% de cumplimiento.
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
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22.25" customHeight="1" thickBot="1">
      <c r="A51" s="673" t="str">
        <f>VLOOKUP(L12,Reporte!$N$5:$BZ$133,59,FALSE)</f>
        <v>Se   realiza informe de seguimiento a las alertas generadas en las acciones de   Inspección y Vigilancia a Generadores, Recaudadores y Administradores de   recursos del SGSSS.
En el informe, frente a cada alerta que se encuentra abierta, se relacionan   las acciones que se han realizado para su seguimiento o supervisión.
Puede evidenciarse que para cada una de las 23 alertas   encontradas hay acciones de supervisión o   seguimiento generadas, es decir, se tiene el 100% de cumplimiento.
Se aclara que este indicador es acumulativo, es decir, en cada trimestre se   tiene en cuenta las alertas que continúen abiertas del trimestre anterior más   las nuevas que se generen. En algún caso también podrían bajar si se cierra   la acción de IV que genera la alerta. La meta es 100% al final del año.
Estas alertas pueden venir de períodos anteriores, sin embargo, el análisis   y la supervisión se realiza en el período actual, es decir, puede haber   alertas de acciones de inspección que aún estén abiertas, y solo   desaparecerán del informe cuando la acción de IV sea cerrada. Mientras la   alerta se encuentre abierta, entonces en cada período debe haber una nueva   acción de supervisión sobre cada una. En este sentido, en cada período, el   número de alertas abiertas podría subir o bajar o mantenerse igual,   dependiendo de cuantas alertas antiguas se cierren y de cuantas alertas   nuevas se generen.</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129" customHeight="1" thickBot="1">
      <c r="A57" s="682" t="str">
        <f>VLOOKUP(L12,Reporte!$N$5:$BZ$133,62,FALSE)</f>
        <v xml:space="preserve">Para el tercer trimestre de 2025, la DIVGRA presentó dos nuevas alertas que derivaron en la realización de auditorías específicas a las siguientes entidades: 1. Lotería de Medellín y 2. Concesionario de apuestas permanentes Red de Servicios del Cesar.
Adicionalmente, se realizó seguimiento a los siguientes planes de mejoramiento:
-Gobernación del Chocó, tercer avance.
-Empresa Industrial y Comercial del Estado Administradora del Monopolio Rentístico de los Juegos de Suerte y Azar – COLJUEGOS, segundo avance.
-Unidad de Licores del Meta, primer avance.
-Gobernación del Meta, primer avance.
-ADRES,Tercer avance y cierre del plan de mejoramiento, en el marco de las acciones desarrolladas por las alertas presentadas.
Se adjuntan las comunicaciones que evidencian lo mencionado, así como las actas correspondientes a las auditorías realizadas en atención a las dos alertas.
DRN: Se realiza oficio de evaluación evidencias del plan de mejoramiento de Auditoria en Morales (Bolívar)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Durante los meses de noviembre y diciembre no se generaron alertas en las acciones de IV a Generadores, Recaudadores y Administradores de recursos del SGSSS con acciones de gestión sobre el total de alertas. Siendo un indicador a demanda se alcanza el 100%.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acciones de gestión sobre las 56 alertas generadas, dando cobertura al 100% de las alertas identificadas en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9D045-F339-4687-A5B7-8BD7C24266FE}">
  <sheetPr codeName="Hoja2"/>
  <dimension ref="A1:K23"/>
  <sheetViews>
    <sheetView tabSelected="1" zoomScale="80" zoomScaleNormal="80" workbookViewId="0">
      <selection activeCell="D22" sqref="D22:E22"/>
    </sheetView>
  </sheetViews>
  <sheetFormatPr baseColWidth="10" defaultColWidth="0" defaultRowHeight="14.25" zeroHeight="1"/>
  <cols>
    <col min="1" max="1" width="2.375" style="36" customWidth="1"/>
    <col min="2" max="2" width="11" style="36" customWidth="1"/>
    <col min="3" max="3" width="62.375" style="48" customWidth="1"/>
    <col min="4" max="4" width="7.125" style="48" customWidth="1"/>
    <col min="5" max="5" width="60.875" style="48" customWidth="1"/>
    <col min="6" max="6" width="6.375" style="36" customWidth="1"/>
    <col min="7" max="7" width="2.125" style="36" customWidth="1"/>
    <col min="8" max="11" width="0" style="36" hidden="1" customWidth="1"/>
    <col min="12" max="16384" width="11" style="36" hidden="1"/>
  </cols>
  <sheetData>
    <row r="1" spans="2:7" ht="15" thickBot="1"/>
    <row r="2" spans="2:7">
      <c r="B2" s="38"/>
      <c r="C2" s="49"/>
      <c r="D2" s="49"/>
      <c r="E2" s="49"/>
      <c r="F2" s="40"/>
    </row>
    <row r="3" spans="2:7" ht="42.75" customHeight="1">
      <c r="B3" s="41"/>
      <c r="C3" s="63"/>
      <c r="D3" s="63"/>
      <c r="E3" s="63"/>
      <c r="F3" s="42"/>
    </row>
    <row r="4" spans="2:7" ht="59.25" customHeight="1">
      <c r="B4" s="41"/>
      <c r="C4" s="655" t="s">
        <v>1577</v>
      </c>
      <c r="D4" s="655"/>
      <c r="E4" s="655"/>
      <c r="F4" s="42"/>
    </row>
    <row r="5" spans="2:7" ht="38.25" customHeight="1" thickBot="1">
      <c r="B5" s="41"/>
      <c r="C5" s="64"/>
      <c r="D5" s="37"/>
      <c r="F5" s="42"/>
    </row>
    <row r="6" spans="2:7" s="37" customFormat="1" ht="36.75" customHeight="1" thickTop="1" thickBot="1">
      <c r="B6" s="46"/>
      <c r="C6" s="66" t="s">
        <v>348</v>
      </c>
      <c r="F6" s="47"/>
    </row>
    <row r="7" spans="2:7" s="37" customFormat="1" ht="9" customHeight="1" thickTop="1" thickBot="1">
      <c r="B7" s="46"/>
      <c r="C7" s="50"/>
      <c r="F7" s="47"/>
    </row>
    <row r="8" spans="2:7" s="37" customFormat="1" ht="36.75" customHeight="1" thickTop="1" thickBot="1">
      <c r="B8" s="46"/>
      <c r="C8" s="66" t="s">
        <v>152</v>
      </c>
      <c r="E8" s="66" t="s">
        <v>3561</v>
      </c>
      <c r="F8" s="47"/>
    </row>
    <row r="9" spans="2:7" s="37" customFormat="1" ht="10.5" customHeight="1" thickTop="1" thickBot="1">
      <c r="B9" s="46"/>
      <c r="C9" s="65"/>
      <c r="E9" s="64"/>
      <c r="F9" s="47"/>
    </row>
    <row r="10" spans="2:7" s="37" customFormat="1" ht="36.75" customHeight="1" thickTop="1" thickBot="1">
      <c r="B10" s="46"/>
      <c r="C10" s="66" t="s">
        <v>1579</v>
      </c>
      <c r="E10" s="66" t="s">
        <v>1578</v>
      </c>
      <c r="F10" s="47"/>
    </row>
    <row r="11" spans="2:7" s="37" customFormat="1" ht="10.5" customHeight="1" thickTop="1" thickBot="1">
      <c r="B11" s="46"/>
      <c r="C11" s="50"/>
      <c r="F11" s="47"/>
    </row>
    <row r="12" spans="2:7" s="37" customFormat="1" ht="36.75" customHeight="1" thickTop="1" thickBot="1">
      <c r="B12" s="46"/>
      <c r="C12" s="66" t="s">
        <v>874</v>
      </c>
      <c r="E12" s="66" t="s">
        <v>265</v>
      </c>
      <c r="F12" s="47"/>
      <c r="G12" s="62"/>
    </row>
    <row r="13" spans="2:7" s="37" customFormat="1" ht="8.25" customHeight="1" thickTop="1" thickBot="1">
      <c r="B13" s="46"/>
      <c r="C13" s="65"/>
      <c r="E13" s="65"/>
      <c r="F13" s="47"/>
    </row>
    <row r="14" spans="2:7" s="37" customFormat="1" ht="36.75" customHeight="1" thickTop="1" thickBot="1">
      <c r="B14" s="46"/>
      <c r="C14" s="66" t="s">
        <v>391</v>
      </c>
      <c r="E14" s="66" t="s">
        <v>607</v>
      </c>
      <c r="F14" s="47"/>
    </row>
    <row r="15" spans="2:7" s="37" customFormat="1" ht="9" customHeight="1" thickTop="1" thickBot="1">
      <c r="B15" s="46"/>
      <c r="C15" s="65"/>
      <c r="E15" s="65"/>
      <c r="F15" s="47"/>
    </row>
    <row r="16" spans="2:7" s="37" customFormat="1" ht="36.75" customHeight="1" thickTop="1" thickBot="1">
      <c r="B16" s="46"/>
      <c r="C16" s="66" t="s">
        <v>1580</v>
      </c>
      <c r="E16" s="66" t="s">
        <v>359</v>
      </c>
      <c r="F16" s="47"/>
    </row>
    <row r="17" spans="2:6" s="37" customFormat="1" ht="10.5" customHeight="1" thickTop="1" thickBot="1">
      <c r="B17" s="46"/>
      <c r="C17" s="65"/>
      <c r="E17" s="65"/>
      <c r="F17" s="47"/>
    </row>
    <row r="18" spans="2:6" s="37" customFormat="1" ht="36.75" customHeight="1" thickTop="1" thickBot="1">
      <c r="B18" s="46"/>
      <c r="C18" s="66" t="s">
        <v>1581</v>
      </c>
      <c r="E18" s="66" t="s">
        <v>190</v>
      </c>
      <c r="F18" s="47"/>
    </row>
    <row r="19" spans="2:6" s="37" customFormat="1" ht="6.75" customHeight="1" thickTop="1" thickBot="1">
      <c r="B19" s="46"/>
      <c r="C19" s="65"/>
      <c r="E19" s="48"/>
      <c r="F19" s="47"/>
    </row>
    <row r="20" spans="2:6" s="37" customFormat="1" ht="7.5" hidden="1" customHeight="1" thickBot="1">
      <c r="B20" s="46"/>
      <c r="C20" s="65"/>
      <c r="E20" s="48"/>
      <c r="F20" s="47"/>
    </row>
    <row r="21" spans="2:6" ht="36.75" customHeight="1" thickTop="1" thickBot="1">
      <c r="B21" s="41"/>
      <c r="C21" s="66" t="s">
        <v>1582</v>
      </c>
      <c r="F21" s="42"/>
    </row>
    <row r="22" spans="2:6" ht="51.95" customHeight="1" thickTop="1" thickBot="1">
      <c r="B22" s="43"/>
      <c r="C22" s="165" t="s">
        <v>3554</v>
      </c>
      <c r="D22" s="656">
        <v>46037</v>
      </c>
      <c r="E22" s="657"/>
      <c r="F22" s="45"/>
    </row>
    <row r="23" spans="2:6" ht="16.5" customHeight="1"/>
  </sheetData>
  <sortState xmlns:xlrd2="http://schemas.microsoft.com/office/spreadsheetml/2017/richdata2" ref="C6:C19">
    <sortCondition ref="C4:C19"/>
  </sortState>
  <mergeCells count="2">
    <mergeCell ref="C4:E4"/>
    <mergeCell ref="D22:E22"/>
  </mergeCells>
  <hyperlinks>
    <hyperlink ref="C8" location="DFJYC!A1" tooltip="Delegatura Función Jurisdiccional y de Conciliación" display="Delegatura Función Jurisdiccional y de Conciliación" xr:uid="{FA3F9BC2-4030-4342-9E6D-A3D4A7BDADA8}"/>
    <hyperlink ref="C16" location="DPSS!A1" tooltip="Delegatura para Prestadores de Servicios de Salud" display="Delegatura para Prestadores de Servicios de Salud" xr:uid="{3B803FC4-EB48-4583-B347-38A796858966}"/>
    <hyperlink ref="C10" location="DEAS!A1" tooltip="Delegatura para Entidades de Aseguramiento en Salud " display="Delegatura para Entidades de Aseguramiento en Salud " xr:uid="{8AD65089-ADF9-4484-85DC-6049EED5F618}"/>
    <hyperlink ref="C12" location="DETGRAT!A1" tooltip="Delegatura para Entidades Territoriales y Generadores y Recaudadores y Administradores de Recursos del SGSSS " display="Delegatura para Entidades Territoriales y Generadores y Recaudadores y Administradores de Recursos del SGSSS " xr:uid="{A38F1488-27F7-4BB4-BB36-C1C6E4C1AFE0}"/>
    <hyperlink ref="C14" location="DPU!A1" tooltip="Delegatura para la Protección al Usuario" display="Delegatura para la Protección al Usuario" xr:uid="{CDC1399D-EC85-430A-B2AC-726DC9196627}"/>
    <hyperlink ref="C18" location="DID!A1" tooltip="Dirección Innovación y Desarrollo " display="Dirección Innovación y Desarrollo " xr:uid="{BF4898C4-6D25-46F4-84F4-25DD5BB00ACE}"/>
    <hyperlink ref="E10" location="DJ!A1" tooltip="Dirección Juridica" display="Dirección Juridica" xr:uid="{6467B57B-8ADC-4235-B67E-E48853C44E92}"/>
    <hyperlink ref="E14" location="OAP!A1" tooltip="Oficina Asesora de Planeación" display="Oficina Asesora de Planeación" xr:uid="{9C4CF347-E5DB-44DB-A40D-69E634674635}"/>
    <hyperlink ref="C21" location="DOLF!A1" tooltip="Dirección Innovación y Desarrollo " display="Delegada de Operadores Logisticos de Tecnologias en Salud y Gestores Farmaceuticos" xr:uid="{AC478427-C1F2-4E6E-AED6-A6F7400CCBB4}"/>
    <hyperlink ref="C6" location="DIA!A1" display="Delegatura de Investigaciones Administrativas" xr:uid="{3ED87F07-7E70-4A39-B68F-BD41E9755B43}"/>
    <hyperlink ref="E18" location="SG!A1" tooltip="Secretaria General" display="Secretaria General" xr:uid="{143EF149-A262-4FB5-9EAC-8AD7831E9AAF}"/>
    <hyperlink ref="E16" location="OCI!A1" tooltip="Dirección Juridica" display="Oficina de Control Interno" xr:uid="{DF5D50B9-71C6-495A-9806-95F2D347FEFE}"/>
    <hyperlink ref="E12" location="OAC!A1" tooltip="Oficina Asesora de Comunicaciones" display="Oficina Asesora de Comunicaciones" xr:uid="{3EF8F9C8-211F-4C4C-9F84-C06ECEAA6CAF}"/>
    <hyperlink ref="E8" location="OFL!A1" tooltip="Dirección Juridica" display="Oficina Liquidaciones " xr:uid="{B429E651-8D02-4DA5-B5B2-635F67A35B7C}"/>
  </hyperlinks>
  <pageMargins left="0.7" right="0.7" top="0.75" bottom="0.75" header="0.3" footer="0.3"/>
  <pageSetup paperSize="9" scale="52"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B070-8471-475F-8557-D46ED76E8522}">
  <sheetPr codeName="Hoja39"/>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31.5" customHeight="1">
      <c r="A6" s="789" t="s">
        <v>8</v>
      </c>
      <c r="B6" s="790"/>
      <c r="C6" s="711" t="str">
        <f>VLOOKUP(L12,Reporte!$N$5:$BN$133,2,FALSE)</f>
        <v>Redes de Controladores departamentales activadas</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15.75">
      <c r="A8" s="792" t="s">
        <v>1594</v>
      </c>
      <c r="B8" s="774"/>
      <c r="C8" s="711" t="str">
        <f>VLOOKUP(L12,Reporte!$A$5:$N$133,13,FALSE)</f>
        <v>Implementar la red de Controladores en los territorios del país.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departamentos con red de Controladores activadas</v>
      </c>
      <c r="D10" s="711"/>
      <c r="E10" s="711"/>
      <c r="F10" s="799" t="str">
        <f>VLOOKUP(L12,Reporte!$N$5:$BN$133,6,FALSE)</f>
        <v>Este indicador mide las acciones realizadas de la red de controladores.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289</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4.75" customHeight="1">
      <c r="A15" s="728" t="str">
        <f>VLOOKUP(L12,Reporte!$N$5:$BN$133,8,FALSE)</f>
        <v>Numérica</v>
      </c>
      <c r="B15" s="729"/>
      <c r="C15" s="836">
        <f>VLOOKUP(L12,Reporte!$N$5:$BN$133,11,FALSE)</f>
        <v>10</v>
      </c>
      <c r="D15" s="837"/>
      <c r="E15" s="838"/>
      <c r="F15" s="740" t="str">
        <f>VLOOKUP(L12,Reporte!$N$5:$BN$133,9,FALSE)</f>
        <v>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4.75" customHeight="1">
      <c r="A16" s="730"/>
      <c r="B16" s="731"/>
      <c r="C16" s="839"/>
      <c r="D16" s="840"/>
      <c r="E16" s="841"/>
      <c r="F16" s="742"/>
      <c r="G16" s="743"/>
      <c r="H16" s="707" t="s">
        <v>40</v>
      </c>
      <c r="I16" s="707"/>
      <c r="J16" s="746" t="s">
        <v>1596</v>
      </c>
      <c r="K16" s="747"/>
      <c r="L16" s="748"/>
      <c r="M16" s="778"/>
      <c r="N16" s="779"/>
      <c r="O16" s="780"/>
      <c r="P16" s="128"/>
    </row>
    <row r="17" spans="1:17" ht="24.75" customHeight="1" thickBot="1">
      <c r="A17" s="732"/>
      <c r="B17" s="733"/>
      <c r="C17" s="842"/>
      <c r="D17" s="843"/>
      <c r="E17" s="844"/>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5</v>
      </c>
      <c r="F22" s="139">
        <f>VLOOKUP(L12,Reporte!$N$5:$BN$133,33,FALSE)</f>
        <v>0</v>
      </c>
      <c r="G22" s="132">
        <f>VLOOKUP(L12,Reporte!$N$5:$BN$133,34,FALSE)</f>
        <v>0</v>
      </c>
      <c r="H22" s="139">
        <f>VLOOKUP(L12,Reporte!$N$5:$BN$133,35,FALSE)</f>
        <v>4</v>
      </c>
      <c r="I22" s="132">
        <f>VLOOKUP(L12,Reporte!$N$5:$BN$133,36,FALSE)</f>
        <v>0</v>
      </c>
      <c r="J22" s="139">
        <f>VLOOKUP(L12,Reporte!$N$5:$BN$133,37,FALSE)</f>
        <v>0</v>
      </c>
      <c r="K22" s="139">
        <f>VLOOKUP(L12,Reporte!$N$5:$BN$133,38,FALSE)</f>
        <v>5</v>
      </c>
      <c r="L22" s="139">
        <f>VLOOKUP(L12,Reporte!$N$5:$BN$133,39,FALSE)</f>
        <v>0</v>
      </c>
      <c r="M22" s="139">
        <f>VLOOKUP(L12,Reporte!$N$5:$BN$133,40,FALSE)</f>
        <v>0</v>
      </c>
      <c r="N22" s="133">
        <f>VLOOKUP(L12,Reporte!$N$5:$BN$133,41,FALSE)</f>
        <v>1</v>
      </c>
      <c r="O22" s="133">
        <f>SUM(C22:N22)</f>
        <v>15</v>
      </c>
      <c r="P22" s="128"/>
    </row>
    <row r="23" spans="1:17" ht="16.5" thickBot="1">
      <c r="A23" s="690" t="s">
        <v>76</v>
      </c>
      <c r="B23" s="691"/>
      <c r="C23" s="140">
        <f>VLOOKUP(L12,Reporte!$N$5:$BN$133,42,FALSE)</f>
        <v>0</v>
      </c>
      <c r="D23" s="140">
        <f>VLOOKUP(L12,Reporte!$N$5:$BN$133,43,FALSE)</f>
        <v>0</v>
      </c>
      <c r="E23" s="140">
        <f>VLOOKUP(L12,Reporte!$N$5:$BN$133,44,FALSE)</f>
        <v>1</v>
      </c>
      <c r="F23" s="140">
        <f>VLOOKUP(L12,Reporte!$N$5:$BN$133,45,FALSE)</f>
        <v>0</v>
      </c>
      <c r="G23" s="140">
        <f>VLOOKUP(L12,Reporte!$N$5:$BN$133,46,FALSE)</f>
        <v>0</v>
      </c>
      <c r="H23" s="140">
        <f>VLOOKUP(L12,Reporte!$N$5:$BN$133,47,FALSE)</f>
        <v>2</v>
      </c>
      <c r="I23" s="140">
        <f>VLOOKUP(L12,Reporte!$N$5:$BN$133,48,FALSE)</f>
        <v>0</v>
      </c>
      <c r="J23" s="140">
        <f>VLOOKUP(L12,Reporte!$N$5:$BN$133,49,FALSE)</f>
        <v>0</v>
      </c>
      <c r="K23" s="140">
        <f>VLOOKUP(L12,Reporte!$N$5:$BN$133,50,FALSE)</f>
        <v>3</v>
      </c>
      <c r="L23" s="140">
        <f>VLOOKUP(L12,Reporte!$N$5:$BN$133,51,FALSE)</f>
        <v>0</v>
      </c>
      <c r="M23" s="140">
        <f>VLOOKUP(L12,Reporte!$N$5:$BN$133,52,FALSE)</f>
        <v>0</v>
      </c>
      <c r="N23" s="141">
        <f>VLOOKUP(L12,Reporte!$N$5:$BN$133,53,FALSE)</f>
        <v>4</v>
      </c>
      <c r="O23" s="133">
        <f>SUM(C23:N23)</f>
        <v>10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10</v>
      </c>
      <c r="D26" s="161">
        <f>+C26*0.98</f>
        <v>9.8000000000000007</v>
      </c>
      <c r="E26" s="147"/>
      <c r="F26" s="147"/>
      <c r="G26" s="685"/>
      <c r="H26" s="685"/>
      <c r="I26" s="699"/>
      <c r="J26" s="699"/>
      <c r="K26" s="699"/>
      <c r="L26" s="685"/>
      <c r="M26" s="685"/>
      <c r="N26" s="685"/>
      <c r="O26" s="701"/>
      <c r="P26" s="148"/>
      <c r="Q26" s="149"/>
    </row>
    <row r="27" spans="1:17" s="127" customFormat="1" ht="15">
      <c r="A27" s="145" t="s">
        <v>95</v>
      </c>
      <c r="B27" s="161">
        <f>+D22</f>
        <v>0</v>
      </c>
      <c r="C27" s="161">
        <f>+C26</f>
        <v>10</v>
      </c>
      <c r="D27" s="161">
        <f>+D26</f>
        <v>9.8000000000000007</v>
      </c>
      <c r="E27" s="147"/>
      <c r="F27" s="147"/>
      <c r="G27" s="685"/>
      <c r="H27" s="685"/>
      <c r="I27" s="685"/>
      <c r="J27" s="685"/>
      <c r="K27" s="147"/>
      <c r="L27" s="685"/>
      <c r="M27" s="685"/>
      <c r="N27" s="685"/>
      <c r="O27" s="701"/>
      <c r="P27" s="148"/>
      <c r="Q27" s="149"/>
    </row>
    <row r="28" spans="1:17" s="127" customFormat="1" ht="15">
      <c r="A28" s="145" t="s">
        <v>96</v>
      </c>
      <c r="B28" s="161">
        <f>+E22</f>
        <v>5</v>
      </c>
      <c r="C28" s="161">
        <f t="shared" ref="C28:D37" si="0">+C27</f>
        <v>10</v>
      </c>
      <c r="D28" s="161">
        <f t="shared" si="0"/>
        <v>9.8000000000000007</v>
      </c>
      <c r="E28" s="147"/>
      <c r="F28" s="147"/>
      <c r="G28" s="685"/>
      <c r="H28" s="685"/>
      <c r="I28" s="685"/>
      <c r="J28" s="685"/>
      <c r="K28" s="147"/>
      <c r="L28" s="685"/>
      <c r="M28" s="685"/>
      <c r="N28" s="685"/>
      <c r="O28" s="701"/>
      <c r="P28" s="148"/>
      <c r="Q28" s="149"/>
    </row>
    <row r="29" spans="1:17" s="127" customFormat="1" ht="15">
      <c r="A29" s="145" t="s">
        <v>97</v>
      </c>
      <c r="B29" s="161">
        <f>+F22</f>
        <v>0</v>
      </c>
      <c r="C29" s="161">
        <f t="shared" si="0"/>
        <v>10</v>
      </c>
      <c r="D29" s="161">
        <f t="shared" si="0"/>
        <v>9.8000000000000007</v>
      </c>
      <c r="E29" s="147"/>
      <c r="F29" s="147"/>
      <c r="G29" s="685"/>
      <c r="H29" s="685"/>
      <c r="I29" s="685"/>
      <c r="J29" s="685"/>
      <c r="K29" s="147"/>
      <c r="L29" s="685"/>
      <c r="M29" s="685"/>
      <c r="N29" s="685"/>
      <c r="O29" s="701"/>
      <c r="P29" s="148"/>
      <c r="Q29" s="149"/>
    </row>
    <row r="30" spans="1:17" s="127" customFormat="1" ht="15">
      <c r="A30" s="145" t="s">
        <v>98</v>
      </c>
      <c r="B30" s="161">
        <f>+G22</f>
        <v>0</v>
      </c>
      <c r="C30" s="161">
        <f t="shared" si="0"/>
        <v>10</v>
      </c>
      <c r="D30" s="161">
        <f t="shared" si="0"/>
        <v>9.8000000000000007</v>
      </c>
      <c r="E30" s="147"/>
      <c r="F30" s="147"/>
      <c r="G30" s="685"/>
      <c r="H30" s="685"/>
      <c r="I30" s="685"/>
      <c r="J30" s="685"/>
      <c r="K30" s="147"/>
      <c r="L30" s="685"/>
      <c r="M30" s="685"/>
      <c r="N30" s="685"/>
      <c r="O30" s="701"/>
      <c r="P30" s="148"/>
      <c r="Q30" s="149"/>
    </row>
    <row r="31" spans="1:17" s="127" customFormat="1" ht="15">
      <c r="A31" s="145" t="s">
        <v>99</v>
      </c>
      <c r="B31" s="161">
        <f>+H22</f>
        <v>4</v>
      </c>
      <c r="C31" s="161">
        <f t="shared" si="0"/>
        <v>10</v>
      </c>
      <c r="D31" s="161">
        <f t="shared" si="0"/>
        <v>9.8000000000000007</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10</v>
      </c>
      <c r="D32" s="161">
        <f t="shared" si="0"/>
        <v>9.8000000000000007</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10</v>
      </c>
      <c r="D33" s="161">
        <f t="shared" si="0"/>
        <v>9.8000000000000007</v>
      </c>
      <c r="E33" s="147"/>
      <c r="F33" s="147"/>
      <c r="G33" s="685"/>
      <c r="H33" s="685"/>
      <c r="I33" s="685"/>
      <c r="J33" s="685"/>
      <c r="K33" s="147"/>
      <c r="L33" s="685"/>
      <c r="M33" s="685"/>
      <c r="N33" s="685"/>
      <c r="O33" s="701"/>
      <c r="P33" s="148"/>
      <c r="Q33" s="149"/>
    </row>
    <row r="34" spans="1:17" s="127" customFormat="1" ht="15">
      <c r="A34" s="145" t="s">
        <v>102</v>
      </c>
      <c r="B34" s="161">
        <f>+K22</f>
        <v>5</v>
      </c>
      <c r="C34" s="161">
        <f t="shared" si="0"/>
        <v>10</v>
      </c>
      <c r="D34" s="161">
        <f t="shared" si="0"/>
        <v>9.8000000000000007</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10</v>
      </c>
      <c r="D35" s="161">
        <f t="shared" si="0"/>
        <v>9.8000000000000007</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10</v>
      </c>
      <c r="D36" s="161">
        <f t="shared" si="0"/>
        <v>9.8000000000000007</v>
      </c>
      <c r="E36" s="147"/>
      <c r="F36" s="147"/>
      <c r="G36" s="685"/>
      <c r="H36" s="685"/>
      <c r="I36" s="685"/>
      <c r="J36" s="685"/>
      <c r="K36" s="147"/>
      <c r="L36" s="685"/>
      <c r="M36" s="685"/>
      <c r="N36" s="685"/>
      <c r="O36" s="701"/>
      <c r="P36" s="148"/>
      <c r="Q36" s="149"/>
    </row>
    <row r="37" spans="1:17" s="127" customFormat="1" ht="15.75" thickBot="1">
      <c r="A37" s="150" t="s">
        <v>105</v>
      </c>
      <c r="B37" s="162">
        <f>+N22</f>
        <v>1</v>
      </c>
      <c r="C37" s="161">
        <f t="shared" si="0"/>
        <v>10</v>
      </c>
      <c r="D37" s="161">
        <f t="shared" si="0"/>
        <v>9.8000000000000007</v>
      </c>
      <c r="E37" s="147"/>
      <c r="F37" s="147"/>
      <c r="G37" s="147"/>
      <c r="H37" s="147"/>
      <c r="I37" s="147"/>
      <c r="J37" s="147"/>
      <c r="K37" s="147"/>
      <c r="L37" s="685"/>
      <c r="M37" s="685"/>
      <c r="N37" s="685"/>
      <c r="O37" s="701"/>
      <c r="P37" s="148"/>
      <c r="Q37" s="149"/>
    </row>
    <row r="38" spans="1:17" s="127" customFormat="1" ht="15.75" thickBot="1">
      <c r="A38" s="152" t="s">
        <v>106</v>
      </c>
      <c r="B38" s="164">
        <f>+O22</f>
        <v>15</v>
      </c>
      <c r="C38" s="164">
        <f>+C37</f>
        <v>10</v>
      </c>
      <c r="D38" s="164">
        <f>+D37</f>
        <v>9.8000000000000007</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100.5" customHeight="1" thickBot="1">
      <c r="A45" s="682" t="str">
        <f>VLOOKUP(L12,Reporte!$N$5:$BZ$133,56,FALSE)</f>
        <v xml:space="preserve">Inicialmente se programó activiar la red en un solo territorio para el primer trimestre, sin embargo se reprogramaron acciones para agilizar el tema por la importancia que reviste la red de controladores.  
En este sentido se activó la redes en 5 departamentos adelantando lo que se tenía planeado para meses siguientes.  La meta anual es de 10 departamentos con red activada.​
Se adjunta: Carpeta compartida con  subcarpetas por departamento donde se activó la red de controladores.  En cada subcarpeta pueden verse actas, listas de asistencia entre otras evidencias que enmarcan la activación de la red en cada uno de estos territorios.
La red de controladores se ha activado en 5 nuevos departamentos de acuerdo a lo planeado.  Como la meta es 10 para el año, haber avanzado con 5 este primer trimestre se considera un buen reporte.  Estos departamentos son:
* Caldas * Risaralda * Quindío * Boyacá * Guajira
Adicionalmente se adjunta evidencia de una reunión de articulación de la red a nivel nacional.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69.5" customHeight="1" thickBot="1">
      <c r="A51" s="673" t="str">
        <f>VLOOKUP(L12,Reporte!$N$5:$BZ$133,59,FALSE)</f>
        <v>Durante el periodo se activaron cuatro (4) redes de controladores, en razón a alertas en aalgunos territorios, por lo que se superó la meta programada, así:
1. El   16 de abril de 2025 a pedido del Procurador Regional y el defensor del Pueblo   Regional del Vichada, se realizó la activación de la Red de Controladores del   Sector Salud del departamento del Vichada, donde se trató la problemática de   desnutrición, desabastecimiento de medicamentos, referencia y   contrareferencia entre otros.
     2. Se llevo a cabo el 4 de junio del año en curso la activación de la Red   de Controladores del Sector Salud del departamento del Huila, la cual se   desarrolló para ver la problemática de salud del Departamento, y a su vez   para ver como estaban preparados para realizar las fiestas en una emergencia   de Fiebre Amarilla. Se revisaron los planes de contingencia presentados por   el CRUE.
     3. El 12 de junio de 2025 se activó la Red de Controladores del Sector   Salud del departamento del Putumayo, lo anterior debido a la cantidad de   casos de Epizootias y posibles casos de Fiebre Amarilla reportados por el   Instituto Nacional de Salud en el departamento.
     4. Con fecha 18 de junio se llevo a cabo la activación   de la Red de Controladores del Sector Salud del departamento de Bolívar, con   énfasis en la problemática presentada por la Caja de Previsión de la   Universidad de Cartagena. Se asistió con el acompañamiento de la delegatura   de DEAS.
     5. Entre el 25, 26 y 27 de junio se realizó el seguimiento a los   compromisos generados de la Red de Controladores del Sector Salud de los   departamentos del Eje Cafetero (Caldas, Quindío y Risaralda), donde se   citaron a las EPS intervenidas, con el fin de levantar un acta de compromisos   por parte de ellos y la Entidades Territoriales de cada departamento.</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53.25" customHeight="1" thickBot="1">
      <c r="A57" s="682" t="str">
        <f>VLOOKUP(L12,Reporte!$N$5:$BZ$133,62,FALSE)</f>
        <v xml:space="preserve">Durante el tercer trimestre del año, se realizaron cinco activaciones de la Red de Controladores en los departamentos de Magdalena, Atlántico, Vaupés, Valle del Cauca y San Andrés, sobrepasando la meta programada de 3 activaciones ya que se identificaron otros 2 departamentos que requerían la realización de la acción.
Es importante señalar que, a la fecha de este reporte, para la Red de Controladores del departamento de Vaupés únicamente se cuenta con la lista de asistencia, ya que el acta se encuentra en proceso de revisión y aprobación por parte de los asistentes. Una vez sea aprobada, será cargada en la carpeta de evidencias correspondiente,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8" customHeight="1" thickBot="1">
      <c r="A63" s="673" t="str">
        <f>VLOOKUP(L12,Reporte!$N$5:$BZ$133,65,FALSE)</f>
        <v xml:space="preserve">​Durante este periodo, se activó una Red de Controladores en el Departamento del Tomila, cerrando la vigencia con un total de 15 Redes activadas.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activado Red de Controladores en 15 departamentos, con un sobrecumplimiento del 150% con respecto de la meta de 10, establecida para el año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CA217-53F7-4652-BFD5-63FD7D8109FE}">
  <sheetPr codeName="Hoja40"/>
  <dimension ref="A1:Q67"/>
  <sheetViews>
    <sheetView view="pageBreakPreview" topLeftCell="A10" zoomScale="80" zoomScaleNormal="73" zoomScaleSheetLayoutView="80" zoomScalePageLayoutView="55" workbookViewId="0">
      <selection activeCell="R27" sqref="R27"/>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AUDITORÍAS</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Auditorías de Inspección y Vigilancia realizadas por la Delegada de Entidades territoriales</v>
      </c>
      <c r="D6" s="711"/>
      <c r="E6" s="711"/>
      <c r="F6" s="711"/>
      <c r="G6" s="711"/>
      <c r="H6" s="711"/>
      <c r="I6" s="711"/>
      <c r="J6" s="711"/>
      <c r="K6" s="711"/>
      <c r="L6" s="711"/>
      <c r="M6" s="711"/>
      <c r="N6" s="711"/>
      <c r="O6" s="791"/>
      <c r="P6" s="128"/>
    </row>
    <row r="7" spans="1:17" ht="58.5" customHeight="1">
      <c r="A7" s="789" t="s">
        <v>10</v>
      </c>
      <c r="B7" s="790"/>
      <c r="C7" s="711" t="str">
        <f>VLOOKUP(L12,Reporte!A5:M133,10,FALSE)</f>
        <v>Desarrollar acciones de inspección a través de análisis específicos y requerimientos, con el fin de identificar las brechas existentes entre lo establecido por la ley y lo que realmente están desarrollando nuestros grupos de valor y de esta manera poder identificar acciones para reducir estas brechas, buscando la protección de los derechos de los usuarios del Sistema General de Seguridad Social en Salud- SGSSS. </v>
      </c>
      <c r="D7" s="711"/>
      <c r="E7" s="711"/>
      <c r="F7" s="711"/>
      <c r="G7" s="711"/>
      <c r="H7" s="711"/>
      <c r="I7" s="711"/>
      <c r="J7" s="711"/>
      <c r="K7" s="711"/>
      <c r="L7" s="711"/>
      <c r="M7" s="711"/>
      <c r="N7" s="711"/>
      <c r="O7" s="791"/>
      <c r="P7" s="128"/>
    </row>
    <row r="8" spans="1:17" ht="15.75">
      <c r="A8" s="792" t="s">
        <v>1594</v>
      </c>
      <c r="B8" s="774"/>
      <c r="C8" s="711" t="str">
        <f>VLOOKUP(L12,Reporte!$A$5:$N$133,13,FALSE)</f>
        <v>Realizar auditorías para verificar el cumplimiento de las funciones y obligaciones de los vigilados de la Delegada.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Auditorías realizadas </v>
      </c>
      <c r="D10" s="711"/>
      <c r="E10" s="711"/>
      <c r="F10" s="799" t="str">
        <f>VLOOKUP(L12,Reporte!$N$5:$BN$133,6,FALSE)</f>
        <v>Numero de Auditorías de IV realizadas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221</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6.25" customHeight="1">
      <c r="A15" s="728" t="str">
        <f>VLOOKUP(L12,Reporte!$N$5:$BN$133,8,FALSE)</f>
        <v>Numérica</v>
      </c>
      <c r="B15" s="729"/>
      <c r="C15" s="810">
        <f>VLOOKUP(L12,Reporte!$N$5:$BN$133,11,FALSE)</f>
        <v>20</v>
      </c>
      <c r="D15" s="811"/>
      <c r="E15" s="812"/>
      <c r="F15" s="740" t="str">
        <f>VLOOKUP(L12,Reporte!$N$5:$BN$133,9,FALSE)</f>
        <v>Cuatrimestral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6.25" customHeight="1">
      <c r="A16" s="730"/>
      <c r="B16" s="731"/>
      <c r="C16" s="813"/>
      <c r="D16" s="814"/>
      <c r="E16" s="815"/>
      <c r="F16" s="742"/>
      <c r="G16" s="743"/>
      <c r="H16" s="707" t="s">
        <v>40</v>
      </c>
      <c r="I16" s="707"/>
      <c r="J16" s="746" t="s">
        <v>1596</v>
      </c>
      <c r="K16" s="747"/>
      <c r="L16" s="748"/>
      <c r="M16" s="778"/>
      <c r="N16" s="779"/>
      <c r="O16" s="780"/>
      <c r="P16" s="128"/>
    </row>
    <row r="17" spans="1:17" ht="26.25" customHeight="1" thickBot="1">
      <c r="A17" s="732"/>
      <c r="B17" s="733"/>
      <c r="C17" s="816"/>
      <c r="D17" s="817"/>
      <c r="E17" s="818"/>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4</v>
      </c>
      <c r="G22" s="132">
        <f>VLOOKUP(L12,Reporte!$N$5:$BN$133,34,FALSE)</f>
        <v>0</v>
      </c>
      <c r="H22" s="139">
        <f>VLOOKUP(L12,Reporte!$N$5:$BN$133,35,FALSE)</f>
        <v>0</v>
      </c>
      <c r="I22" s="132">
        <f>VLOOKUP(L12,Reporte!$N$5:$BN$133,36,FALSE)</f>
        <v>0</v>
      </c>
      <c r="J22" s="139">
        <f>VLOOKUP(L12,Reporte!$N$5:$BN$133,37,FALSE)</f>
        <v>14</v>
      </c>
      <c r="K22" s="139">
        <f>VLOOKUP(L12,Reporte!$N$5:$BN$133,38,FALSE)</f>
        <v>0</v>
      </c>
      <c r="L22" s="139">
        <f>VLOOKUP(L12,Reporte!$N$5:$BN$133,39,FALSE)</f>
        <v>0</v>
      </c>
      <c r="M22" s="139">
        <f>VLOOKUP(L12,Reporte!$N$5:$BN$133,40,FALSE)</f>
        <v>0</v>
      </c>
      <c r="N22" s="133">
        <f>VLOOKUP(L12,Reporte!$N$5:$BN$133,41,FALSE)</f>
        <v>2</v>
      </c>
      <c r="O22" s="133">
        <f>SUM(C22:N22)</f>
        <v>20</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7</v>
      </c>
      <c r="G23" s="140">
        <f>VLOOKUP(L12,Reporte!$N$5:$BN$133,46,FALSE)</f>
        <v>0</v>
      </c>
      <c r="H23" s="140">
        <f>VLOOKUP(L12,Reporte!$N$5:$BN$133,47,FALSE)</f>
        <v>0</v>
      </c>
      <c r="I23" s="140">
        <f>VLOOKUP(L12,Reporte!$N$5:$BN$133,48,FALSE)</f>
        <v>0</v>
      </c>
      <c r="J23" s="140">
        <f>VLOOKUP(L12,Reporte!$N$5:$BN$133,49,FALSE)</f>
        <v>7</v>
      </c>
      <c r="K23" s="140">
        <f>VLOOKUP(L12,Reporte!$N$5:$BN$133,50,FALSE)</f>
        <v>0</v>
      </c>
      <c r="L23" s="140">
        <f>VLOOKUP(L12,Reporte!$N$5:$BN$133,51,FALSE)</f>
        <v>0</v>
      </c>
      <c r="M23" s="140">
        <f>VLOOKUP(L12,Reporte!$N$5:$BN$133,52,FALSE)</f>
        <v>0</v>
      </c>
      <c r="N23" s="141">
        <f>VLOOKUP(L12,Reporte!$N$5:$BN$133,53,FALSE)</f>
        <v>6</v>
      </c>
      <c r="O23" s="133">
        <f>SUM(C23:N23)</f>
        <v>20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20</v>
      </c>
      <c r="D26" s="161">
        <f>+C26*0.98</f>
        <v>19.600000000000001</v>
      </c>
      <c r="E26" s="147"/>
      <c r="F26" s="147"/>
      <c r="G26" s="685"/>
      <c r="H26" s="685"/>
      <c r="I26" s="699"/>
      <c r="J26" s="699"/>
      <c r="K26" s="699"/>
      <c r="L26" s="685"/>
      <c r="M26" s="685"/>
      <c r="N26" s="685"/>
      <c r="O26" s="701"/>
      <c r="P26" s="148"/>
      <c r="Q26" s="149"/>
    </row>
    <row r="27" spans="1:17" s="127" customFormat="1" ht="15">
      <c r="A27" s="145" t="s">
        <v>95</v>
      </c>
      <c r="B27" s="161">
        <f>+D22</f>
        <v>0</v>
      </c>
      <c r="C27" s="161">
        <f>+C26</f>
        <v>20</v>
      </c>
      <c r="D27" s="161">
        <f>+D26</f>
        <v>19.600000000000001</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20</v>
      </c>
      <c r="D28" s="161">
        <f t="shared" si="0"/>
        <v>19.600000000000001</v>
      </c>
      <c r="E28" s="147"/>
      <c r="F28" s="147"/>
      <c r="G28" s="685"/>
      <c r="H28" s="685"/>
      <c r="I28" s="685"/>
      <c r="J28" s="685"/>
      <c r="K28" s="147"/>
      <c r="L28" s="685"/>
      <c r="M28" s="685"/>
      <c r="N28" s="685"/>
      <c r="O28" s="701"/>
      <c r="P28" s="148"/>
      <c r="Q28" s="149"/>
    </row>
    <row r="29" spans="1:17" s="127" customFormat="1" ht="15">
      <c r="A29" s="145" t="s">
        <v>97</v>
      </c>
      <c r="B29" s="161">
        <f>+F22</f>
        <v>4</v>
      </c>
      <c r="C29" s="161">
        <f t="shared" si="0"/>
        <v>20</v>
      </c>
      <c r="D29" s="161">
        <f t="shared" si="0"/>
        <v>19.600000000000001</v>
      </c>
      <c r="E29" s="147"/>
      <c r="F29" s="147"/>
      <c r="G29" s="685"/>
      <c r="H29" s="685"/>
      <c r="I29" s="685"/>
      <c r="J29" s="685"/>
      <c r="K29" s="147"/>
      <c r="L29" s="685"/>
      <c r="M29" s="685"/>
      <c r="N29" s="685"/>
      <c r="O29" s="701"/>
      <c r="P29" s="148"/>
      <c r="Q29" s="149"/>
    </row>
    <row r="30" spans="1:17" s="127" customFormat="1" ht="15">
      <c r="A30" s="145" t="s">
        <v>98</v>
      </c>
      <c r="B30" s="161">
        <f>+G22</f>
        <v>0</v>
      </c>
      <c r="C30" s="161">
        <f t="shared" si="0"/>
        <v>20</v>
      </c>
      <c r="D30" s="161">
        <f t="shared" si="0"/>
        <v>19.600000000000001</v>
      </c>
      <c r="E30" s="147"/>
      <c r="F30" s="147"/>
      <c r="G30" s="685"/>
      <c r="H30" s="685"/>
      <c r="I30" s="685"/>
      <c r="J30" s="685"/>
      <c r="K30" s="147"/>
      <c r="L30" s="685"/>
      <c r="M30" s="685"/>
      <c r="N30" s="685"/>
      <c r="O30" s="701"/>
      <c r="P30" s="148"/>
      <c r="Q30" s="149"/>
    </row>
    <row r="31" spans="1:17" s="127" customFormat="1" ht="15">
      <c r="A31" s="145" t="s">
        <v>99</v>
      </c>
      <c r="B31" s="161">
        <f>+H22</f>
        <v>0</v>
      </c>
      <c r="C31" s="161">
        <f t="shared" si="0"/>
        <v>20</v>
      </c>
      <c r="D31" s="161">
        <f t="shared" si="0"/>
        <v>19.600000000000001</v>
      </c>
      <c r="E31" s="147"/>
      <c r="F31" s="147"/>
      <c r="G31" s="685"/>
      <c r="H31" s="685"/>
      <c r="I31" s="685"/>
      <c r="J31" s="685"/>
      <c r="K31" s="147"/>
      <c r="L31" s="685"/>
      <c r="M31" s="685"/>
      <c r="N31" s="685"/>
      <c r="O31" s="701"/>
      <c r="P31" s="148"/>
      <c r="Q31" s="149"/>
    </row>
    <row r="32" spans="1:17" s="127" customFormat="1" ht="15">
      <c r="A32" s="145" t="s">
        <v>100</v>
      </c>
      <c r="B32" s="161">
        <f>+I22</f>
        <v>0</v>
      </c>
      <c r="C32" s="161">
        <f t="shared" si="0"/>
        <v>20</v>
      </c>
      <c r="D32" s="161">
        <f t="shared" si="0"/>
        <v>19.600000000000001</v>
      </c>
      <c r="E32" s="147"/>
      <c r="F32" s="147"/>
      <c r="G32" s="685"/>
      <c r="H32" s="685"/>
      <c r="I32" s="685"/>
      <c r="J32" s="685"/>
      <c r="K32" s="147"/>
      <c r="L32" s="685"/>
      <c r="M32" s="685"/>
      <c r="N32" s="685"/>
      <c r="O32" s="701"/>
      <c r="P32" s="148"/>
      <c r="Q32" s="149"/>
    </row>
    <row r="33" spans="1:17" s="127" customFormat="1" ht="15">
      <c r="A33" s="145" t="s">
        <v>101</v>
      </c>
      <c r="B33" s="161">
        <f>+J22</f>
        <v>14</v>
      </c>
      <c r="C33" s="161">
        <f t="shared" si="0"/>
        <v>20</v>
      </c>
      <c r="D33" s="161">
        <f t="shared" si="0"/>
        <v>19.600000000000001</v>
      </c>
      <c r="E33" s="147"/>
      <c r="F33" s="147"/>
      <c r="G33" s="685"/>
      <c r="H33" s="685"/>
      <c r="I33" s="685"/>
      <c r="J33" s="685"/>
      <c r="K33" s="147"/>
      <c r="L33" s="685"/>
      <c r="M33" s="685"/>
      <c r="N33" s="685"/>
      <c r="O33" s="701"/>
      <c r="P33" s="148"/>
      <c r="Q33" s="149"/>
    </row>
    <row r="34" spans="1:17" s="127" customFormat="1" ht="15">
      <c r="A34" s="145" t="s">
        <v>102</v>
      </c>
      <c r="B34" s="161">
        <f>+K22</f>
        <v>0</v>
      </c>
      <c r="C34" s="161">
        <f t="shared" si="0"/>
        <v>20</v>
      </c>
      <c r="D34" s="161">
        <f t="shared" si="0"/>
        <v>19.600000000000001</v>
      </c>
      <c r="E34" s="147"/>
      <c r="F34" s="147"/>
      <c r="G34" s="685"/>
      <c r="H34" s="685"/>
      <c r="I34" s="685"/>
      <c r="J34" s="685"/>
      <c r="K34" s="147"/>
      <c r="L34" s="685"/>
      <c r="M34" s="685"/>
      <c r="N34" s="685"/>
      <c r="O34" s="701"/>
      <c r="P34" s="148"/>
      <c r="Q34" s="149"/>
    </row>
    <row r="35" spans="1:17" s="127" customFormat="1" ht="15">
      <c r="A35" s="145" t="s">
        <v>103</v>
      </c>
      <c r="B35" s="161">
        <f>+L22</f>
        <v>0</v>
      </c>
      <c r="C35" s="161">
        <f t="shared" si="0"/>
        <v>20</v>
      </c>
      <c r="D35" s="161">
        <f t="shared" si="0"/>
        <v>19.600000000000001</v>
      </c>
      <c r="E35" s="147"/>
      <c r="F35" s="147"/>
      <c r="G35" s="685"/>
      <c r="H35" s="685"/>
      <c r="I35" s="685"/>
      <c r="J35" s="685"/>
      <c r="K35" s="147"/>
      <c r="L35" s="685"/>
      <c r="M35" s="685"/>
      <c r="N35" s="685"/>
      <c r="O35" s="701"/>
      <c r="P35" s="148"/>
      <c r="Q35" s="149"/>
    </row>
    <row r="36" spans="1:17" s="127" customFormat="1" ht="15">
      <c r="A36" s="145" t="s">
        <v>104</v>
      </c>
      <c r="B36" s="161">
        <f>+M22</f>
        <v>0</v>
      </c>
      <c r="C36" s="161">
        <f t="shared" si="0"/>
        <v>20</v>
      </c>
      <c r="D36" s="161">
        <f t="shared" si="0"/>
        <v>19.600000000000001</v>
      </c>
      <c r="E36" s="147"/>
      <c r="F36" s="147"/>
      <c r="G36" s="685"/>
      <c r="H36" s="685"/>
      <c r="I36" s="685"/>
      <c r="J36" s="685"/>
      <c r="K36" s="147"/>
      <c r="L36" s="685"/>
      <c r="M36" s="685"/>
      <c r="N36" s="685"/>
      <c r="O36" s="701"/>
      <c r="P36" s="148"/>
      <c r="Q36" s="149"/>
    </row>
    <row r="37" spans="1:17" s="127" customFormat="1" ht="15.75" thickBot="1">
      <c r="A37" s="150" t="s">
        <v>105</v>
      </c>
      <c r="B37" s="162">
        <f>+N22</f>
        <v>2</v>
      </c>
      <c r="C37" s="161">
        <f t="shared" si="0"/>
        <v>20</v>
      </c>
      <c r="D37" s="161">
        <f t="shared" si="0"/>
        <v>19.600000000000001</v>
      </c>
      <c r="E37" s="147"/>
      <c r="F37" s="147"/>
      <c r="G37" s="147"/>
      <c r="H37" s="147"/>
      <c r="I37" s="147"/>
      <c r="J37" s="147"/>
      <c r="K37" s="147"/>
      <c r="L37" s="685"/>
      <c r="M37" s="685"/>
      <c r="N37" s="685"/>
      <c r="O37" s="701"/>
      <c r="P37" s="148"/>
      <c r="Q37" s="149"/>
    </row>
    <row r="38" spans="1:17" s="127" customFormat="1" ht="15.75" thickBot="1">
      <c r="A38" s="152" t="s">
        <v>106</v>
      </c>
      <c r="B38" s="164">
        <f>+O22</f>
        <v>20</v>
      </c>
      <c r="C38" s="164">
        <f>+C37</f>
        <v>20</v>
      </c>
      <c r="D38" s="164">
        <f>+D37</f>
        <v>19.600000000000001</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111.75" customHeight="1" thickBot="1">
      <c r="A47" s="670" t="str">
        <f>VLOOKUP(L12,Reporte!$N$5:$BZ$133,57,FALSE)</f>
        <v xml:space="preserve">​Se realizaron 4 auditorías en el cuatrimestre.
 Dos de estas auditorías fueron compartidas con la Delegada de Aseguramiento quien ordenó las mismas, sin embargo, como puede evidenciarse en los autos, funcionarios de la Delegada para Entidades Territoriales trabajaron como auditores en tales auditorías junto con funcionarios de la Delegada de Aseguramiento.
Las auditorías fueron en: * Departamento delQuindío, Secretaría Departamental de Salud
* CAJA DECOMPENSACIÓN FAMILIAR DEL ORIENTE COLOMBIANO “COMFAORIENTE EPSS” (Compartida)
* Municipio de Neiva, Secretaría de Salud.
* Mutual Ser (Compartida)
La meta no se cumplió puesto que desde la delegada para entidades territoriales surgieron otras actividades de Inspección y vigilancia que requirieron atención inmediata.  Además, se tiene planeado realizar en los próximos meses, las auditorías que no se lograron en este cuatrimestre, con lo que la Delegada se pondrá al día en este indicador en próximos períodos.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31.5" customHeight="1" thickBot="1">
      <c r="A55" s="670" t="str">
        <f>VLOOKUP(L12,Reporte!$N$5:$BZ$133,61,FALSE)</f>
        <v xml:space="preserve">​Durante los meses de Mayo, Junio, Julio y Agosto se realizaron de total 14 auditorías en entidades territoriales como Magdalena, Cesar, Bolivar, Caldas, Boyacá, Antioquia y Chocó y a algunos generadores de recursos en el departamento del Cauca. Se registran las evidencias en carpetas por cada mes en el enlace del Sharepoint de la DETGRARSGSSS.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Se realizaron 2 auditorias en el mes de septiembre al Concesionario de Apuestas Permanentes red de Servicios del Cesar S.A. y al Distrito Turístico y Cultural de Cartagena de Indias - Departamento Administrativo Distrital de Salud. Es importante resaltar que no se realizaron más auditorias, ya que con las reportadas en este periodo se cumplia con el 100% de las 20 auditorias propuestas para esta vigencia.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20 auditorias, con  cumplimiento de la meta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76021-B6F6-4114-B613-8549DB107789}">
  <sheetPr codeName="Hoja41"/>
  <dimension ref="A1:Q67"/>
  <sheetViews>
    <sheetView view="pageBreakPreview" topLeftCell="A53" zoomScale="80" zoomScaleNormal="73" zoomScaleSheetLayoutView="80" zoomScalePageLayoutView="55" workbookViewId="0">
      <selection activeCell="S18" sqref="S18"/>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AUDITORÍAS</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Seguimientos a las auditorías de Inspección y Vigilancia Realizadas</v>
      </c>
      <c r="D6" s="711"/>
      <c r="E6" s="711"/>
      <c r="F6" s="711"/>
      <c r="G6" s="711"/>
      <c r="H6" s="711"/>
      <c r="I6" s="711"/>
      <c r="J6" s="711"/>
      <c r="K6" s="711"/>
      <c r="L6" s="711"/>
      <c r="M6" s="711"/>
      <c r="N6" s="711"/>
      <c r="O6" s="791"/>
      <c r="P6" s="128"/>
    </row>
    <row r="7" spans="1:17" ht="58.5" customHeight="1">
      <c r="A7" s="789" t="s">
        <v>10</v>
      </c>
      <c r="B7" s="790"/>
      <c r="C7" s="711" t="str">
        <f>VLOOKUP(L12,Reporte!A5:M133,10,FALSE)</f>
        <v>Desarrollar acciones de inspección a través de análisis específicos y requerimientos, con el fin de identificar las brechas existentes entre lo establecido por la ley y lo que realmente están desarrollando nuestros grupos de valor y de esta manera poder identificar acciones para reducir estas brechas, buscando la protección de los derechos de los usuarios del Sistema General de Seguridad Social en Salud- SGSSS. </v>
      </c>
      <c r="D7" s="711"/>
      <c r="E7" s="711"/>
      <c r="F7" s="711"/>
      <c r="G7" s="711"/>
      <c r="H7" s="711"/>
      <c r="I7" s="711"/>
      <c r="J7" s="711"/>
      <c r="K7" s="711"/>
      <c r="L7" s="711"/>
      <c r="M7" s="711"/>
      <c r="N7" s="711"/>
      <c r="O7" s="791"/>
      <c r="P7" s="128"/>
    </row>
    <row r="8" spans="1:17" ht="31.5" customHeight="1">
      <c r="A8" s="792" t="s">
        <v>1594</v>
      </c>
      <c r="B8" s="774"/>
      <c r="C8" s="711" t="str">
        <f>VLOOKUP(L12,Reporte!$A$5:$N$133,13,FALSE)</f>
        <v>Realizar seguimiento y verificación
de las auditorias realizadas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Numero de Seguimientos realizados</v>
      </c>
      <c r="D10" s="711"/>
      <c r="E10" s="711"/>
      <c r="F10" s="799" t="str">
        <f>VLOOKUP(L12,Reporte!$N$5:$BN$133,6,FALSE)</f>
        <v>Este indicador mide elNúmero de Auditorías Realizadas a los vigilados.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225</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7" customHeight="1">
      <c r="A15" s="728" t="str">
        <f>VLOOKUP(L12,Reporte!$N$5:$BN$133,8,FALSE)</f>
        <v>Numérica</v>
      </c>
      <c r="B15" s="729"/>
      <c r="C15" s="825">
        <f>VLOOKUP(L12,Reporte!$N$5:$BN$133,11,FALSE)</f>
        <v>40</v>
      </c>
      <c r="D15" s="826"/>
      <c r="E15" s="827"/>
      <c r="F15" s="740" t="str">
        <f>VLOOKUP(L12,Reporte!$N$5:$BN$133,9,FALSE)</f>
        <v>Mensual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7" customHeight="1">
      <c r="A16" s="730"/>
      <c r="B16" s="731"/>
      <c r="C16" s="828"/>
      <c r="D16" s="829"/>
      <c r="E16" s="830"/>
      <c r="F16" s="742"/>
      <c r="G16" s="743"/>
      <c r="H16" s="707" t="s">
        <v>40</v>
      </c>
      <c r="I16" s="707"/>
      <c r="J16" s="746" t="s">
        <v>1596</v>
      </c>
      <c r="K16" s="747"/>
      <c r="L16" s="748"/>
      <c r="M16" s="778"/>
      <c r="N16" s="779"/>
      <c r="O16" s="780"/>
      <c r="P16" s="128"/>
    </row>
    <row r="17" spans="1:17" ht="27"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v>
      </c>
      <c r="F22" s="139">
        <f>VLOOKUP(L12,Reporte!$N$5:$BN$133,33,FALSE)</f>
        <v>4</v>
      </c>
      <c r="G22" s="132">
        <f>VLOOKUP(L12,Reporte!$N$5:$BN$133,34,FALSE)</f>
        <v>5</v>
      </c>
      <c r="H22" s="139">
        <f>VLOOKUP(L12,Reporte!$N$5:$BN$133,35,FALSE)</f>
        <v>16</v>
      </c>
      <c r="I22" s="132">
        <f>VLOOKUP(L12,Reporte!$N$5:$BN$133,36,FALSE)</f>
        <v>7</v>
      </c>
      <c r="J22" s="139">
        <f>VLOOKUP(L12,Reporte!$N$5:$BN$133,37,FALSE)</f>
        <v>17</v>
      </c>
      <c r="K22" s="139">
        <f>VLOOKUP(L12,Reporte!$N$5:$BN$133,38,FALSE)</f>
        <v>5</v>
      </c>
      <c r="L22" s="139">
        <f>VLOOKUP(L12,Reporte!$N$5:$BN$133,39,FALSE)</f>
        <v>12</v>
      </c>
      <c r="M22" s="139">
        <f>VLOOKUP(L12,Reporte!$N$5:$BN$133,40,FALSE)</f>
        <v>8</v>
      </c>
      <c r="N22" s="133">
        <f>VLOOKUP(L12,Reporte!$N$5:$BN$133,41,FALSE)</f>
        <v>10</v>
      </c>
      <c r="O22" s="133">
        <f>SUM(C22:N22)</f>
        <v>85</v>
      </c>
      <c r="P22" s="128"/>
    </row>
    <row r="23" spans="1:17" ht="16.5" thickBot="1">
      <c r="A23" s="690" t="s">
        <v>76</v>
      </c>
      <c r="B23" s="691"/>
      <c r="C23" s="140">
        <f>VLOOKUP(L12,Reporte!$N$5:$BN$133,42,FALSE)</f>
        <v>0</v>
      </c>
      <c r="D23" s="140">
        <f>VLOOKUP(L12,Reporte!$N$5:$BN$133,43,FALSE)</f>
        <v>0</v>
      </c>
      <c r="E23" s="140">
        <f>VLOOKUP(L12,Reporte!$N$5:$BN$133,44,FALSE)</f>
        <v>1</v>
      </c>
      <c r="F23" s="140">
        <f>VLOOKUP(L12,Reporte!$N$5:$BN$133,45,FALSE)</f>
        <v>4</v>
      </c>
      <c r="G23" s="140">
        <f>VLOOKUP(L12,Reporte!$N$5:$BN$133,46,FALSE)</f>
        <v>5</v>
      </c>
      <c r="H23" s="140">
        <f>VLOOKUP(L12,Reporte!$N$5:$BN$133,47,FALSE)</f>
        <v>5</v>
      </c>
      <c r="I23" s="140">
        <f>VLOOKUP(L12,Reporte!$N$5:$BN$133,48,FALSE)</f>
        <v>5</v>
      </c>
      <c r="J23" s="140">
        <f>VLOOKUP(L12,Reporte!$N$5:$BN$133,49,FALSE)</f>
        <v>5</v>
      </c>
      <c r="K23" s="140">
        <f>VLOOKUP(L12,Reporte!$N$5:$BN$133,50,FALSE)</f>
        <v>5</v>
      </c>
      <c r="L23" s="140">
        <f>VLOOKUP(L12,Reporte!$N$5:$BN$133,51,FALSE)</f>
        <v>6</v>
      </c>
      <c r="M23" s="140">
        <f>VLOOKUP(L12,Reporte!$N$5:$BN$133,52,FALSE)</f>
        <v>3</v>
      </c>
      <c r="N23" s="141">
        <f>VLOOKUP(L12,Reporte!$N$5:$BN$133,53,FALSE)</f>
        <v>10</v>
      </c>
      <c r="O23" s="133">
        <f>SUM(C23:N23)</f>
        <v>49</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40</v>
      </c>
      <c r="D26" s="161">
        <f>+C26*0.98</f>
        <v>39.200000000000003</v>
      </c>
      <c r="E26" s="147"/>
      <c r="F26" s="147"/>
      <c r="G26" s="685"/>
      <c r="H26" s="685"/>
      <c r="I26" s="699"/>
      <c r="J26" s="699"/>
      <c r="K26" s="699"/>
      <c r="L26" s="685"/>
      <c r="M26" s="685"/>
      <c r="N26" s="685"/>
      <c r="O26" s="701"/>
      <c r="P26" s="148"/>
      <c r="Q26" s="149"/>
    </row>
    <row r="27" spans="1:17" s="127" customFormat="1" ht="15">
      <c r="A27" s="145" t="s">
        <v>95</v>
      </c>
      <c r="B27" s="161">
        <f>+D22</f>
        <v>0</v>
      </c>
      <c r="C27" s="161">
        <f>+C26</f>
        <v>40</v>
      </c>
      <c r="D27" s="161">
        <f>+D26</f>
        <v>39.200000000000003</v>
      </c>
      <c r="E27" s="147"/>
      <c r="F27" s="147"/>
      <c r="G27" s="685"/>
      <c r="H27" s="685"/>
      <c r="I27" s="685"/>
      <c r="J27" s="685"/>
      <c r="K27" s="147"/>
      <c r="L27" s="685"/>
      <c r="M27" s="685"/>
      <c r="N27" s="685"/>
      <c r="O27" s="701"/>
      <c r="P27" s="148"/>
      <c r="Q27" s="149"/>
    </row>
    <row r="28" spans="1:17" s="127" customFormat="1" ht="15">
      <c r="A28" s="145" t="s">
        <v>96</v>
      </c>
      <c r="B28" s="161">
        <f>+E22</f>
        <v>1</v>
      </c>
      <c r="C28" s="161">
        <f t="shared" ref="C28:D37" si="0">+C27</f>
        <v>40</v>
      </c>
      <c r="D28" s="161">
        <f t="shared" si="0"/>
        <v>39.200000000000003</v>
      </c>
      <c r="E28" s="147"/>
      <c r="F28" s="147"/>
      <c r="G28" s="685"/>
      <c r="H28" s="685"/>
      <c r="I28" s="685"/>
      <c r="J28" s="685"/>
      <c r="K28" s="147"/>
      <c r="L28" s="685"/>
      <c r="M28" s="685"/>
      <c r="N28" s="685"/>
      <c r="O28" s="701"/>
      <c r="P28" s="148"/>
      <c r="Q28" s="149"/>
    </row>
    <row r="29" spans="1:17" s="127" customFormat="1" ht="15">
      <c r="A29" s="145" t="s">
        <v>97</v>
      </c>
      <c r="B29" s="161">
        <f>+F22</f>
        <v>4</v>
      </c>
      <c r="C29" s="161">
        <f t="shared" si="0"/>
        <v>40</v>
      </c>
      <c r="D29" s="161">
        <f t="shared" si="0"/>
        <v>39.200000000000003</v>
      </c>
      <c r="E29" s="147"/>
      <c r="F29" s="147"/>
      <c r="G29" s="685"/>
      <c r="H29" s="685"/>
      <c r="I29" s="685"/>
      <c r="J29" s="685"/>
      <c r="K29" s="147"/>
      <c r="L29" s="685"/>
      <c r="M29" s="685"/>
      <c r="N29" s="685"/>
      <c r="O29" s="701"/>
      <c r="P29" s="148"/>
      <c r="Q29" s="149"/>
    </row>
    <row r="30" spans="1:17" s="127" customFormat="1" ht="15">
      <c r="A30" s="145" t="s">
        <v>98</v>
      </c>
      <c r="B30" s="161">
        <f>+G22</f>
        <v>5</v>
      </c>
      <c r="C30" s="161">
        <f t="shared" si="0"/>
        <v>40</v>
      </c>
      <c r="D30" s="161">
        <f t="shared" si="0"/>
        <v>39.200000000000003</v>
      </c>
      <c r="E30" s="147"/>
      <c r="F30" s="147"/>
      <c r="G30" s="685"/>
      <c r="H30" s="685"/>
      <c r="I30" s="685"/>
      <c r="J30" s="685"/>
      <c r="K30" s="147"/>
      <c r="L30" s="685"/>
      <c r="M30" s="685"/>
      <c r="N30" s="685"/>
      <c r="O30" s="701"/>
      <c r="P30" s="148"/>
      <c r="Q30" s="149"/>
    </row>
    <row r="31" spans="1:17" s="127" customFormat="1" ht="15">
      <c r="A31" s="145" t="s">
        <v>99</v>
      </c>
      <c r="B31" s="161">
        <f>+H22</f>
        <v>16</v>
      </c>
      <c r="C31" s="161">
        <f t="shared" si="0"/>
        <v>40</v>
      </c>
      <c r="D31" s="161">
        <f t="shared" si="0"/>
        <v>39.200000000000003</v>
      </c>
      <c r="E31" s="147"/>
      <c r="F31" s="147"/>
      <c r="G31" s="685"/>
      <c r="H31" s="685"/>
      <c r="I31" s="685"/>
      <c r="J31" s="685"/>
      <c r="K31" s="147"/>
      <c r="L31" s="685"/>
      <c r="M31" s="685"/>
      <c r="N31" s="685"/>
      <c r="O31" s="701"/>
      <c r="P31" s="148"/>
      <c r="Q31" s="149"/>
    </row>
    <row r="32" spans="1:17" s="127" customFormat="1" ht="15">
      <c r="A32" s="145" t="s">
        <v>100</v>
      </c>
      <c r="B32" s="161">
        <f>+I22</f>
        <v>7</v>
      </c>
      <c r="C32" s="161">
        <f t="shared" si="0"/>
        <v>40</v>
      </c>
      <c r="D32" s="161">
        <f t="shared" si="0"/>
        <v>39.200000000000003</v>
      </c>
      <c r="E32" s="147"/>
      <c r="F32" s="147"/>
      <c r="G32" s="685"/>
      <c r="H32" s="685"/>
      <c r="I32" s="685"/>
      <c r="J32" s="685"/>
      <c r="K32" s="147"/>
      <c r="L32" s="685"/>
      <c r="M32" s="685"/>
      <c r="N32" s="685"/>
      <c r="O32" s="701"/>
      <c r="P32" s="148"/>
      <c r="Q32" s="149"/>
    </row>
    <row r="33" spans="1:17" s="127" customFormat="1" ht="15">
      <c r="A33" s="145" t="s">
        <v>101</v>
      </c>
      <c r="B33" s="161">
        <f>+J22</f>
        <v>17</v>
      </c>
      <c r="C33" s="161">
        <f t="shared" si="0"/>
        <v>40</v>
      </c>
      <c r="D33" s="161">
        <f t="shared" si="0"/>
        <v>39.200000000000003</v>
      </c>
      <c r="E33" s="147"/>
      <c r="F33" s="147"/>
      <c r="G33" s="685"/>
      <c r="H33" s="685"/>
      <c r="I33" s="685"/>
      <c r="J33" s="685"/>
      <c r="K33" s="147"/>
      <c r="L33" s="685"/>
      <c r="M33" s="685"/>
      <c r="N33" s="685"/>
      <c r="O33" s="701"/>
      <c r="P33" s="148"/>
      <c r="Q33" s="149"/>
    </row>
    <row r="34" spans="1:17" s="127" customFormat="1" ht="15">
      <c r="A34" s="145" t="s">
        <v>102</v>
      </c>
      <c r="B34" s="161">
        <f>+K22</f>
        <v>5</v>
      </c>
      <c r="C34" s="161">
        <f t="shared" si="0"/>
        <v>40</v>
      </c>
      <c r="D34" s="161">
        <f t="shared" si="0"/>
        <v>39.200000000000003</v>
      </c>
      <c r="E34" s="147"/>
      <c r="F34" s="147"/>
      <c r="G34" s="685"/>
      <c r="H34" s="685"/>
      <c r="I34" s="685"/>
      <c r="J34" s="685"/>
      <c r="K34" s="147"/>
      <c r="L34" s="685"/>
      <c r="M34" s="685"/>
      <c r="N34" s="685"/>
      <c r="O34" s="701"/>
      <c r="P34" s="148"/>
      <c r="Q34" s="149"/>
    </row>
    <row r="35" spans="1:17" s="127" customFormat="1" ht="15">
      <c r="A35" s="145" t="s">
        <v>103</v>
      </c>
      <c r="B35" s="161">
        <f>+L22</f>
        <v>12</v>
      </c>
      <c r="C35" s="161">
        <f t="shared" si="0"/>
        <v>40</v>
      </c>
      <c r="D35" s="161">
        <f t="shared" si="0"/>
        <v>39.200000000000003</v>
      </c>
      <c r="E35" s="147"/>
      <c r="F35" s="147"/>
      <c r="G35" s="685"/>
      <c r="H35" s="685"/>
      <c r="I35" s="685"/>
      <c r="J35" s="685"/>
      <c r="K35" s="147"/>
      <c r="L35" s="685"/>
      <c r="M35" s="685"/>
      <c r="N35" s="685"/>
      <c r="O35" s="701"/>
      <c r="P35" s="148"/>
      <c r="Q35" s="149"/>
    </row>
    <row r="36" spans="1:17" s="127" customFormat="1" ht="15">
      <c r="A36" s="145" t="s">
        <v>104</v>
      </c>
      <c r="B36" s="161">
        <f>+M22</f>
        <v>8</v>
      </c>
      <c r="C36" s="161">
        <f t="shared" si="0"/>
        <v>40</v>
      </c>
      <c r="D36" s="161">
        <f t="shared" si="0"/>
        <v>39.200000000000003</v>
      </c>
      <c r="E36" s="147"/>
      <c r="F36" s="147"/>
      <c r="G36" s="685"/>
      <c r="H36" s="685"/>
      <c r="I36" s="685"/>
      <c r="J36" s="685"/>
      <c r="K36" s="147"/>
      <c r="L36" s="685"/>
      <c r="M36" s="685"/>
      <c r="N36" s="685"/>
      <c r="O36" s="701"/>
      <c r="P36" s="148"/>
      <c r="Q36" s="149"/>
    </row>
    <row r="37" spans="1:17" s="127" customFormat="1" ht="15.75" thickBot="1">
      <c r="A37" s="150" t="s">
        <v>105</v>
      </c>
      <c r="B37" s="162">
        <f>+N22</f>
        <v>10</v>
      </c>
      <c r="C37" s="161">
        <f t="shared" si="0"/>
        <v>40</v>
      </c>
      <c r="D37" s="161">
        <f t="shared" si="0"/>
        <v>39.200000000000003</v>
      </c>
      <c r="E37" s="147"/>
      <c r="F37" s="147"/>
      <c r="G37" s="147"/>
      <c r="H37" s="147"/>
      <c r="I37" s="147"/>
      <c r="J37" s="147"/>
      <c r="K37" s="147"/>
      <c r="L37" s="685"/>
      <c r="M37" s="685"/>
      <c r="N37" s="685"/>
      <c r="O37" s="701"/>
      <c r="P37" s="148"/>
      <c r="Q37" s="149"/>
    </row>
    <row r="38" spans="1:17" s="127" customFormat="1" ht="15.75" thickBot="1">
      <c r="A38" s="152" t="s">
        <v>106</v>
      </c>
      <c r="B38" s="164">
        <f>+O22</f>
        <v>85</v>
      </c>
      <c r="C38" s="164">
        <f>+C37</f>
        <v>40</v>
      </c>
      <c r="D38" s="164">
        <f>+D37</f>
        <v>39.200000000000003</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​Se realiza el seguimiento programado para el período.  En este caso al municipio de Dabeiba Antioquia.Se adjuntan las evidencias de seguimiento.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126" customHeight="1" thickBot="1">
      <c r="A47" s="670" t="str">
        <f>VLOOKUP(L12,Reporte!$N$5:$BZ$133,57,FALSE)</f>
        <v xml:space="preserve">​Se realizan los 4 seguimientos programados para el período.  Estos se realizaron a:
* Dosquebradas  * Villavicencio  * Puerto Asís * Amazonas.  
Se adjuntan los Oficios que se radicaron a los respectivos secretarios de salud.
Frente al Oficio de Amazonas, debe tenerse en cuenta que si bien el asunto es "
"Convocatoria Mesa de Inspección y Vigilancia al Departamento de Amazonas– Secretaría Departamental de Salud.", esta mesa se hace con el propósito de "
hacer seguimiento a los incumplimientos identificados en el marco de auditoría específica y mesa de trabajo realizada frente a los componentes de salud pública, financiamiento, acceso y garantía de la calidad, y análisis y evaluación. "  
Es decir, es una mesa de inspección y vigilancioa cuyo objeto es hacer seguimiento a una auditoría.
Igualmente en los otros oficios también puede evidenciarse que se hacen los respectivos seguimeintos a las auditorías.  
Los oficios muestran que se realizaron los seguimientos.  Si se desea revisar todos los adjuntos de los mismos, esto puede hacerse en super argo con los numeros de radicado.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90.75" customHeight="1" thickBot="1">
      <c r="A49" s="670" t="str">
        <f>VLOOKUP(L12,Reporte!$N$5:$BZ$133,58,FALSE)</f>
        <v>​Durante el mes de mayo, la Superintendencia Delegada para Entidades Territoriales y Generadores, Recaudadores y Administradores de Recursos del SGSSS realizó desde sus diferentes direcciones y grupos de trabajo cinco (5) seguimientos a auditorías ejecutadas, siendo estos: 
1. Departamento de Tolima (Auto Nro. 2024590010000924-7 del 14-08-2024): primer seguimiento.
2. Instituto Departamental de Salud de Nariño (Auto Nro. 2024500010000937-7 del 16 de agosto del 2024): primer seguimiento.
3. Municipio deEl Líbano - Tolima (Auto No. 2024580000000840-7 de 16-07-2024): segundo seguimiento.
4. Departamento del Amazonas (Auto2024500010000814-7 de 8 de julio de 2024) : segundo seguimiento.
5. Empresa Industrial y Comercial del Estado Administradora del Monopolio Rentístico de los Juegos de Suerte y Azar, denominada-COLJUEGOS (2024590000000580-7): primer seguimiento.</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12.5" customHeight="1" thickBot="1">
      <c r="A51" s="670" t="str">
        <f>VLOOKUP(L12,Reporte!$N$5:$BZ$133,59,FALSE)</f>
        <v xml:space="preserve">​En razón a la necesidad de avcanzar con el cierre de procesos de auditoría en curso, se efectuaron 16 seguimientos asi:
En abril: Belalcázar, Dosquebradas, Morales (Bolívar).
     En mayo: Dabeiba, Tunja, Puerto Boyacá
     En junio: Frontino, Pitalito
     Desde la Dirección Regional Occidental, se realizaron tres (3) seguimientos   a auditorías: El Dovio - Valle del Cauca, Timbiquí - Cauca y Florida - Valle   del Cauca. 
     Desde la Dirección de Generadores, Recaudadroes y Administradores de   Recursos del SGSSS, se relaizaron los siguientes seguimientos:
     * A las entidades territoriales de Santander, Meta y Chocó.
     * A los generadores de recursos de las loterías de Santander, Medellín y   Bogotá y a la Unidad de Licores del Meta.
     * Al recaudador y administrador de recursos Coljuegos.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125.25" customHeight="1" thickBot="1">
      <c r="A53" s="670" t="str">
        <f>VLOOKUP(L12,Reporte!$N$5:$BZ$133,60,FALSE)</f>
        <v xml:space="preserve">​Para el primer semestre del 2025 la Delegada había presentado un rezago frente a al cumplimiento de las metas establecidas de manera mensual; por tal motivo, se estan realizando seguimientos para cumplir con la meta del periodo y subsanar aquellos donde no hubo reporte. 
Para el mes de julio se realizaron 7 seguimientos a los Planes de Mejoramiento, los cuales se listan a continuación:
Dpto de La Guajira.
Distito de Riohacha.
Municipio de Maicao.
Municipio de Uribia.
Municipio de Manaure.
COLJUEGOS
Distrito de Buenaventura
</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52.5" customHeight="1" thickBot="1">
      <c r="A55" s="670" t="str">
        <f>VLOOKUP(L12,Reporte!$N$5:$BZ$133,61,FALSE)</f>
        <v xml:space="preserve">​En el primer semestre se pudieron presentar algunos errores en el reporte; por tal motivo, se están realizando reportes adicionales para contrarrestar esto.  
Frente al avance en este indicador, se realizaron 17 seguimientos a auditorias entre las que se encuentran las realizadas a los  municipios de Riohacha, Manaure, Uribia, Maicao, deparatamento de La Guajira y Seguimiento del segundo (2) avance Plan de Mejoramiento Empresa Industrial y Comercial del Estado Administradora del Monopolio Rentístico de los Juegos de Suerte y Azar - COLJUEGOS . En la carpeta de evidencias se encuentran las actas e informes de los seguimientos realizados.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66" customHeight="1" thickBot="1">
      <c r="A57" s="682" t="str">
        <f>VLOOKUP(L12,Reporte!$N$5:$BZ$133,62,FALSE)</f>
        <v xml:space="preserve">Durante este trimestre se tenían programados 5 y se realizaron 5 seguimientos a auditorías en diferentes regiones del pais,con lo cual se presenta cumplimiento de la meta para el periodo de seguimiento, es importante tener en cuenta que en el mes pasado se superó la meta establecida. A continuación, se señalan los seguimientos realizados: 
- Regional Sur: Tercer seguimiento Plan de Mejoramiento Puerto Asís realizado 23/9/2025 y segundo seguimiento al Plan de Mejoramiento de Pitalito realizado el 18/9/2025.
- Regional Norte: Se realizó segundo seguimiento auditoría Morales
- Regional Occidental: Se realizaron dos seguimientos a auditoría, El Dovio (Valle del Cauca) tercer seguimiento y Timbiquí (Cauca) tercer seguimiento.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63.75" customHeight="1" thickBot="1">
      <c r="A59" s="670" t="str">
        <f>VLOOKUP(L12,Reporte!$N$5:$BZ$133,63,FALSE)</f>
        <v xml:space="preserve">Durante el periodo se realizaron 12 seguimientos a auditorías, superando la meta establecida de 6. Este resultado obedece a la optimización del cronograma operativo y la disponibilidad de equipos técnicos en territorio, lo que permitió desarrollar más actividades a las previstas y dar continuidad a los compromisos de mejora.
La ejecución superior a la meta refleja eficiencia en la gestión del proceso y una mayor capacidad de respuesta frente a las necesidades de seguimiento. Los seguimientos se realizaron a las siguientes Entidades Territoriales:  El Piñón (Magdalena), Gamarra (Cesar) y Barrancas (La Guajira), Departamento del Atlántico, Morales (Bolívar), Mitú (Vaupes)  , Prado (Tolima), Florida (Valle del Cauca), Puerto Santander (Noste de Santander), Viracacha (Boyacá), Apía y Dosquebradas (Risaralda)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85 seguimientos en lo corrido del año, con un sobrecumplimiento con 212% con respecto a la meta de 40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B8556-9328-4766-A99D-0660E09394D5}">
  <sheetPr codeName="Hoja42"/>
  <dimension ref="A1:Q67"/>
  <sheetViews>
    <sheetView view="pageBreakPreview" topLeftCell="A37" zoomScale="80" zoomScaleNormal="73" zoomScaleSheetLayoutView="80" zoomScalePageLayoutView="55" workbookViewId="0">
      <selection activeCell="A47" sqref="A47:O47"/>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1.5" customHeight="1">
      <c r="A6" s="789" t="s">
        <v>8</v>
      </c>
      <c r="B6" s="790"/>
      <c r="C6" s="711" t="str">
        <f>VLOOKUP(L12,Reporte!$N$5:$BN$133,2,FALSE)</f>
        <v>Mesas Técnicas para el fortalecimiento de competencias</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Realizar mesas  técnicas de fortalecimiento de competencias dirigidas a los sujetos vigilados de la Delegada de acuerdo a su competencia.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Mesas Técnicas realizadas</v>
      </c>
      <c r="D10" s="711"/>
      <c r="E10" s="711"/>
      <c r="F10" s="799" t="str">
        <f>VLOOKUP(L12,Reporte!$N$5:$BN$133,6,FALSE)</f>
        <v>Este indicador mide el número de Mesas técnicas con entidades sujetas de Inspección y Vigilancia.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540</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4" customHeight="1">
      <c r="A15" s="728" t="str">
        <f>VLOOKUP(L12,Reporte!$N$5:$BN$133,8,FALSE)</f>
        <v>Numérica</v>
      </c>
      <c r="B15" s="729"/>
      <c r="C15" s="825">
        <f>VLOOKUP(L12,Reporte!$N$5:$BN$133,11,FALSE)</f>
        <v>11</v>
      </c>
      <c r="D15" s="826"/>
      <c r="E15" s="827"/>
      <c r="F15" s="740" t="str">
        <f>VLOOKUP(L12,Reporte!$N$5:$BN$133,9,FALSE)</f>
        <v>Cuatrimestral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4" customHeight="1">
      <c r="A16" s="730"/>
      <c r="B16" s="731"/>
      <c r="C16" s="828"/>
      <c r="D16" s="829"/>
      <c r="E16" s="830"/>
      <c r="F16" s="742"/>
      <c r="G16" s="743"/>
      <c r="H16" s="707" t="s">
        <v>40</v>
      </c>
      <c r="I16" s="707"/>
      <c r="J16" s="746" t="s">
        <v>1596</v>
      </c>
      <c r="K16" s="747"/>
      <c r="L16" s="748"/>
      <c r="M16" s="778"/>
      <c r="N16" s="779"/>
      <c r="O16" s="780"/>
      <c r="P16" s="128"/>
    </row>
    <row r="17" spans="1:17" ht="24"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6</v>
      </c>
      <c r="G22" s="132">
        <f>VLOOKUP(L12,Reporte!$N$5:$BN$133,34,FALSE)</f>
        <v>0</v>
      </c>
      <c r="H22" s="139">
        <f>VLOOKUP(L12,Reporte!$N$5:$BN$133,35,FALSE)</f>
        <v>0</v>
      </c>
      <c r="I22" s="132">
        <f>VLOOKUP(L12,Reporte!$N$5:$BN$133,36,FALSE)</f>
        <v>0</v>
      </c>
      <c r="J22" s="139">
        <f>VLOOKUP(L12,Reporte!$N$5:$BN$133,37,FALSE)</f>
        <v>1</v>
      </c>
      <c r="K22" s="139">
        <f>VLOOKUP(L12,Reporte!$N$5:$BN$133,38,FALSE)</f>
        <v>0</v>
      </c>
      <c r="L22" s="139">
        <f>VLOOKUP(L12,Reporte!$N$5:$BN$133,39,FALSE)</f>
        <v>0</v>
      </c>
      <c r="M22" s="139">
        <f>VLOOKUP(L12,Reporte!$N$5:$BN$133,40,FALSE)</f>
        <v>0</v>
      </c>
      <c r="N22" s="133">
        <f>VLOOKUP(L12,Reporte!$N$5:$BN$133,41,FALSE)</f>
        <v>9</v>
      </c>
      <c r="O22" s="133">
        <f>SUM(C22:N22)</f>
        <v>16</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6</v>
      </c>
      <c r="G23" s="140">
        <f>VLOOKUP(L12,Reporte!$N$5:$BN$133,46,FALSE)</f>
        <v>0</v>
      </c>
      <c r="H23" s="140">
        <f>VLOOKUP(L12,Reporte!$N$5:$BN$133,47,FALSE)</f>
        <v>0</v>
      </c>
      <c r="I23" s="140">
        <f>VLOOKUP(L12,Reporte!$N$5:$BN$133,48,FALSE)</f>
        <v>0</v>
      </c>
      <c r="J23" s="140">
        <f>VLOOKUP(L12,Reporte!$N$5:$BN$133,49,FALSE)</f>
        <v>3</v>
      </c>
      <c r="K23" s="140">
        <f>VLOOKUP(L12,Reporte!$N$5:$BN$133,50,FALSE)</f>
        <v>0</v>
      </c>
      <c r="L23" s="140">
        <f>VLOOKUP(L12,Reporte!$N$5:$BN$133,51,FALSE)</f>
        <v>0</v>
      </c>
      <c r="M23" s="140">
        <f>VLOOKUP(L12,Reporte!$N$5:$BN$133,52,FALSE)</f>
        <v>0</v>
      </c>
      <c r="N23" s="141">
        <f>VLOOKUP(L12,Reporte!$N$5:$BN$133,53,FALSE)</f>
        <v>2</v>
      </c>
      <c r="O23" s="133">
        <f>SUM(C23:N23)</f>
        <v>11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11</v>
      </c>
      <c r="D26" s="161">
        <f>+C26*0.98</f>
        <v>10.78</v>
      </c>
      <c r="E26" s="147"/>
      <c r="F26" s="147"/>
      <c r="G26" s="685"/>
      <c r="H26" s="685"/>
      <c r="I26" s="699"/>
      <c r="J26" s="699"/>
      <c r="K26" s="699"/>
      <c r="L26" s="685"/>
      <c r="M26" s="685"/>
      <c r="N26" s="685"/>
      <c r="O26" s="701"/>
      <c r="P26" s="148"/>
      <c r="Q26" s="149"/>
    </row>
    <row r="27" spans="1:17" s="127" customFormat="1" ht="15">
      <c r="A27" s="145" t="s">
        <v>95</v>
      </c>
      <c r="B27" s="161">
        <f>+D22</f>
        <v>0</v>
      </c>
      <c r="C27" s="161">
        <f>+C26</f>
        <v>11</v>
      </c>
      <c r="D27" s="161">
        <f>+D26</f>
        <v>10.78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11</v>
      </c>
      <c r="D28" s="161">
        <f t="shared" si="0"/>
        <v>10.78</v>
      </c>
      <c r="E28" s="147"/>
      <c r="F28" s="147"/>
      <c r="G28" s="685"/>
      <c r="H28" s="685"/>
      <c r="I28" s="685"/>
      <c r="J28" s="685"/>
      <c r="K28" s="147"/>
      <c r="L28" s="685"/>
      <c r="M28" s="685"/>
      <c r="N28" s="685"/>
      <c r="O28" s="701"/>
      <c r="P28" s="148"/>
      <c r="Q28" s="149"/>
    </row>
    <row r="29" spans="1:17" s="127" customFormat="1" ht="15">
      <c r="A29" s="145" t="s">
        <v>97</v>
      </c>
      <c r="B29" s="161">
        <f>+F22</f>
        <v>6</v>
      </c>
      <c r="C29" s="161">
        <f t="shared" si="0"/>
        <v>11</v>
      </c>
      <c r="D29" s="161">
        <f t="shared" si="0"/>
        <v>10.78</v>
      </c>
      <c r="E29" s="147"/>
      <c r="F29" s="147"/>
      <c r="G29" s="685"/>
      <c r="H29" s="685"/>
      <c r="I29" s="685"/>
      <c r="J29" s="685"/>
      <c r="K29" s="147"/>
      <c r="L29" s="685"/>
      <c r="M29" s="685"/>
      <c r="N29" s="685"/>
      <c r="O29" s="701"/>
      <c r="P29" s="148"/>
      <c r="Q29" s="149"/>
    </row>
    <row r="30" spans="1:17" s="127" customFormat="1" ht="15">
      <c r="A30" s="145" t="s">
        <v>98</v>
      </c>
      <c r="B30" s="161">
        <f>+G22</f>
        <v>0</v>
      </c>
      <c r="C30" s="161">
        <f t="shared" si="0"/>
        <v>11</v>
      </c>
      <c r="D30" s="161">
        <f t="shared" si="0"/>
        <v>10.78</v>
      </c>
      <c r="E30" s="147"/>
      <c r="F30" s="147"/>
      <c r="G30" s="685"/>
      <c r="H30" s="685"/>
      <c r="I30" s="685"/>
      <c r="J30" s="685"/>
      <c r="K30" s="147"/>
      <c r="L30" s="685"/>
      <c r="M30" s="685"/>
      <c r="N30" s="685"/>
      <c r="O30" s="701"/>
      <c r="P30" s="148"/>
      <c r="Q30" s="149"/>
    </row>
    <row r="31" spans="1:17" s="127" customFormat="1" ht="15">
      <c r="A31" s="145" t="s">
        <v>99</v>
      </c>
      <c r="B31" s="161">
        <f>+H22</f>
        <v>0</v>
      </c>
      <c r="C31" s="161">
        <f t="shared" si="0"/>
        <v>11</v>
      </c>
      <c r="D31" s="161">
        <f t="shared" si="0"/>
        <v>10.78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11</v>
      </c>
      <c r="D32" s="161">
        <f t="shared" si="0"/>
        <v>10.78</v>
      </c>
      <c r="E32" s="147"/>
      <c r="F32" s="147"/>
      <c r="G32" s="685"/>
      <c r="H32" s="685"/>
      <c r="I32" s="685"/>
      <c r="J32" s="685"/>
      <c r="K32" s="147"/>
      <c r="L32" s="685"/>
      <c r="M32" s="685"/>
      <c r="N32" s="685"/>
      <c r="O32" s="701"/>
      <c r="P32" s="148"/>
      <c r="Q32" s="149"/>
    </row>
    <row r="33" spans="1:17" s="127" customFormat="1" ht="15">
      <c r="A33" s="145" t="s">
        <v>101</v>
      </c>
      <c r="B33" s="161">
        <f>+J22</f>
        <v>1</v>
      </c>
      <c r="C33" s="161">
        <f t="shared" si="0"/>
        <v>11</v>
      </c>
      <c r="D33" s="161">
        <f t="shared" si="0"/>
        <v>10.78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11</v>
      </c>
      <c r="D34" s="161">
        <f t="shared" si="0"/>
        <v>10.78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11</v>
      </c>
      <c r="D35" s="161">
        <f t="shared" si="0"/>
        <v>10.78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11</v>
      </c>
      <c r="D36" s="161">
        <f t="shared" si="0"/>
        <v>10.78</v>
      </c>
      <c r="E36" s="147"/>
      <c r="F36" s="147"/>
      <c r="G36" s="685"/>
      <c r="H36" s="685"/>
      <c r="I36" s="685"/>
      <c r="J36" s="685"/>
      <c r="K36" s="147"/>
      <c r="L36" s="685"/>
      <c r="M36" s="685"/>
      <c r="N36" s="685"/>
      <c r="O36" s="701"/>
      <c r="P36" s="148"/>
      <c r="Q36" s="149"/>
    </row>
    <row r="37" spans="1:17" s="127" customFormat="1" ht="15.75" thickBot="1">
      <c r="A37" s="150" t="s">
        <v>105</v>
      </c>
      <c r="B37" s="162">
        <f>+N22</f>
        <v>9</v>
      </c>
      <c r="C37" s="161">
        <f t="shared" si="0"/>
        <v>11</v>
      </c>
      <c r="D37" s="161">
        <f t="shared" si="0"/>
        <v>10.78</v>
      </c>
      <c r="E37" s="147"/>
      <c r="F37" s="147"/>
      <c r="G37" s="147"/>
      <c r="H37" s="147"/>
      <c r="I37" s="147"/>
      <c r="J37" s="147"/>
      <c r="K37" s="147"/>
      <c r="L37" s="685"/>
      <c r="M37" s="685"/>
      <c r="N37" s="685"/>
      <c r="O37" s="701"/>
      <c r="P37" s="148"/>
      <c r="Q37" s="149"/>
    </row>
    <row r="38" spans="1:17" s="127" customFormat="1" ht="15.75" thickBot="1">
      <c r="A38" s="152" t="s">
        <v>106</v>
      </c>
      <c r="B38" s="164">
        <f>+O22</f>
        <v>16</v>
      </c>
      <c r="C38" s="164">
        <f>+C37</f>
        <v>11</v>
      </c>
      <c r="D38" s="164">
        <f>+D37</f>
        <v>10.78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102.75" customHeight="1" thickBot="1">
      <c r="A47" s="670" t="str">
        <f>VLOOKUP(L12,Reporte!$N$5:$BZ$133,57,FALSE)</f>
        <v xml:space="preserve">​Se realizaron las 6 mesas de fortalecimiento de competencias de la siguiente manera:
* 3 Mesas de Fortalecimiento de competencias en el aplicativo / Guía de Auditoría GAUDI a todas las Entidades territoriales Se hacen 3 mesas ya que se dividen las entidades territoriales en 3 grupos como se ve en la evidencia adjunta.
* 1 mesa de fortalecimiento de competencias en circular 030 en el chocó
* 1 mesa de fortalecimiento de competencias en Rentas cedidas en el departamento del quindío.  Se aclara que dentro de la mesa de inspección y vigilancia, también se realizó fortalecimiento de competencias a los vigilados en este tema.
* 1 mesa de fortalecimiento de competencias en Fiscalización de rentas cedidas para el departamento del Vichada.  Se aclara que dentro de la mesa de inspección y vigilancia, también se realizó fortalecimiento de competencias a los vigilados en este tema.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1.25" customHeight="1" thickBot="1">
      <c r="A55" s="670" t="str">
        <f>VLOOKUP(L12,Reporte!$N$5:$BZ$133,61,FALSE)</f>
        <v>​Durante el periodo de reporte, se realizó una mesa tecnica de fortalecimiento de competencias en inspeccion vigilancia y control de las Entiades territoriales de caracter Departamental, Distrital y Municipal de los departamentos de Cundinamarca, Bogotá, Amazonas y San Andrés.
Para el ultimo trimestre se realizarán las Mesas de fortalecimiento necesarias para cumplir con el 100% de lo planeado para la vigencia.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73.25" customHeight="1" thickBot="1">
      <c r="A63" s="673" t="str">
        <f>VLOOKUP(L12,Reporte!$N$5:$BZ$133,65,FALSE)</f>
        <v>Durante el periodo evaluado, se desarrollaron Mesas Técnicas de Fortalecimiento Territorial en las diferentes Direcciones Regionales, conforme se detalla a continuación:   
Regional Andina: Se realizaron dos (2) Mesas Técnicas de Fortalecimiento Territorial: una en el departamento de Antioquia, con participación de los distritos de Medellín y Turbo, y otra en la ciudad de Pereira, con participación de los departamentos de Risaralda, Caldas y Quindío.
Regional Nororiental: Se llevaron a cabo dos (2) Mesas Técnicas de Fortalecimiento Territorial, una en el departamento de Boyacá y otra en Santander, esta última con la participación de la Entidad Territorial de Norte de Santander y la totalidad de sus municipios.
Regional Occidental: Se realizó una (1) Mesa Técnica de Fortalecimiento Territorial en la ciudad de Santiago de Cali, con la participación de los departamentos de Valle del Cauca, Cauca y Nariño, así como de los distritos de Santiago de Cali, Buenaventura y Tumaco.
Regional Norte: Se desarrolló una (1) mesa de fortalecimiento territorial en la ciudad de Montería, con la participación de los departamentos de Córdoba y Sucre.
Regional Caribe: Se realizó una (1) Mesa Técnica de Fortalecimiento Territorial en el Distrito de Santa Marta, con la participación de los departamentos de La Guajira, Cesar y Magdalena.
Regional Sur: Se desarrolló una (1) Mesa Técnica de Fortalecimiento Territorial en la ciudad de Neiva, durante los días 26, 27 y 28 de noviembre, con la participación de los departamentos de Huila, Tolima, Caquetá y Putumayo.
Regional Orinoquía: Se llevó a cabo una (1) Mesa Técnica de Fortalecimiento Territorial en la ciudad de Villavicencio, con la participación de los departamentos de Vichada, Guainía, Vaupés, Meta, Guaviare, Casanare y Arauca.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16 mesas técnicas con un sobrecumplimiento de 145,5%, con respecto de la meta de 11 establecida para 2025.
Presenta una inconsistencia en el reporte de datos 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D63E6-7B57-4D75-B157-02DE79798459}">
  <sheetPr codeName="Hoja4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DIRECCIONAMIENTO ESTRATÉGICO</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Mesas ejecutadas para la apropiación del Sistema Integrado de Gestión al interior de la Delegada.</v>
      </c>
      <c r="D6" s="711"/>
      <c r="E6" s="711"/>
      <c r="F6" s="711"/>
      <c r="G6" s="711"/>
      <c r="H6" s="711"/>
      <c r="I6" s="711"/>
      <c r="J6" s="711"/>
      <c r="K6" s="711"/>
      <c r="L6" s="711"/>
      <c r="M6" s="711"/>
      <c r="N6" s="711"/>
      <c r="O6" s="791"/>
      <c r="P6" s="128"/>
    </row>
    <row r="7" spans="1:17" ht="58.5" customHeight="1">
      <c r="A7" s="789" t="s">
        <v>10</v>
      </c>
      <c r="B7" s="790"/>
      <c r="C7" s="711" t="str">
        <f>VLOOKUP(L12,Reporte!A5:M133,10,FALSE)</f>
        <v>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v>
      </c>
      <c r="D7" s="711"/>
      <c r="E7" s="711"/>
      <c r="F7" s="711"/>
      <c r="G7" s="711"/>
      <c r="H7" s="711"/>
      <c r="I7" s="711"/>
      <c r="J7" s="711"/>
      <c r="K7" s="711"/>
      <c r="L7" s="711"/>
      <c r="M7" s="711"/>
      <c r="N7" s="711"/>
      <c r="O7" s="791"/>
      <c r="P7" s="128"/>
    </row>
    <row r="8" spans="1:17" ht="15.75">
      <c r="A8" s="792" t="s">
        <v>1594</v>
      </c>
      <c r="B8" s="774"/>
      <c r="C8" s="711" t="str">
        <f>VLOOKUP(L12,Reporte!$A$5:$N$133,13,FALSE)</f>
        <v>Realizar mesas internas de apropiación y aplicabilidad del Sistema Integrado de Gestión a los funcionarios de la Delegada.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1.5" customHeight="1">
      <c r="A10" s="794"/>
      <c r="B10" s="795"/>
      <c r="C10" s="711" t="str">
        <f>VLOOKUP(L12,Reporte!$N$5:$BN$133,4,FALSE)</f>
        <v xml:space="preserve">Número de mesas ejecutadas para la apropiación del Sistema Integrado de Gestión al interior de la Delegada realizadas </v>
      </c>
      <c r="D10" s="711"/>
      <c r="E10" s="711"/>
      <c r="F10" s="799" t="str">
        <f>VLOOKUP(L12,Reporte!$N$5:$BN$133,6,FALSE)</f>
        <v>Este indicador mide las mesas ejecutadas para la apropiación del SIG</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341</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4" customHeight="1">
      <c r="A15" s="728" t="str">
        <f>VLOOKUP(L12,Reporte!$N$5:$BN$133,8,FALSE)</f>
        <v>Numérica</v>
      </c>
      <c r="B15" s="729"/>
      <c r="C15" s="825">
        <f>VLOOKUP(L12,Reporte!$N$5:$BN$133,11,FALSE)</f>
        <v>12</v>
      </c>
      <c r="D15" s="826"/>
      <c r="E15" s="827"/>
      <c r="F15" s="740" t="str">
        <f>VLOOKUP(L12,Reporte!$N$5:$BN$133,9,FALSE)</f>
        <v>Cuatrimestral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4" customHeight="1">
      <c r="A16" s="730"/>
      <c r="B16" s="731"/>
      <c r="C16" s="828"/>
      <c r="D16" s="829"/>
      <c r="E16" s="830"/>
      <c r="F16" s="742"/>
      <c r="G16" s="743"/>
      <c r="H16" s="707" t="s">
        <v>40</v>
      </c>
      <c r="I16" s="707"/>
      <c r="J16" s="746" t="s">
        <v>1596</v>
      </c>
      <c r="K16" s="747"/>
      <c r="L16" s="748"/>
      <c r="M16" s="778"/>
      <c r="N16" s="779"/>
      <c r="O16" s="780"/>
      <c r="P16" s="128"/>
    </row>
    <row r="17" spans="1:17" ht="24"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4</v>
      </c>
      <c r="G22" s="132">
        <f>VLOOKUP(L12,Reporte!$N$5:$BN$133,34,FALSE)</f>
        <v>0</v>
      </c>
      <c r="H22" s="139">
        <f>VLOOKUP(L12,Reporte!$N$5:$BN$133,35,FALSE)</f>
        <v>0</v>
      </c>
      <c r="I22" s="132">
        <f>VLOOKUP(L12,Reporte!$N$5:$BN$133,36,FALSE)</f>
        <v>0</v>
      </c>
      <c r="J22" s="139">
        <f>VLOOKUP(L12,Reporte!$N$5:$BN$133,37,FALSE)</f>
        <v>3</v>
      </c>
      <c r="K22" s="139">
        <f>VLOOKUP(L12,Reporte!$N$5:$BN$133,38,FALSE)</f>
        <v>0</v>
      </c>
      <c r="L22" s="139">
        <f>VLOOKUP(L12,Reporte!$N$5:$BN$133,39,FALSE)</f>
        <v>0</v>
      </c>
      <c r="M22" s="139">
        <f>VLOOKUP(L12,Reporte!$N$5:$BN$133,40,FALSE)</f>
        <v>0</v>
      </c>
      <c r="N22" s="133">
        <f>VLOOKUP(L12,Reporte!$N$5:$BN$133,41,FALSE)</f>
        <v>5</v>
      </c>
      <c r="O22" s="133">
        <f>SUM(C22:N22)</f>
        <v>12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4</v>
      </c>
      <c r="G23" s="140">
        <f>VLOOKUP(L12,Reporte!$N$5:$BN$133,46,FALSE)</f>
        <v>0</v>
      </c>
      <c r="H23" s="140">
        <f>VLOOKUP(L12,Reporte!$N$5:$BN$133,47,FALSE)</f>
        <v>0</v>
      </c>
      <c r="I23" s="140">
        <f>VLOOKUP(L12,Reporte!$N$5:$BN$133,48,FALSE)</f>
        <v>0</v>
      </c>
      <c r="J23" s="140">
        <f>VLOOKUP(L12,Reporte!$N$5:$BN$133,49,FALSE)</f>
        <v>4</v>
      </c>
      <c r="K23" s="140">
        <f>VLOOKUP(L12,Reporte!$N$5:$BN$133,50,FALSE)</f>
        <v>0</v>
      </c>
      <c r="L23" s="140">
        <f>VLOOKUP(L12,Reporte!$N$5:$BN$133,51,FALSE)</f>
        <v>0</v>
      </c>
      <c r="M23" s="140">
        <f>VLOOKUP(L12,Reporte!$N$5:$BN$133,52,FALSE)</f>
        <v>0</v>
      </c>
      <c r="N23" s="141">
        <f>VLOOKUP(L12,Reporte!$N$5:$BN$133,53,FALSE)</f>
        <v>4</v>
      </c>
      <c r="O23" s="133">
        <f>SUM(C23:N23)</f>
        <v>12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12</v>
      </c>
      <c r="D26" s="161">
        <f>+C26*0.98</f>
        <v>11.76</v>
      </c>
      <c r="E26" s="147"/>
      <c r="F26" s="147"/>
      <c r="G26" s="685"/>
      <c r="H26" s="685"/>
      <c r="I26" s="699"/>
      <c r="J26" s="699"/>
      <c r="K26" s="699"/>
      <c r="L26" s="685"/>
      <c r="M26" s="685"/>
      <c r="N26" s="685"/>
      <c r="O26" s="701"/>
      <c r="P26" s="148"/>
      <c r="Q26" s="149"/>
    </row>
    <row r="27" spans="1:17" s="127" customFormat="1" ht="15">
      <c r="A27" s="145" t="s">
        <v>95</v>
      </c>
      <c r="B27" s="161">
        <f>+D22</f>
        <v>0</v>
      </c>
      <c r="C27" s="161">
        <f>+C26</f>
        <v>12</v>
      </c>
      <c r="D27" s="161">
        <f>+D26</f>
        <v>11.76</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12</v>
      </c>
      <c r="D28" s="161">
        <f t="shared" si="0"/>
        <v>11.76</v>
      </c>
      <c r="E28" s="147"/>
      <c r="F28" s="147"/>
      <c r="G28" s="685"/>
      <c r="H28" s="685"/>
      <c r="I28" s="685"/>
      <c r="J28" s="685"/>
      <c r="K28" s="147"/>
      <c r="L28" s="685"/>
      <c r="M28" s="685"/>
      <c r="N28" s="685"/>
      <c r="O28" s="701"/>
      <c r="P28" s="148"/>
      <c r="Q28" s="149"/>
    </row>
    <row r="29" spans="1:17" s="127" customFormat="1" ht="15">
      <c r="A29" s="145" t="s">
        <v>97</v>
      </c>
      <c r="B29" s="161">
        <f>+F22</f>
        <v>4</v>
      </c>
      <c r="C29" s="161">
        <f t="shared" si="0"/>
        <v>12</v>
      </c>
      <c r="D29" s="161">
        <f t="shared" si="0"/>
        <v>11.76</v>
      </c>
      <c r="E29" s="147"/>
      <c r="F29" s="147"/>
      <c r="G29" s="685"/>
      <c r="H29" s="685"/>
      <c r="I29" s="685"/>
      <c r="J29" s="685"/>
      <c r="K29" s="147"/>
      <c r="L29" s="685"/>
      <c r="M29" s="685"/>
      <c r="N29" s="685"/>
      <c r="O29" s="701"/>
      <c r="P29" s="148"/>
      <c r="Q29" s="149"/>
    </row>
    <row r="30" spans="1:17" s="127" customFormat="1" ht="15">
      <c r="A30" s="145" t="s">
        <v>98</v>
      </c>
      <c r="B30" s="161">
        <f>+G22</f>
        <v>0</v>
      </c>
      <c r="C30" s="161">
        <f t="shared" si="0"/>
        <v>12</v>
      </c>
      <c r="D30" s="161">
        <f t="shared" si="0"/>
        <v>11.76</v>
      </c>
      <c r="E30" s="147"/>
      <c r="F30" s="147"/>
      <c r="G30" s="685"/>
      <c r="H30" s="685"/>
      <c r="I30" s="685"/>
      <c r="J30" s="685"/>
      <c r="K30" s="147"/>
      <c r="L30" s="685"/>
      <c r="M30" s="685"/>
      <c r="N30" s="685"/>
      <c r="O30" s="701"/>
      <c r="P30" s="148"/>
      <c r="Q30" s="149"/>
    </row>
    <row r="31" spans="1:17" s="127" customFormat="1" ht="15">
      <c r="A31" s="145" t="s">
        <v>99</v>
      </c>
      <c r="B31" s="161">
        <f>+H22</f>
        <v>0</v>
      </c>
      <c r="C31" s="161">
        <f t="shared" si="0"/>
        <v>12</v>
      </c>
      <c r="D31" s="161">
        <f t="shared" si="0"/>
        <v>11.76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12</v>
      </c>
      <c r="D32" s="161">
        <f t="shared" si="0"/>
        <v>11.76</v>
      </c>
      <c r="E32" s="147"/>
      <c r="F32" s="147"/>
      <c r="G32" s="685"/>
      <c r="H32" s="685"/>
      <c r="I32" s="685"/>
      <c r="J32" s="685"/>
      <c r="K32" s="147"/>
      <c r="L32" s="685"/>
      <c r="M32" s="685"/>
      <c r="N32" s="685"/>
      <c r="O32" s="701"/>
      <c r="P32" s="148"/>
      <c r="Q32" s="149"/>
    </row>
    <row r="33" spans="1:17" s="127" customFormat="1" ht="15">
      <c r="A33" s="145" t="s">
        <v>101</v>
      </c>
      <c r="B33" s="161">
        <f>+J22</f>
        <v>3</v>
      </c>
      <c r="C33" s="161">
        <f t="shared" si="0"/>
        <v>12</v>
      </c>
      <c r="D33" s="161">
        <f t="shared" si="0"/>
        <v>11.76</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12</v>
      </c>
      <c r="D34" s="161">
        <f t="shared" si="0"/>
        <v>11.76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12</v>
      </c>
      <c r="D35" s="161">
        <f t="shared" si="0"/>
        <v>11.76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12</v>
      </c>
      <c r="D36" s="161">
        <f t="shared" si="0"/>
        <v>11.76</v>
      </c>
      <c r="E36" s="147"/>
      <c r="F36" s="147"/>
      <c r="G36" s="685"/>
      <c r="H36" s="685"/>
      <c r="I36" s="685"/>
      <c r="J36" s="685"/>
      <c r="K36" s="147"/>
      <c r="L36" s="685"/>
      <c r="M36" s="685"/>
      <c r="N36" s="685"/>
      <c r="O36" s="701"/>
      <c r="P36" s="148"/>
      <c r="Q36" s="149"/>
    </row>
    <row r="37" spans="1:17" s="127" customFormat="1" ht="15.75" thickBot="1">
      <c r="A37" s="150" t="s">
        <v>105</v>
      </c>
      <c r="B37" s="162">
        <f>+N22</f>
        <v>5</v>
      </c>
      <c r="C37" s="161">
        <f t="shared" si="0"/>
        <v>12</v>
      </c>
      <c r="D37" s="161">
        <f t="shared" si="0"/>
        <v>11.76</v>
      </c>
      <c r="E37" s="147"/>
      <c r="F37" s="147"/>
      <c r="G37" s="147"/>
      <c r="H37" s="147"/>
      <c r="I37" s="147"/>
      <c r="J37" s="147"/>
      <c r="K37" s="147"/>
      <c r="L37" s="685"/>
      <c r="M37" s="685"/>
      <c r="N37" s="685"/>
      <c r="O37" s="701"/>
      <c r="P37" s="148"/>
      <c r="Q37" s="149"/>
    </row>
    <row r="38" spans="1:17" s="127" customFormat="1" ht="15.75" thickBot="1">
      <c r="A38" s="152" t="s">
        <v>106</v>
      </c>
      <c r="B38" s="164">
        <f>+O22</f>
        <v>12</v>
      </c>
      <c r="C38" s="164">
        <f>+C37</f>
        <v>12</v>
      </c>
      <c r="D38" s="164">
        <f>+D37</f>
        <v>11.76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78.75" customHeight="1" thickBot="1">
      <c r="A47" s="670" t="str">
        <f>VLOOKUP(L12,Reporte!$N$5:$BZ$133,57,FALSE)</f>
        <v xml:space="preserve">​Se realizaron las 4 mesas de apropiación del SIG programadas.
En el marco de las autoevaluaciones generalmente se refuerza la aprehensión del SIG y se diseñan presentaciones especialmente para esto.
Así las cosas, en Febrero, Marzo y Abril, en el marco de las mencionadas reunones, se realizó también apropiación del SIG como consta en las actas y en las presentaciones adjuntas.  Se hizo eénfasis en los procesos , en especial Seguimiento y evaluación al vigilado, y se dieron TIPS sobre gestión de calidad como puede verse en las 3 presentaciones de los menses mencionados.
En el mes de enero también se realizó una mesa de aprehensión del SIG, esta vez dirigida por la Regional Andina, la cual pertenece a nuestra Delegada de acuerdo al decreto 1080 de 2021.  Esta mesa se enfocó en el sistema de gestión ambiental, el cual es un componente muy importante del SIG.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138" customHeight="1" thickBot="1">
      <c r="A55" s="670" t="str">
        <f>VLOOKUP(L12,Reporte!$N$5:$BZ$133,61,FALSE)</f>
        <v xml:space="preserve">​Por los cambios del personas de la Delegada producto del concurso de mérito, no se realizó una de las sensibilizaciones proyectadas esperando la llegada de los nuevos funcionarios para que estos procesos de formación en el SIG contribuyeran a los procesos de inducción.
Para el periodo de reporte, Se realizaron 3 sesiones de sensibilización sobre el Sistema Integrado de Gestión al interior de la Delegada para Entidades Territoriales. A continuación, se presenta una descripción general de los temas tratados.
1. Sesión se realizó un simil entre el ajedrez y la planeación, en la que se explicó aspectos relacionados con la anticipación, el análisis de riesgos, los beneficios y la capacidad de adaptarse a cambios inesperados para lograr el éxito. Haciendo enfasis en que la planificación empresarial, como el ajedrez, se basa en la evaluación de diferentes escenarios, la consideración de múltiples factores y la toma de decisiones bien fundamentada. 
2. Se realizó una actividad en la que se explicaba las abejas y la gestión de procesos, en la que se destaco la organización en roles definidos, la comunicación constante y efectiva, el enfoque sistemico y el trabajo en equipo, entre otros.
3. Se aplico un test que tenía como objetivo identificar los temas que se deben reforzar al interior del equipo; así mismo, se expuso de manera general algunos conceptos básicos  del Sistema Integrado de Gestión y del proceso de Seguimiento y evaluación al vigilado.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08.75" customHeight="1" thickBot="1">
      <c r="A63" s="673" t="str">
        <f>VLOOKUP(L12,Reporte!$N$5:$BZ$133,65,FALSE)</f>
        <v>​Se realizó 1 actividad de apropiación del SIG adicional con el proposito de cubrir el rezago presentado en el tercer trimestre.
1. Para el mes de septiembre se realizó una capacitación sobre los procesos, haciendo especial enfasis en el de seguimiento y evaluación al vigilado. Para esta sesión se realizó una dinamica para determinar el nivel de aprehención de las personas participantes.
2. En octubre se capacito sobre el componente de Gestión Ambiental el cual finalizó con un pequeño test para identificar el nivel de aprehensión.
3. Para noviembre se enfatizó en las líneas de defensa y en la importancia que tienen en el marco del MIPG.
4. Para el mes de noviembre se realizó una sesión donde se trabajo de manera dinámica los procedimientos del proceso de Seguimiento y Evaluación al Vigilado y el Código de Integridad.
5. Para diciembre se realizó una sesión de manera articulada con la Oficina de Control Interno y la Oficina Asesora de Planeación con el proposito de hablar de la confidencialidad en la información y de la importancia de preservar los documentos para evitar perdidas de información y accesos por parte de personas no autorizadas.</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realizando 12 mesas de apropiación del SIG, con 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636B-94F0-41DB-90FB-7DF3A373F577}">
  <sheetPr codeName="Hoja4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29.25" customHeight="1">
      <c r="A6" s="789" t="s">
        <v>8</v>
      </c>
      <c r="B6" s="790"/>
      <c r="C6" s="711" t="str">
        <f>VLOOKUP(L12,Reporte!$N$5:$BN$133,2,FALSE)</f>
        <v>Seguimiento a las actividades de las Direcciones regionales.</v>
      </c>
      <c r="D6" s="711"/>
      <c r="E6" s="711"/>
      <c r="F6" s="711"/>
      <c r="G6" s="711"/>
      <c r="H6" s="711"/>
      <c r="I6" s="711"/>
      <c r="J6" s="711"/>
      <c r="K6" s="711"/>
      <c r="L6" s="711"/>
      <c r="M6" s="711"/>
      <c r="N6" s="711"/>
      <c r="O6" s="791"/>
      <c r="P6" s="128"/>
    </row>
    <row r="7" spans="1:17" ht="53.2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0.75" customHeight="1">
      <c r="A8" s="792" t="s">
        <v>1594</v>
      </c>
      <c r="B8" s="774"/>
      <c r="C8" s="711" t="str">
        <f>VLOOKUP(L12,Reporte!$A$5:$N$133,13,FALSE)</f>
        <v>Efectuar seguimiento y evaluación a la gestión de las Direcciones Regionales de conformidad con las directrices y lineamientos formulados por la Superintendencia Delegada.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seguimientos realizados  </v>
      </c>
      <c r="D10" s="711"/>
      <c r="E10" s="711"/>
      <c r="F10" s="799" t="str">
        <f>VLOOKUP(L12,Reporte!$N$5:$BN$133,6,FALSE)</f>
        <v>Este indicador muestra el documento de propuestas de instrucciones a sujetos vigilados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296</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4.75" customHeight="1">
      <c r="A15" s="728" t="str">
        <f>VLOOKUP(L12,Reporte!$N$5:$BN$133,8,FALSE)</f>
        <v>Numérica</v>
      </c>
      <c r="B15" s="729"/>
      <c r="C15" s="825">
        <f>VLOOKUP(L12,Reporte!$N$5:$BN$133,11,FALSE)</f>
        <v>32</v>
      </c>
      <c r="D15" s="826"/>
      <c r="E15" s="827"/>
      <c r="F15" s="740" t="str">
        <f>VLOOKUP(L12,Reporte!$N$5:$BN$133,9,FALSE)</f>
        <v>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4.75" customHeight="1">
      <c r="A16" s="730"/>
      <c r="B16" s="731"/>
      <c r="C16" s="828"/>
      <c r="D16" s="829"/>
      <c r="E16" s="830"/>
      <c r="F16" s="742"/>
      <c r="G16" s="743"/>
      <c r="H16" s="707" t="s">
        <v>40</v>
      </c>
      <c r="I16" s="707"/>
      <c r="J16" s="746" t="s">
        <v>1596</v>
      </c>
      <c r="K16" s="747"/>
      <c r="L16" s="748"/>
      <c r="M16" s="778"/>
      <c r="N16" s="779"/>
      <c r="O16" s="780"/>
      <c r="P16" s="128"/>
    </row>
    <row r="17" spans="1:17" ht="24.75"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8</v>
      </c>
      <c r="F22" s="139">
        <f>VLOOKUP(L12,Reporte!$N$5:$BN$133,33,FALSE)</f>
        <v>0</v>
      </c>
      <c r="G22" s="132">
        <f>VLOOKUP(L12,Reporte!$N$5:$BN$133,34,FALSE)</f>
        <v>0</v>
      </c>
      <c r="H22" s="139">
        <f>VLOOKUP(L12,Reporte!$N$5:$BN$133,35,FALSE)</f>
        <v>8</v>
      </c>
      <c r="I22" s="132">
        <f>VLOOKUP(L12,Reporte!$N$5:$BN$133,36,FALSE)</f>
        <v>0</v>
      </c>
      <c r="J22" s="139">
        <f>VLOOKUP(L12,Reporte!$N$5:$BN$133,37,FALSE)</f>
        <v>0</v>
      </c>
      <c r="K22" s="139">
        <f>VLOOKUP(L12,Reporte!$N$5:$BN$133,38,FALSE)</f>
        <v>5</v>
      </c>
      <c r="L22" s="139">
        <f>VLOOKUP(L12,Reporte!$N$5:$BN$133,39,FALSE)</f>
        <v>0</v>
      </c>
      <c r="M22" s="139">
        <f>VLOOKUP(L12,Reporte!$N$5:$BN$133,40,FALSE)</f>
        <v>0</v>
      </c>
      <c r="N22" s="133">
        <f>VLOOKUP(L12,Reporte!$N$5:$BN$133,41,FALSE)</f>
        <v>14</v>
      </c>
      <c r="O22" s="133">
        <f>SUM(C22:N22)</f>
        <v>35</v>
      </c>
      <c r="P22" s="128"/>
    </row>
    <row r="23" spans="1:17" ht="16.5" thickBot="1">
      <c r="A23" s="690" t="s">
        <v>76</v>
      </c>
      <c r="B23" s="691"/>
      <c r="C23" s="140">
        <f>VLOOKUP(L12,Reporte!$N$5:$BN$133,42,FALSE)</f>
        <v>0</v>
      </c>
      <c r="D23" s="140">
        <f>VLOOKUP(L12,Reporte!$N$5:$BN$133,43,FALSE)</f>
        <v>0</v>
      </c>
      <c r="E23" s="140">
        <f>VLOOKUP(L12,Reporte!$N$5:$BN$133,44,FALSE)</f>
        <v>8</v>
      </c>
      <c r="F23" s="140">
        <f>VLOOKUP(L12,Reporte!$N$5:$BN$133,45,FALSE)</f>
        <v>0</v>
      </c>
      <c r="G23" s="140">
        <f>VLOOKUP(L12,Reporte!$N$5:$BN$133,46,FALSE)</f>
        <v>0</v>
      </c>
      <c r="H23" s="140">
        <f>VLOOKUP(L12,Reporte!$N$5:$BN$133,47,FALSE)</f>
        <v>8</v>
      </c>
      <c r="I23" s="140">
        <f>VLOOKUP(L12,Reporte!$N$5:$BN$133,48,FALSE)</f>
        <v>0</v>
      </c>
      <c r="J23" s="140">
        <f>VLOOKUP(L12,Reporte!$N$5:$BN$133,49,FALSE)</f>
        <v>0</v>
      </c>
      <c r="K23" s="140">
        <f>VLOOKUP(L12,Reporte!$N$5:$BN$133,50,FALSE)</f>
        <v>8</v>
      </c>
      <c r="L23" s="140">
        <f>VLOOKUP(L12,Reporte!$N$5:$BN$133,51,FALSE)</f>
        <v>0</v>
      </c>
      <c r="M23" s="140">
        <f>VLOOKUP(L12,Reporte!$N$5:$BN$133,52,FALSE)</f>
        <v>0</v>
      </c>
      <c r="N23" s="141">
        <f>VLOOKUP(L12,Reporte!$N$5:$BN$133,53,FALSE)</f>
        <v>8</v>
      </c>
      <c r="O23" s="133">
        <f>SUM(C23:N23)</f>
        <v>32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32</v>
      </c>
      <c r="D26" s="161">
        <f>+C26*0.98</f>
        <v>31.36</v>
      </c>
      <c r="E26" s="147"/>
      <c r="F26" s="147"/>
      <c r="G26" s="685"/>
      <c r="H26" s="685"/>
      <c r="I26" s="699"/>
      <c r="J26" s="699"/>
      <c r="K26" s="699"/>
      <c r="L26" s="685"/>
      <c r="M26" s="685"/>
      <c r="N26" s="685"/>
      <c r="O26" s="701"/>
      <c r="P26" s="148"/>
      <c r="Q26" s="149"/>
    </row>
    <row r="27" spans="1:17" s="127" customFormat="1" ht="15">
      <c r="A27" s="145" t="s">
        <v>95</v>
      </c>
      <c r="B27" s="161">
        <f>+D22</f>
        <v>0</v>
      </c>
      <c r="C27" s="161">
        <f>+C26</f>
        <v>32</v>
      </c>
      <c r="D27" s="161">
        <f>+D26</f>
        <v>31.36</v>
      </c>
      <c r="E27" s="147"/>
      <c r="F27" s="147"/>
      <c r="G27" s="685"/>
      <c r="H27" s="685"/>
      <c r="I27" s="685"/>
      <c r="J27" s="685"/>
      <c r="K27" s="147"/>
      <c r="L27" s="685"/>
      <c r="M27" s="685"/>
      <c r="N27" s="685"/>
      <c r="O27" s="701"/>
      <c r="P27" s="148"/>
      <c r="Q27" s="149"/>
    </row>
    <row r="28" spans="1:17" s="127" customFormat="1" ht="15">
      <c r="A28" s="145" t="s">
        <v>96</v>
      </c>
      <c r="B28" s="161">
        <f>+E22</f>
        <v>8</v>
      </c>
      <c r="C28" s="161">
        <f t="shared" ref="C28:D37" si="0">+C27</f>
        <v>32</v>
      </c>
      <c r="D28" s="161">
        <f t="shared" si="0"/>
        <v>31.36</v>
      </c>
      <c r="E28" s="147"/>
      <c r="F28" s="147"/>
      <c r="G28" s="685"/>
      <c r="H28" s="685"/>
      <c r="I28" s="685"/>
      <c r="J28" s="685"/>
      <c r="K28" s="147"/>
      <c r="L28" s="685"/>
      <c r="M28" s="685"/>
      <c r="N28" s="685"/>
      <c r="O28" s="701"/>
      <c r="P28" s="148"/>
      <c r="Q28" s="149"/>
    </row>
    <row r="29" spans="1:17" s="127" customFormat="1" ht="15">
      <c r="A29" s="145" t="s">
        <v>97</v>
      </c>
      <c r="B29" s="161">
        <f>+F22</f>
        <v>0</v>
      </c>
      <c r="C29" s="161">
        <f t="shared" si="0"/>
        <v>32</v>
      </c>
      <c r="D29" s="161">
        <f t="shared" si="0"/>
        <v>31.36</v>
      </c>
      <c r="E29" s="147"/>
      <c r="F29" s="147"/>
      <c r="G29" s="685"/>
      <c r="H29" s="685"/>
      <c r="I29" s="685"/>
      <c r="J29" s="685"/>
      <c r="K29" s="147"/>
      <c r="L29" s="685"/>
      <c r="M29" s="685"/>
      <c r="N29" s="685"/>
      <c r="O29" s="701"/>
      <c r="P29" s="148"/>
      <c r="Q29" s="149"/>
    </row>
    <row r="30" spans="1:17" s="127" customFormat="1" ht="15">
      <c r="A30" s="145" t="s">
        <v>98</v>
      </c>
      <c r="B30" s="161">
        <f>+G22</f>
        <v>0</v>
      </c>
      <c r="C30" s="161">
        <f t="shared" si="0"/>
        <v>32</v>
      </c>
      <c r="D30" s="161">
        <f t="shared" si="0"/>
        <v>31.36</v>
      </c>
      <c r="E30" s="147"/>
      <c r="F30" s="147"/>
      <c r="G30" s="685"/>
      <c r="H30" s="685"/>
      <c r="I30" s="685"/>
      <c r="J30" s="685"/>
      <c r="K30" s="147"/>
      <c r="L30" s="685"/>
      <c r="M30" s="685"/>
      <c r="N30" s="685"/>
      <c r="O30" s="701"/>
      <c r="P30" s="148"/>
      <c r="Q30" s="149"/>
    </row>
    <row r="31" spans="1:17" s="127" customFormat="1" ht="15">
      <c r="A31" s="145" t="s">
        <v>99</v>
      </c>
      <c r="B31" s="161">
        <f>+H22</f>
        <v>8</v>
      </c>
      <c r="C31" s="161">
        <f t="shared" si="0"/>
        <v>32</v>
      </c>
      <c r="D31" s="161">
        <f t="shared" si="0"/>
        <v>31.36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32</v>
      </c>
      <c r="D32" s="161">
        <f t="shared" si="0"/>
        <v>31.36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32</v>
      </c>
      <c r="D33" s="161">
        <f t="shared" si="0"/>
        <v>31.36</v>
      </c>
      <c r="E33" s="147"/>
      <c r="F33" s="147"/>
      <c r="G33" s="685"/>
      <c r="H33" s="685"/>
      <c r="I33" s="685"/>
      <c r="J33" s="685"/>
      <c r="K33" s="147"/>
      <c r="L33" s="685"/>
      <c r="M33" s="685"/>
      <c r="N33" s="685"/>
      <c r="O33" s="701"/>
      <c r="P33" s="148"/>
      <c r="Q33" s="149"/>
    </row>
    <row r="34" spans="1:17" s="127" customFormat="1" ht="15">
      <c r="A34" s="145" t="s">
        <v>102</v>
      </c>
      <c r="B34" s="161">
        <f>+K22</f>
        <v>5</v>
      </c>
      <c r="C34" s="161">
        <f t="shared" si="0"/>
        <v>32</v>
      </c>
      <c r="D34" s="161">
        <f t="shared" si="0"/>
        <v>31.36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32</v>
      </c>
      <c r="D35" s="161">
        <f t="shared" si="0"/>
        <v>31.36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32</v>
      </c>
      <c r="D36" s="161">
        <f t="shared" si="0"/>
        <v>31.36</v>
      </c>
      <c r="E36" s="147"/>
      <c r="F36" s="147"/>
      <c r="G36" s="685"/>
      <c r="H36" s="685"/>
      <c r="I36" s="685"/>
      <c r="J36" s="685"/>
      <c r="K36" s="147"/>
      <c r="L36" s="685"/>
      <c r="M36" s="685"/>
      <c r="N36" s="685"/>
      <c r="O36" s="701"/>
      <c r="P36" s="148"/>
      <c r="Q36" s="149"/>
    </row>
    <row r="37" spans="1:17" s="127" customFormat="1" ht="15.75" thickBot="1">
      <c r="A37" s="150" t="s">
        <v>105</v>
      </c>
      <c r="B37" s="162">
        <f>+N22</f>
        <v>14</v>
      </c>
      <c r="C37" s="161">
        <f t="shared" si="0"/>
        <v>32</v>
      </c>
      <c r="D37" s="161">
        <f t="shared" si="0"/>
        <v>31.36</v>
      </c>
      <c r="E37" s="147"/>
      <c r="F37" s="147"/>
      <c r="G37" s="147"/>
      <c r="H37" s="147"/>
      <c r="I37" s="147"/>
      <c r="J37" s="147"/>
      <c r="K37" s="147"/>
      <c r="L37" s="685"/>
      <c r="M37" s="685"/>
      <c r="N37" s="685"/>
      <c r="O37" s="701"/>
      <c r="P37" s="148"/>
      <c r="Q37" s="149"/>
    </row>
    <row r="38" spans="1:17" s="127" customFormat="1" ht="15.75" thickBot="1">
      <c r="A38" s="152" t="s">
        <v>106</v>
      </c>
      <c r="B38" s="164">
        <f>+O22</f>
        <v>35</v>
      </c>
      <c r="C38" s="164">
        <f>+C37</f>
        <v>32</v>
      </c>
      <c r="D38" s="164">
        <f>+D37</f>
        <v>31.36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27" customHeight="1" thickBot="1">
      <c r="A45" s="682" t="str">
        <f>VLOOKUP(L12,Reporte!$N$5:$BZ$133,56,FALSE)</f>
        <v xml:space="preserve">​Se realizan los 8 seguimientos a regionales programados. 
Se adjunta evidencia de lo anterior.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20.75" customHeight="1" thickBot="1">
      <c r="A51" s="673" t="str">
        <f>VLOOKUP(L12,Reporte!$N$5:$BZ$133,59,FALSE)</f>
        <v>En el   marco de la estrategia de Plan Padrino / madrina, se realizaron 7   seguimientos a las siguientes sedes regionales:
     1. Dirección Regional Andina
     2. Dirección Regional Caribe
     3. Dirección Regional Chocó
     4. Dirección Regional Norte
     5. Dirección Regional Occidental
     6. Dirección Regional Orinoquía
     7. Sede Agualongo
     8. Sede Insular</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30.75" customHeight="1" thickBot="1">
      <c r="A57" s="682" t="str">
        <f>VLOOKUP(L12,Reporte!$N$5:$BZ$133,62,FALSE)</f>
        <v xml:space="preserve">​Durante el periodo de reporte se efectuaron 5 seguimientos a las Direcciones Regionales Andina, Choco, Norte, Caribe y Sede Insular, de los cuales se tienen los informes correspondientes al tercer seguimiento/ Estrategia Plan Padrino. DDebido al cambio de personal no se alcanzó la meta programada y se realizarán en el último trimestre para dar cumplimiento a la meta programada.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Para este reporte se cuenta con un número mayor de seguimientos, ya que para el III Trimestre se presentó un rezago en la meta establecida para ese periodo.
En el mes de octubre se realizaron 5 seguimientos en el marco del Plan Padrino a las siguientes regionales: Nororiental, Occidental, Sede Agualongo, Sur y Orinoquía.
Para los meses de noviembre y diciembre se realizaron 9 seguimientos a las siguientes Direcciones Regionales: Caribe, Andina, Chocó, Orinoquía, Norte, Sur, Sede Agualongo, Sede Insular y Nororiental.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35 seguimientos a las actividades de las Direcciones regionales, con sobrecumplimiento de 109% de la meta de 32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4F3CC-E0EE-49E5-B27C-B20F5CC897B3}">
  <sheetPr codeName="Hoja4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3" customHeight="1">
      <c r="A6" s="789" t="s">
        <v>8</v>
      </c>
      <c r="B6" s="790"/>
      <c r="C6" s="711" t="str">
        <f>VLOOKUP(L12,Reporte!$N$5:$BN$133,2,FALSE)</f>
        <v>Ejecución de las mesas de Inspección y Vigilancia programadas.</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Realizar mesas de Inspección y Vigilancia a los sujetos vigilados de la Delegada conforme  a la priorización realizada.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Mesas de Inspección y Vigilancia realizadas </v>
      </c>
      <c r="D10" s="711"/>
      <c r="E10" s="711"/>
      <c r="F10" s="799" t="str">
        <f>VLOOKUP(L12,Reporte!$N$5:$BN$133,6,FALSE)</f>
        <v>Mide el numero de mesas de Inspección y Vigilancia realizadas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547</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4" customHeight="1">
      <c r="A15" s="728" t="str">
        <f>VLOOKUP(L12,Reporte!$N$5:$BN$133,8,FALSE)</f>
        <v>Numérica</v>
      </c>
      <c r="B15" s="729"/>
      <c r="C15" s="825">
        <f>VLOOKUP(L12,Reporte!$N$5:$BN$133,11,FALSE)</f>
        <v>70</v>
      </c>
      <c r="D15" s="826"/>
      <c r="E15" s="827"/>
      <c r="F15" s="740" t="str">
        <f>VLOOKUP(L12,Reporte!$N$5:$BN$133,9,FALSE)</f>
        <v>Cuatrimestral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4" customHeight="1">
      <c r="A16" s="730"/>
      <c r="B16" s="731"/>
      <c r="C16" s="828"/>
      <c r="D16" s="829"/>
      <c r="E16" s="830"/>
      <c r="F16" s="742"/>
      <c r="G16" s="743"/>
      <c r="H16" s="707" t="s">
        <v>40</v>
      </c>
      <c r="I16" s="707"/>
      <c r="J16" s="746" t="s">
        <v>1596</v>
      </c>
      <c r="K16" s="747"/>
      <c r="L16" s="748"/>
      <c r="M16" s="778"/>
      <c r="N16" s="779"/>
      <c r="O16" s="780"/>
      <c r="P16" s="128"/>
    </row>
    <row r="17" spans="1:17" ht="24"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14</v>
      </c>
      <c r="G22" s="132">
        <f>VLOOKUP(L12,Reporte!$N$5:$BN$133,34,FALSE)</f>
        <v>0</v>
      </c>
      <c r="H22" s="139">
        <f>VLOOKUP(L12,Reporte!$N$5:$BN$133,35,FALSE)</f>
        <v>0</v>
      </c>
      <c r="I22" s="132">
        <f>VLOOKUP(L12,Reporte!$N$5:$BN$133,36,FALSE)</f>
        <v>0</v>
      </c>
      <c r="J22" s="139">
        <f>VLOOKUP(L12,Reporte!$N$5:$BN$133,37,FALSE)</f>
        <v>41</v>
      </c>
      <c r="K22" s="139">
        <f>VLOOKUP(L12,Reporte!$N$5:$BN$133,38,FALSE)</f>
        <v>0</v>
      </c>
      <c r="L22" s="139">
        <f>VLOOKUP(L12,Reporte!$N$5:$BN$133,39,FALSE)</f>
        <v>0</v>
      </c>
      <c r="M22" s="139">
        <f>VLOOKUP(L12,Reporte!$N$5:$BN$133,40,FALSE)</f>
        <v>0</v>
      </c>
      <c r="N22" s="133">
        <f>VLOOKUP(L12,Reporte!$N$5:$BN$133,41,FALSE)</f>
        <v>24</v>
      </c>
      <c r="O22" s="133">
        <f>SUM(C22:N22)</f>
        <v>79</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14</v>
      </c>
      <c r="G23" s="140">
        <f>VLOOKUP(L12,Reporte!$N$5:$BN$133,46,FALSE)</f>
        <v>0</v>
      </c>
      <c r="H23" s="140">
        <f>VLOOKUP(L12,Reporte!$N$5:$BN$133,47,FALSE)</f>
        <v>0</v>
      </c>
      <c r="I23" s="140">
        <f>VLOOKUP(L12,Reporte!$N$5:$BN$133,48,FALSE)</f>
        <v>0</v>
      </c>
      <c r="J23" s="140">
        <f>VLOOKUP(L12,Reporte!$N$5:$BN$133,49,FALSE)</f>
        <v>34</v>
      </c>
      <c r="K23" s="140">
        <f>VLOOKUP(L12,Reporte!$N$5:$BN$133,50,FALSE)</f>
        <v>0</v>
      </c>
      <c r="L23" s="140">
        <f>VLOOKUP(L12,Reporte!$N$5:$BN$133,51,FALSE)</f>
        <v>0</v>
      </c>
      <c r="M23" s="140">
        <f>VLOOKUP(L12,Reporte!$N$5:$BN$133,52,FALSE)</f>
        <v>0</v>
      </c>
      <c r="N23" s="141">
        <f>VLOOKUP(L12,Reporte!$N$5:$BN$133,53,FALSE)</f>
        <v>22</v>
      </c>
      <c r="O23" s="133">
        <f>SUM(C23:N23)</f>
        <v>70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70</v>
      </c>
      <c r="D26" s="161">
        <f>+C26*0.98</f>
        <v>68.599999999999994</v>
      </c>
      <c r="E26" s="147"/>
      <c r="F26" s="147"/>
      <c r="G26" s="685"/>
      <c r="H26" s="685"/>
      <c r="I26" s="699"/>
      <c r="J26" s="699"/>
      <c r="K26" s="699"/>
      <c r="L26" s="685"/>
      <c r="M26" s="685"/>
      <c r="N26" s="685"/>
      <c r="O26" s="701"/>
      <c r="P26" s="148"/>
      <c r="Q26" s="149"/>
    </row>
    <row r="27" spans="1:17" s="127" customFormat="1" ht="15">
      <c r="A27" s="145" t="s">
        <v>95</v>
      </c>
      <c r="B27" s="161">
        <f>+D22</f>
        <v>0</v>
      </c>
      <c r="C27" s="161">
        <f>+C26</f>
        <v>70</v>
      </c>
      <c r="D27" s="161">
        <f>+D26</f>
        <v>68.599999999999994</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70</v>
      </c>
      <c r="D28" s="161">
        <f t="shared" si="0"/>
        <v>68.599999999999994</v>
      </c>
      <c r="E28" s="147"/>
      <c r="F28" s="147"/>
      <c r="G28" s="685"/>
      <c r="H28" s="685"/>
      <c r="I28" s="685"/>
      <c r="J28" s="685"/>
      <c r="K28" s="147"/>
      <c r="L28" s="685"/>
      <c r="M28" s="685"/>
      <c r="N28" s="685"/>
      <c r="O28" s="701"/>
      <c r="P28" s="148"/>
      <c r="Q28" s="149"/>
    </row>
    <row r="29" spans="1:17" s="127" customFormat="1" ht="15">
      <c r="A29" s="145" t="s">
        <v>97</v>
      </c>
      <c r="B29" s="161">
        <f>+F22</f>
        <v>14</v>
      </c>
      <c r="C29" s="161">
        <f t="shared" si="0"/>
        <v>70</v>
      </c>
      <c r="D29" s="161">
        <f t="shared" si="0"/>
        <v>68.599999999999994</v>
      </c>
      <c r="E29" s="147"/>
      <c r="F29" s="147"/>
      <c r="G29" s="685"/>
      <c r="H29" s="685"/>
      <c r="I29" s="685"/>
      <c r="J29" s="685"/>
      <c r="K29" s="147"/>
      <c r="L29" s="685"/>
      <c r="M29" s="685"/>
      <c r="N29" s="685"/>
      <c r="O29" s="701"/>
      <c r="P29" s="148"/>
      <c r="Q29" s="149"/>
    </row>
    <row r="30" spans="1:17" s="127" customFormat="1" ht="15">
      <c r="A30" s="145" t="s">
        <v>98</v>
      </c>
      <c r="B30" s="161">
        <f>+G22</f>
        <v>0</v>
      </c>
      <c r="C30" s="161">
        <f t="shared" si="0"/>
        <v>70</v>
      </c>
      <c r="D30" s="161">
        <f t="shared" si="0"/>
        <v>68.599999999999994</v>
      </c>
      <c r="E30" s="147"/>
      <c r="F30" s="147"/>
      <c r="G30" s="685"/>
      <c r="H30" s="685"/>
      <c r="I30" s="685"/>
      <c r="J30" s="685"/>
      <c r="K30" s="147"/>
      <c r="L30" s="685"/>
      <c r="M30" s="685"/>
      <c r="N30" s="685"/>
      <c r="O30" s="701"/>
      <c r="P30" s="148"/>
      <c r="Q30" s="149"/>
    </row>
    <row r="31" spans="1:17" s="127" customFormat="1" ht="15">
      <c r="A31" s="145" t="s">
        <v>99</v>
      </c>
      <c r="B31" s="161">
        <f>+H22</f>
        <v>0</v>
      </c>
      <c r="C31" s="161">
        <f t="shared" si="0"/>
        <v>70</v>
      </c>
      <c r="D31" s="161">
        <f t="shared" si="0"/>
        <v>68.599999999999994</v>
      </c>
      <c r="E31" s="147"/>
      <c r="F31" s="147"/>
      <c r="G31" s="685"/>
      <c r="H31" s="685"/>
      <c r="I31" s="685"/>
      <c r="J31" s="685"/>
      <c r="K31" s="147"/>
      <c r="L31" s="685"/>
      <c r="M31" s="685"/>
      <c r="N31" s="685"/>
      <c r="O31" s="701"/>
      <c r="P31" s="148"/>
      <c r="Q31" s="149"/>
    </row>
    <row r="32" spans="1:17" s="127" customFormat="1" ht="15">
      <c r="A32" s="145" t="s">
        <v>100</v>
      </c>
      <c r="B32" s="161">
        <f>+I22</f>
        <v>0</v>
      </c>
      <c r="C32" s="161">
        <f t="shared" si="0"/>
        <v>70</v>
      </c>
      <c r="D32" s="161">
        <f t="shared" si="0"/>
        <v>68.599999999999994</v>
      </c>
      <c r="E32" s="147"/>
      <c r="F32" s="147"/>
      <c r="G32" s="685"/>
      <c r="H32" s="685"/>
      <c r="I32" s="685"/>
      <c r="J32" s="685"/>
      <c r="K32" s="147"/>
      <c r="L32" s="685"/>
      <c r="M32" s="685"/>
      <c r="N32" s="685"/>
      <c r="O32" s="701"/>
      <c r="P32" s="148"/>
      <c r="Q32" s="149"/>
    </row>
    <row r="33" spans="1:17" s="127" customFormat="1" ht="15">
      <c r="A33" s="145" t="s">
        <v>101</v>
      </c>
      <c r="B33" s="161">
        <f>+J22</f>
        <v>41</v>
      </c>
      <c r="C33" s="161">
        <f t="shared" si="0"/>
        <v>70</v>
      </c>
      <c r="D33" s="161">
        <f t="shared" si="0"/>
        <v>68.599999999999994</v>
      </c>
      <c r="E33" s="147"/>
      <c r="F33" s="147"/>
      <c r="G33" s="685"/>
      <c r="H33" s="685"/>
      <c r="I33" s="685"/>
      <c r="J33" s="685"/>
      <c r="K33" s="147"/>
      <c r="L33" s="685"/>
      <c r="M33" s="685"/>
      <c r="N33" s="685"/>
      <c r="O33" s="701"/>
      <c r="P33" s="148"/>
      <c r="Q33" s="149"/>
    </row>
    <row r="34" spans="1:17" s="127" customFormat="1" ht="15">
      <c r="A34" s="145" t="s">
        <v>102</v>
      </c>
      <c r="B34" s="161">
        <f>+K22</f>
        <v>0</v>
      </c>
      <c r="C34" s="161">
        <f t="shared" si="0"/>
        <v>70</v>
      </c>
      <c r="D34" s="161">
        <f t="shared" si="0"/>
        <v>68.599999999999994</v>
      </c>
      <c r="E34" s="147"/>
      <c r="F34" s="147"/>
      <c r="G34" s="685"/>
      <c r="H34" s="685"/>
      <c r="I34" s="685"/>
      <c r="J34" s="685"/>
      <c r="K34" s="147"/>
      <c r="L34" s="685"/>
      <c r="M34" s="685"/>
      <c r="N34" s="685"/>
      <c r="O34" s="701"/>
      <c r="P34" s="148"/>
      <c r="Q34" s="149"/>
    </row>
    <row r="35" spans="1:17" s="127" customFormat="1" ht="15">
      <c r="A35" s="145" t="s">
        <v>103</v>
      </c>
      <c r="B35" s="161">
        <f>+L22</f>
        <v>0</v>
      </c>
      <c r="C35" s="161">
        <f t="shared" si="0"/>
        <v>70</v>
      </c>
      <c r="D35" s="161">
        <f t="shared" si="0"/>
        <v>68.599999999999994</v>
      </c>
      <c r="E35" s="147"/>
      <c r="F35" s="147"/>
      <c r="G35" s="685"/>
      <c r="H35" s="685"/>
      <c r="I35" s="685"/>
      <c r="J35" s="685"/>
      <c r="K35" s="147"/>
      <c r="L35" s="685"/>
      <c r="M35" s="685"/>
      <c r="N35" s="685"/>
      <c r="O35" s="701"/>
      <c r="P35" s="148"/>
      <c r="Q35" s="149"/>
    </row>
    <row r="36" spans="1:17" s="127" customFormat="1" ht="15">
      <c r="A36" s="145" t="s">
        <v>104</v>
      </c>
      <c r="B36" s="161">
        <f>+M22</f>
        <v>0</v>
      </c>
      <c r="C36" s="161">
        <f t="shared" si="0"/>
        <v>70</v>
      </c>
      <c r="D36" s="161">
        <f t="shared" si="0"/>
        <v>68.599999999999994</v>
      </c>
      <c r="E36" s="147"/>
      <c r="F36" s="147"/>
      <c r="G36" s="685"/>
      <c r="H36" s="685"/>
      <c r="I36" s="685"/>
      <c r="J36" s="685"/>
      <c r="K36" s="147"/>
      <c r="L36" s="685"/>
      <c r="M36" s="685"/>
      <c r="N36" s="685"/>
      <c r="O36" s="701"/>
      <c r="P36" s="148"/>
      <c r="Q36" s="149"/>
    </row>
    <row r="37" spans="1:17" s="127" customFormat="1" ht="15.75" thickBot="1">
      <c r="A37" s="150" t="s">
        <v>105</v>
      </c>
      <c r="B37" s="162">
        <f>+N22</f>
        <v>24</v>
      </c>
      <c r="C37" s="161">
        <f t="shared" si="0"/>
        <v>70</v>
      </c>
      <c r="D37" s="161">
        <f t="shared" si="0"/>
        <v>68.599999999999994</v>
      </c>
      <c r="E37" s="147"/>
      <c r="F37" s="147"/>
      <c r="G37" s="147"/>
      <c r="H37" s="147"/>
      <c r="I37" s="147"/>
      <c r="J37" s="147"/>
      <c r="K37" s="147"/>
      <c r="L37" s="685"/>
      <c r="M37" s="685"/>
      <c r="N37" s="685"/>
      <c r="O37" s="701"/>
      <c r="P37" s="148"/>
      <c r="Q37" s="149"/>
    </row>
    <row r="38" spans="1:17" s="127" customFormat="1" ht="15.75" thickBot="1">
      <c r="A38" s="152" t="s">
        <v>106</v>
      </c>
      <c r="B38" s="164">
        <f>+O22</f>
        <v>79</v>
      </c>
      <c r="C38" s="164">
        <f>+C37</f>
        <v>70</v>
      </c>
      <c r="D38" s="164">
        <f>+D37</f>
        <v>68.599999999999994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196.5" customHeight="1" thickBot="1">
      <c r="A47" s="670" t="str">
        <f>VLOOKUP(L12,Reporte!$N$5:$BZ$133,57,FALSE)</f>
        <v xml:space="preserve">​Se realizaron las 14 Mesas de Inspección y Vigilancia Programadas.
Estas se desarrollaron en:
* Cáceres
* Marmato
* Neira
* González - Cesar
* Bagadó
* El Tarra Norte de Santander
* Sabanagrande
* Villanueva
* Vichada
* Tolima
* Eje Cafetero
* Huila
* Putumayo
* Dolores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151.5" customHeight="1" thickBot="1">
      <c r="A55" s="670" t="str">
        <f>VLOOKUP(L12,Reporte!$N$5:$BZ$133,61,FALSE)</f>
        <v xml:space="preserve">​Debido a que en el primer semestre se pudieron cometer errores en el reporte de los avances y en el cargue de las evidencias, desde la Delegada se tomo la decisión de desarrollar actividades adicionales a las establecidas para cumplir a cabalidad con lo definido en el PAG.
Para el periodo de reporte se desarrollaron 41 mesas de Inspección y Vigilancia, entre las que se encuentra:
Mesa IV  Distrito de Bogotá
Mesa IV  Municipio de Madrid
Mesa IV  Dpto del Meta
Mesa IV  Dpto de Córdoba
Mesa IV  Municipio de Girardot
Mesa IV Dpto de La  Guajira
Mesa IV vacunación canina y felina Dpto, del Vaupés
Mesa de IV vacunación canina y felina Dpto de Vichada
Para consultar los soportes de las 41 mesas, puede dirigirse al enlace establecido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61.25" customHeight="1" thickBot="1">
      <c r="A63" s="673" t="str">
        <f>VLOOKUP(L12,Reporte!$N$5:$BZ$133,65,FALSE)</f>
        <v>Durante el cuatrimestre evaluado, las Direcciones Regionales adelantaron mesas de Inspección y Vigilancia (Mesas IV), conforme se detalla a continuación:
Regional Andina: se realizaron mesas de Inspección y Vigilancia en los municipios de Arboletes, Turbo, Anserma, Mistrató, Cañasgordas, Tarso, Risaralda y Zaragoza. 
Regional Nororiental: Se realizó una mesa de Inspección y Vigilancia en el municipio de Toledo. 
Regional Chocó: En el cuatrimestre se llevaron a cabo mesas de Inspección y Vigilancia en los municipios de Unión Panamericana, Bagadó, Bojayá y Tadó. 
Regional Caribe: Se realizaron mesas de Inspección y Vigilancia en los municipios de Maicao, Riohacha y Manaure, así como a nivel del departamento de La Guajira, conforme a lo establecido en la Circular Externa 202315100000015-5 de 2023 y en concordancia con la Sentencia T-302 de 2017. Adicionalmente, se efectuaron mesas de IV en los municipios de Albania (La Guajira) y González (Cesar).
Regional Orinoquía: se realizó una mesa de Inspección y Vigilancia en el municipio de Puerto López.
Regional Occidental – Sede Agualongo: Se desarrollaron dos (2) mesas de Inspección y Vigilancia: una en el municipio de Aldana y otra en el municipio de Policarpa, esta última con participación de la Entidad Territorial Departamental.
Regional Norte: Se realizó una mesa de Inspección y Vigilancia en el municipio de Guaranda (Sucre). Adicionalmente, en el marco de una Acción Integral en Territorio (AIT), se llevó a cabo en el mes de octubre una mesa de IV en el municipio de Magangué (Bolívar).</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79 mesas de IV, con sobrecumplimiento del 113% de la meta de 70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28C44-DF1D-4F01-8238-3B8C0AE1130A}">
  <sheetPr codeName="Hoja46"/>
  <dimension ref="A1:Q67"/>
  <sheetViews>
    <sheetView view="pageBreakPreview" zoomScale="80" zoomScaleNormal="73" zoomScaleSheetLayoutView="80" zoomScalePageLayoutView="55" workbookViewId="0">
      <selection activeCell="R18" sqref="R18"/>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29.25" customHeight="1">
      <c r="A6" s="789" t="s">
        <v>8</v>
      </c>
      <c r="B6" s="790"/>
      <c r="C6" s="834" t="str">
        <f>VLOOKUP(L12,Reporte!$N$5:$BN$133,2,FALSE)</f>
        <v xml:space="preserve">
Territorios con acciones Integrales</v>
      </c>
      <c r="D6" s="834"/>
      <c r="E6" s="834"/>
      <c r="F6" s="834"/>
      <c r="G6" s="834"/>
      <c r="H6" s="834"/>
      <c r="I6" s="834"/>
      <c r="J6" s="834"/>
      <c r="K6" s="834"/>
      <c r="L6" s="834"/>
      <c r="M6" s="834"/>
      <c r="N6" s="834"/>
      <c r="O6" s="835"/>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Realizar acciones Integrales en Territorio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Acciones Integrales en territorio Ejecutadas</v>
      </c>
      <c r="D10" s="711"/>
      <c r="E10" s="711"/>
      <c r="F10" s="799" t="str">
        <f>VLOOKUP(L12,Reporte!$N$5:$BN$133,6,FALSE)</f>
        <v xml:space="preserve">
Mide las acciones Integrales realizadas en diferentes Territorios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568</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6.25" customHeight="1">
      <c r="A15" s="728" t="str">
        <f>VLOOKUP(L12,Reporte!$N$5:$BN$133,8,FALSE)</f>
        <v>Numérica</v>
      </c>
      <c r="B15" s="729"/>
      <c r="C15" s="825">
        <f>VLOOKUP(L12,Reporte!$N$5:$BN$133,11,FALSE)</f>
        <v>11</v>
      </c>
      <c r="D15" s="826"/>
      <c r="E15" s="827"/>
      <c r="F15" s="740" t="str">
        <f>VLOOKUP(L12,Reporte!$N$5:$BN$133,9,FALSE)</f>
        <v>Cuatrimestral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6.25" customHeight="1">
      <c r="A16" s="730"/>
      <c r="B16" s="731"/>
      <c r="C16" s="828"/>
      <c r="D16" s="829"/>
      <c r="E16" s="830"/>
      <c r="F16" s="742"/>
      <c r="G16" s="743"/>
      <c r="H16" s="707" t="s">
        <v>40</v>
      </c>
      <c r="I16" s="707"/>
      <c r="J16" s="746" t="s">
        <v>1596</v>
      </c>
      <c r="K16" s="747"/>
      <c r="L16" s="748"/>
      <c r="M16" s="778"/>
      <c r="N16" s="779"/>
      <c r="O16" s="780"/>
      <c r="P16" s="128"/>
    </row>
    <row r="17" spans="1:17" ht="26.25"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4</v>
      </c>
      <c r="G22" s="132">
        <f>VLOOKUP(L12,Reporte!$N$5:$BN$133,34,FALSE)</f>
        <v>0</v>
      </c>
      <c r="H22" s="139">
        <f>VLOOKUP(L12,Reporte!$N$5:$BN$133,35,FALSE)</f>
        <v>0</v>
      </c>
      <c r="I22" s="132">
        <f>VLOOKUP(L12,Reporte!$N$5:$BN$133,36,FALSE)</f>
        <v>0</v>
      </c>
      <c r="J22" s="139">
        <f>VLOOKUP(L12,Reporte!$N$5:$BN$133,37,FALSE)</f>
        <v>5</v>
      </c>
      <c r="K22" s="139">
        <f>VLOOKUP(L12,Reporte!$N$5:$BN$133,38,FALSE)</f>
        <v>0</v>
      </c>
      <c r="L22" s="139">
        <f>VLOOKUP(L12,Reporte!$N$5:$BN$133,39,FALSE)</f>
        <v>0</v>
      </c>
      <c r="M22" s="139">
        <f>VLOOKUP(L12,Reporte!$N$5:$BN$133,40,FALSE)</f>
        <v>0</v>
      </c>
      <c r="N22" s="133">
        <f>VLOOKUP(L12,Reporte!$N$5:$BN$133,41,FALSE)</f>
        <v>8</v>
      </c>
      <c r="O22" s="133">
        <f>SUM(C22:N22)</f>
        <v>17</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4</v>
      </c>
      <c r="G23" s="140">
        <f>VLOOKUP(L12,Reporte!$N$5:$BN$133,46,FALSE)</f>
        <v>0</v>
      </c>
      <c r="H23" s="140">
        <f>VLOOKUP(L12,Reporte!$N$5:$BN$133,47,FALSE)</f>
        <v>0</v>
      </c>
      <c r="I23" s="140">
        <f>VLOOKUP(L12,Reporte!$N$5:$BN$133,48,FALSE)</f>
        <v>0</v>
      </c>
      <c r="J23" s="140">
        <f>VLOOKUP(L12,Reporte!$N$5:$BN$133,49,FALSE)</f>
        <v>4</v>
      </c>
      <c r="K23" s="140">
        <f>VLOOKUP(L12,Reporte!$N$5:$BN$133,50,FALSE)</f>
        <v>0</v>
      </c>
      <c r="L23" s="140">
        <f>VLOOKUP(L12,Reporte!$N$5:$BN$133,51,FALSE)</f>
        <v>0</v>
      </c>
      <c r="M23" s="140">
        <f>VLOOKUP(L12,Reporte!$N$5:$BN$133,52,FALSE)</f>
        <v>0</v>
      </c>
      <c r="N23" s="141">
        <f>VLOOKUP(L12,Reporte!$N$5:$BN$133,53,FALSE)</f>
        <v>3</v>
      </c>
      <c r="O23" s="133">
        <f>SUM(C23:N23)</f>
        <v>11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11</v>
      </c>
      <c r="D26" s="161">
        <f>+C26*0.98</f>
        <v>10.78</v>
      </c>
      <c r="E26" s="147"/>
      <c r="F26" s="147"/>
      <c r="G26" s="685"/>
      <c r="H26" s="685"/>
      <c r="I26" s="699"/>
      <c r="J26" s="699"/>
      <c r="K26" s="699"/>
      <c r="L26" s="685"/>
      <c r="M26" s="685"/>
      <c r="N26" s="685"/>
      <c r="O26" s="701"/>
      <c r="P26" s="148"/>
      <c r="Q26" s="149"/>
    </row>
    <row r="27" spans="1:17" s="127" customFormat="1" ht="15">
      <c r="A27" s="145" t="s">
        <v>95</v>
      </c>
      <c r="B27" s="161">
        <f>+D22</f>
        <v>0</v>
      </c>
      <c r="C27" s="161">
        <f>+C26</f>
        <v>11</v>
      </c>
      <c r="D27" s="161">
        <f>+D26</f>
        <v>10.78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11</v>
      </c>
      <c r="D28" s="161">
        <f t="shared" si="0"/>
        <v>10.78</v>
      </c>
      <c r="E28" s="147"/>
      <c r="F28" s="147"/>
      <c r="G28" s="685"/>
      <c r="H28" s="685"/>
      <c r="I28" s="685"/>
      <c r="J28" s="685"/>
      <c r="K28" s="147"/>
      <c r="L28" s="685"/>
      <c r="M28" s="685"/>
      <c r="N28" s="685"/>
      <c r="O28" s="701"/>
      <c r="P28" s="148"/>
      <c r="Q28" s="149"/>
    </row>
    <row r="29" spans="1:17" s="127" customFormat="1" ht="15">
      <c r="A29" s="145" t="s">
        <v>97</v>
      </c>
      <c r="B29" s="161">
        <f>+F22</f>
        <v>4</v>
      </c>
      <c r="C29" s="161">
        <f t="shared" si="0"/>
        <v>11</v>
      </c>
      <c r="D29" s="161">
        <f t="shared" si="0"/>
        <v>10.78</v>
      </c>
      <c r="E29" s="147"/>
      <c r="F29" s="147"/>
      <c r="G29" s="685"/>
      <c r="H29" s="685"/>
      <c r="I29" s="685"/>
      <c r="J29" s="685"/>
      <c r="K29" s="147"/>
      <c r="L29" s="685"/>
      <c r="M29" s="685"/>
      <c r="N29" s="685"/>
      <c r="O29" s="701"/>
      <c r="P29" s="148"/>
      <c r="Q29" s="149"/>
    </row>
    <row r="30" spans="1:17" s="127" customFormat="1" ht="15">
      <c r="A30" s="145" t="s">
        <v>98</v>
      </c>
      <c r="B30" s="161">
        <f>+G22</f>
        <v>0</v>
      </c>
      <c r="C30" s="161">
        <f t="shared" si="0"/>
        <v>11</v>
      </c>
      <c r="D30" s="161">
        <f t="shared" si="0"/>
        <v>10.78</v>
      </c>
      <c r="E30" s="147"/>
      <c r="F30" s="147"/>
      <c r="G30" s="685"/>
      <c r="H30" s="685"/>
      <c r="I30" s="685"/>
      <c r="J30" s="685"/>
      <c r="K30" s="147"/>
      <c r="L30" s="685"/>
      <c r="M30" s="685"/>
      <c r="N30" s="685"/>
      <c r="O30" s="701"/>
      <c r="P30" s="148"/>
      <c r="Q30" s="149"/>
    </row>
    <row r="31" spans="1:17" s="127" customFormat="1" ht="15">
      <c r="A31" s="145" t="s">
        <v>99</v>
      </c>
      <c r="B31" s="161">
        <f>+H22</f>
        <v>0</v>
      </c>
      <c r="C31" s="161">
        <f t="shared" si="0"/>
        <v>11</v>
      </c>
      <c r="D31" s="161">
        <f t="shared" si="0"/>
        <v>10.78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11</v>
      </c>
      <c r="D32" s="161">
        <f t="shared" si="0"/>
        <v>10.78</v>
      </c>
      <c r="E32" s="147"/>
      <c r="F32" s="147"/>
      <c r="G32" s="685"/>
      <c r="H32" s="685"/>
      <c r="I32" s="685"/>
      <c r="J32" s="685"/>
      <c r="K32" s="147"/>
      <c r="L32" s="685"/>
      <c r="M32" s="685"/>
      <c r="N32" s="685"/>
      <c r="O32" s="701"/>
      <c r="P32" s="148"/>
      <c r="Q32" s="149"/>
    </row>
    <row r="33" spans="1:17" s="127" customFormat="1" ht="15">
      <c r="A33" s="145" t="s">
        <v>101</v>
      </c>
      <c r="B33" s="161">
        <f>+J22</f>
        <v>5</v>
      </c>
      <c r="C33" s="161">
        <f t="shared" si="0"/>
        <v>11</v>
      </c>
      <c r="D33" s="161">
        <f t="shared" si="0"/>
        <v>10.78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11</v>
      </c>
      <c r="D34" s="161">
        <f t="shared" si="0"/>
        <v>10.78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11</v>
      </c>
      <c r="D35" s="161">
        <f t="shared" si="0"/>
        <v>10.78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11</v>
      </c>
      <c r="D36" s="161">
        <f t="shared" si="0"/>
        <v>10.78</v>
      </c>
      <c r="E36" s="147"/>
      <c r="F36" s="147"/>
      <c r="G36" s="685"/>
      <c r="H36" s="685"/>
      <c r="I36" s="685"/>
      <c r="J36" s="685"/>
      <c r="K36" s="147"/>
      <c r="L36" s="685"/>
      <c r="M36" s="685"/>
      <c r="N36" s="685"/>
      <c r="O36" s="701"/>
      <c r="P36" s="148"/>
      <c r="Q36" s="149"/>
    </row>
    <row r="37" spans="1:17" s="127" customFormat="1" ht="15.75" thickBot="1">
      <c r="A37" s="150" t="s">
        <v>105</v>
      </c>
      <c r="B37" s="162">
        <f>+N22</f>
        <v>8</v>
      </c>
      <c r="C37" s="161">
        <f t="shared" si="0"/>
        <v>11</v>
      </c>
      <c r="D37" s="161">
        <f t="shared" si="0"/>
        <v>10.78</v>
      </c>
      <c r="E37" s="147"/>
      <c r="F37" s="147"/>
      <c r="G37" s="147"/>
      <c r="H37" s="147"/>
      <c r="I37" s="147"/>
      <c r="J37" s="147"/>
      <c r="K37" s="147"/>
      <c r="L37" s="685"/>
      <c r="M37" s="685"/>
      <c r="N37" s="685"/>
      <c r="O37" s="701"/>
      <c r="P37" s="148"/>
      <c r="Q37" s="149"/>
    </row>
    <row r="38" spans="1:17" s="127" customFormat="1" ht="15.75" thickBot="1">
      <c r="A38" s="152" t="s">
        <v>106</v>
      </c>
      <c r="B38" s="164">
        <f>+O22</f>
        <v>17</v>
      </c>
      <c r="C38" s="164">
        <f>+C37</f>
        <v>11</v>
      </c>
      <c r="D38" s="164">
        <f>+D37</f>
        <v>10.78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86.25" customHeight="1" thickBot="1">
      <c r="A47" s="670" t="str">
        <f>VLOOKUP(L12,Reporte!$N$5:$BZ$133,57,FALSE)</f>
        <v xml:space="preserve">​Se realizan las 4 acciones integrales en territorio programadas.
Estas se ejecutaron en:
* Amazonas
* Cáceres
* Huila
* Territorios de la Regional Andina
Tener en cuenta que la Acción integral en territorio de Amazonas (AIT) Comienza con un acta de inspección y vigilancia para la acción integral en territorio como se puede constatar en el cuerpo de la misma.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56.25" customHeight="1" thickBot="1">
      <c r="A55" s="670" t="str">
        <f>VLOOKUP(L12,Reporte!$N$5:$BZ$133,61,FALSE)</f>
        <v xml:space="preserve">​Se realizó una acción integral en el municipio de Pacho en el que se contó con la participación de la Delegada de Prestadores y de Operadores Logisticos, las EPS, las alcaldias y secretarias municipales,la Gobernación de Cundinamarca y el Instituto Nacional de Salud, entre otros.  De igual forma, se realizaron AIT en Caquetá-San Vicente del Caguán, Magdalena-Santa Ana, Norte de Santander -Cúcuta y Nariño-Olaya Herrera
En el enlace se presentan los insumos y soportes de esta acción.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09.5" customHeight="1" thickBot="1">
      <c r="A63" s="673" t="str">
        <f>VLOOKUP(L12,Reporte!$N$5:$BZ$133,65,FALSE)</f>
        <v>Durante el periodo evaluado, las Direcciones Regionales adelantaron las siguientes Acciones Integrales en Territorio (AIT):   
Regional Andina: Se realizó (1) Acción Integral en Territorio (AIT) en el municipio de Turbo.
Regional Nororiental: Se llevaron a cabo (2) Acciones Integrales en Territorio (AIT) en los municipios de Vélez y Villa del Rosario.
Regional Chocó: Se realizó (1) Acción Integral en Territorio (AIT) en el municipio de Istmina.
Regional Orinoquía: Se ejecutó (1) Acción Integral en Territorio (AIT) en el municipio de Puerto López.
Regional Occidental: Se desarrollaron dos (2) Acciones Integrales en Territorio, una en el municipio de Sevilla (Valle del Cauca) y otra en el municipio de Popayán (Cauca).
Regional Norte: se realizó AIT en Magangue- Bolívar
Es importante resaltar, que el aumento de las AIT reportadas para este trimestre se debe a que se buscó disminuir el rezago presentado en los primeros 2 trimestres del año.</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17 acciones integrales en territorio, con sobrecumplimiento de 155%, con respecto de la meta de 11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4B35-F0E7-44AF-AB07-A1598F85FE4C}">
  <sheetPr codeName="Hoja47"/>
  <dimension ref="A1:Q67"/>
  <sheetViews>
    <sheetView view="pageBreakPreview" topLeftCell="A7" zoomScale="80" zoomScaleNormal="73" zoomScaleSheetLayoutView="80" zoomScalePageLayoutView="55" workbookViewId="0">
      <selection activeCell="S14" sqref="S1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Seguimientos a Circular 030</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9" customHeight="1">
      <c r="A8" s="792" t="s">
        <v>1594</v>
      </c>
      <c r="B8" s="774"/>
      <c r="C8" s="711" t="str">
        <f>VLOOKUP(L12,Reporte!$A$5:$N$133,13,FALSE)</f>
        <v>Realizar asistencia y seguimientos a las
mesas de saneamiento de cartera de Circular
Conjunta 030 de 2013</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Numero de Seguimientos realizados - Circular 030</v>
      </c>
      <c r="D10" s="711"/>
      <c r="E10" s="711"/>
      <c r="F10" s="799" t="str">
        <f>VLOOKUP(L12,Reporte!$N$5:$BN$133,6,FALSE)</f>
        <v>Este indicador nide la ejecución de mesas de inspección vigilancia.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301</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5.5" customHeight="1">
      <c r="A15" s="728" t="str">
        <f>VLOOKUP(L12,Reporte!$N$5:$BN$133,8,FALSE)</f>
        <v>Numérica</v>
      </c>
      <c r="B15" s="729"/>
      <c r="C15" s="825">
        <f>VLOOKUP(L12,Reporte!$N$5:$BN$133,11,FALSE)</f>
        <v>80</v>
      </c>
      <c r="D15" s="826"/>
      <c r="E15" s="827"/>
      <c r="F15" s="740" t="str">
        <f>VLOOKUP(L12,Reporte!$N$5:$BN$133,9,FALSE)</f>
        <v>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5.5" customHeight="1">
      <c r="A16" s="730"/>
      <c r="B16" s="731"/>
      <c r="C16" s="828"/>
      <c r="D16" s="829"/>
      <c r="E16" s="830"/>
      <c r="F16" s="742"/>
      <c r="G16" s="743"/>
      <c r="H16" s="707" t="s">
        <v>40</v>
      </c>
      <c r="I16" s="707"/>
      <c r="J16" s="746" t="s">
        <v>1596</v>
      </c>
      <c r="K16" s="747"/>
      <c r="L16" s="748"/>
      <c r="M16" s="778"/>
      <c r="N16" s="779"/>
      <c r="O16" s="780"/>
      <c r="P16" s="128"/>
    </row>
    <row r="17" spans="1:17" ht="25.5"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24</v>
      </c>
      <c r="F22" s="139">
        <f>VLOOKUP(L12,Reporte!$N$5:$BN$133,33,FALSE)</f>
        <v>0</v>
      </c>
      <c r="G22" s="132">
        <f>VLOOKUP(L12,Reporte!$N$5:$BN$133,34,FALSE)</f>
        <v>0</v>
      </c>
      <c r="H22" s="139">
        <f>VLOOKUP(L12,Reporte!$N$5:$BN$133,35,FALSE)</f>
        <v>20</v>
      </c>
      <c r="I22" s="132">
        <f>VLOOKUP(L12,Reporte!$N$5:$BN$133,36,FALSE)</f>
        <v>0</v>
      </c>
      <c r="J22" s="139">
        <f>VLOOKUP(L12,Reporte!$N$5:$BN$133,37,FALSE)</f>
        <v>0</v>
      </c>
      <c r="K22" s="139">
        <f>VLOOKUP(L12,Reporte!$N$5:$BN$133,38,FALSE)</f>
        <v>21</v>
      </c>
      <c r="L22" s="139">
        <f>VLOOKUP(L12,Reporte!$N$5:$BN$133,39,FALSE)</f>
        <v>0</v>
      </c>
      <c r="M22" s="139">
        <f>VLOOKUP(L12,Reporte!$N$5:$BN$133,40,FALSE)</f>
        <v>0</v>
      </c>
      <c r="N22" s="133">
        <f>VLOOKUP(L12,Reporte!$N$5:$BN$133,41,FALSE)</f>
        <v>15</v>
      </c>
      <c r="O22" s="133">
        <f>SUM(C22:N22)</f>
        <v>80</v>
      </c>
      <c r="P22" s="128"/>
    </row>
    <row r="23" spans="1:17" ht="16.5" thickBot="1">
      <c r="A23" s="690" t="s">
        <v>76</v>
      </c>
      <c r="B23" s="691"/>
      <c r="C23" s="140">
        <f>VLOOKUP(L12,Reporte!$N$5:$BN$133,42,FALSE)</f>
        <v>0</v>
      </c>
      <c r="D23" s="140">
        <f>VLOOKUP(L12,Reporte!$N$5:$BN$133,43,FALSE)</f>
        <v>0</v>
      </c>
      <c r="E23" s="140">
        <f>VLOOKUP(L12,Reporte!$N$5:$BN$133,44,FALSE)</f>
        <v>20</v>
      </c>
      <c r="F23" s="140">
        <f>VLOOKUP(L12,Reporte!$N$5:$BN$133,45,FALSE)</f>
        <v>0</v>
      </c>
      <c r="G23" s="140">
        <f>VLOOKUP(L12,Reporte!$N$5:$BN$133,46,FALSE)</f>
        <v>0</v>
      </c>
      <c r="H23" s="140">
        <f>VLOOKUP(L12,Reporte!$N$5:$BN$133,47,FALSE)</f>
        <v>20</v>
      </c>
      <c r="I23" s="140">
        <f>VLOOKUP(L12,Reporte!$N$5:$BN$133,48,FALSE)</f>
        <v>0</v>
      </c>
      <c r="J23" s="140">
        <f>VLOOKUP(L12,Reporte!$N$5:$BN$133,49,FALSE)</f>
        <v>0</v>
      </c>
      <c r="K23" s="140">
        <f>VLOOKUP(L12,Reporte!$N$5:$BN$133,50,FALSE)</f>
        <v>20</v>
      </c>
      <c r="L23" s="140">
        <f>VLOOKUP(L12,Reporte!$N$5:$BN$133,51,FALSE)</f>
        <v>0</v>
      </c>
      <c r="M23" s="140">
        <f>VLOOKUP(L12,Reporte!$N$5:$BN$133,52,FALSE)</f>
        <v>0</v>
      </c>
      <c r="N23" s="141">
        <f>VLOOKUP(L12,Reporte!$N$5:$BN$133,53,FALSE)</f>
        <v>20</v>
      </c>
      <c r="O23" s="133">
        <f>SUM(C23:N23)</f>
        <v>80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80</v>
      </c>
      <c r="D26" s="161">
        <f>+C26*0.98</f>
        <v>78.400000000000006</v>
      </c>
      <c r="E26" s="147"/>
      <c r="F26" s="147"/>
      <c r="G26" s="685"/>
      <c r="H26" s="685"/>
      <c r="I26" s="699"/>
      <c r="J26" s="699"/>
      <c r="K26" s="699"/>
      <c r="L26" s="685"/>
      <c r="M26" s="685"/>
      <c r="N26" s="685"/>
      <c r="O26" s="701"/>
      <c r="P26" s="148"/>
      <c r="Q26" s="149"/>
    </row>
    <row r="27" spans="1:17" s="127" customFormat="1" ht="15">
      <c r="A27" s="145" t="s">
        <v>95</v>
      </c>
      <c r="B27" s="161">
        <f>+D22</f>
        <v>0</v>
      </c>
      <c r="C27" s="161">
        <f>+C26</f>
        <v>80</v>
      </c>
      <c r="D27" s="161">
        <f>+D26</f>
        <v>78.400000000000006</v>
      </c>
      <c r="E27" s="147"/>
      <c r="F27" s="147"/>
      <c r="G27" s="685"/>
      <c r="H27" s="685"/>
      <c r="I27" s="685"/>
      <c r="J27" s="685"/>
      <c r="K27" s="147"/>
      <c r="L27" s="685"/>
      <c r="M27" s="685"/>
      <c r="N27" s="685"/>
      <c r="O27" s="701"/>
      <c r="P27" s="148"/>
      <c r="Q27" s="149"/>
    </row>
    <row r="28" spans="1:17" s="127" customFormat="1" ht="15">
      <c r="A28" s="145" t="s">
        <v>96</v>
      </c>
      <c r="B28" s="161">
        <f>+E22</f>
        <v>24</v>
      </c>
      <c r="C28" s="161">
        <f t="shared" ref="C28:D37" si="0">+C27</f>
        <v>80</v>
      </c>
      <c r="D28" s="161">
        <f t="shared" si="0"/>
        <v>78.400000000000006</v>
      </c>
      <c r="E28" s="147"/>
      <c r="F28" s="147"/>
      <c r="G28" s="685"/>
      <c r="H28" s="685"/>
      <c r="I28" s="685"/>
      <c r="J28" s="685"/>
      <c r="K28" s="147"/>
      <c r="L28" s="685"/>
      <c r="M28" s="685"/>
      <c r="N28" s="685"/>
      <c r="O28" s="701"/>
      <c r="P28" s="148"/>
      <c r="Q28" s="149"/>
    </row>
    <row r="29" spans="1:17" s="127" customFormat="1" ht="15">
      <c r="A29" s="145" t="s">
        <v>97</v>
      </c>
      <c r="B29" s="161">
        <f>+F22</f>
        <v>0</v>
      </c>
      <c r="C29" s="161">
        <f t="shared" si="0"/>
        <v>80</v>
      </c>
      <c r="D29" s="161">
        <f t="shared" si="0"/>
        <v>78.400000000000006</v>
      </c>
      <c r="E29" s="147"/>
      <c r="F29" s="147"/>
      <c r="G29" s="685"/>
      <c r="H29" s="685"/>
      <c r="I29" s="685"/>
      <c r="J29" s="685"/>
      <c r="K29" s="147"/>
      <c r="L29" s="685"/>
      <c r="M29" s="685"/>
      <c r="N29" s="685"/>
      <c r="O29" s="701"/>
      <c r="P29" s="148"/>
      <c r="Q29" s="149"/>
    </row>
    <row r="30" spans="1:17" s="127" customFormat="1" ht="15">
      <c r="A30" s="145" t="s">
        <v>98</v>
      </c>
      <c r="B30" s="161">
        <f>+G22</f>
        <v>0</v>
      </c>
      <c r="C30" s="161">
        <f t="shared" si="0"/>
        <v>80</v>
      </c>
      <c r="D30" s="161">
        <f t="shared" si="0"/>
        <v>78.400000000000006</v>
      </c>
      <c r="E30" s="147"/>
      <c r="F30" s="147"/>
      <c r="G30" s="685"/>
      <c r="H30" s="685"/>
      <c r="I30" s="685"/>
      <c r="J30" s="685"/>
      <c r="K30" s="147"/>
      <c r="L30" s="685"/>
      <c r="M30" s="685"/>
      <c r="N30" s="685"/>
      <c r="O30" s="701"/>
      <c r="P30" s="148"/>
      <c r="Q30" s="149"/>
    </row>
    <row r="31" spans="1:17" s="127" customFormat="1" ht="15">
      <c r="A31" s="145" t="s">
        <v>99</v>
      </c>
      <c r="B31" s="161">
        <f>+H22</f>
        <v>20</v>
      </c>
      <c r="C31" s="161">
        <f t="shared" si="0"/>
        <v>80</v>
      </c>
      <c r="D31" s="161">
        <f t="shared" si="0"/>
        <v>78.400000000000006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80</v>
      </c>
      <c r="D32" s="161">
        <f t="shared" si="0"/>
        <v>78.400000000000006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80</v>
      </c>
      <c r="D33" s="161">
        <f t="shared" si="0"/>
        <v>78.400000000000006</v>
      </c>
      <c r="E33" s="147"/>
      <c r="F33" s="147"/>
      <c r="G33" s="685"/>
      <c r="H33" s="685"/>
      <c r="I33" s="685"/>
      <c r="J33" s="685"/>
      <c r="K33" s="147"/>
      <c r="L33" s="685"/>
      <c r="M33" s="685"/>
      <c r="N33" s="685"/>
      <c r="O33" s="701"/>
      <c r="P33" s="148"/>
      <c r="Q33" s="149"/>
    </row>
    <row r="34" spans="1:17" s="127" customFormat="1" ht="15">
      <c r="A34" s="145" t="s">
        <v>102</v>
      </c>
      <c r="B34" s="161">
        <f>+K22</f>
        <v>21</v>
      </c>
      <c r="C34" s="161">
        <f t="shared" si="0"/>
        <v>80</v>
      </c>
      <c r="D34" s="161">
        <f t="shared" si="0"/>
        <v>78.400000000000006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80</v>
      </c>
      <c r="D35" s="161">
        <f t="shared" si="0"/>
        <v>78.400000000000006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80</v>
      </c>
      <c r="D36" s="161">
        <f t="shared" si="0"/>
        <v>78.400000000000006</v>
      </c>
      <c r="E36" s="147"/>
      <c r="F36" s="147"/>
      <c r="G36" s="685"/>
      <c r="H36" s="685"/>
      <c r="I36" s="685"/>
      <c r="J36" s="685"/>
      <c r="K36" s="147"/>
      <c r="L36" s="685"/>
      <c r="M36" s="685"/>
      <c r="N36" s="685"/>
      <c r="O36" s="701"/>
      <c r="P36" s="148"/>
      <c r="Q36" s="149"/>
    </row>
    <row r="37" spans="1:17" s="127" customFormat="1" ht="15.75" thickBot="1">
      <c r="A37" s="150" t="s">
        <v>105</v>
      </c>
      <c r="B37" s="162">
        <f>+N22</f>
        <v>15</v>
      </c>
      <c r="C37" s="161">
        <f t="shared" si="0"/>
        <v>80</v>
      </c>
      <c r="D37" s="161">
        <f t="shared" si="0"/>
        <v>78.400000000000006</v>
      </c>
      <c r="E37" s="147"/>
      <c r="F37" s="147"/>
      <c r="G37" s="147"/>
      <c r="H37" s="147"/>
      <c r="I37" s="147"/>
      <c r="J37" s="147"/>
      <c r="K37" s="147"/>
      <c r="L37" s="685"/>
      <c r="M37" s="685"/>
      <c r="N37" s="685"/>
      <c r="O37" s="701"/>
      <c r="P37" s="148"/>
      <c r="Q37" s="149"/>
    </row>
    <row r="38" spans="1:17" s="127" customFormat="1" ht="15.75" thickBot="1">
      <c r="A38" s="152" t="s">
        <v>106</v>
      </c>
      <c r="B38" s="164">
        <f>+O22</f>
        <v>80</v>
      </c>
      <c r="C38" s="164">
        <f>+C37</f>
        <v>80</v>
      </c>
      <c r="D38" s="164">
        <f>+D37</f>
        <v>78.400000000000006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​Se tenían planeadas 20 mesas al año y se realizaron 24.  Se adelantaron 4 del próximo corte ya que se consideró necesario avanzar en el tema porque los próximos meses pueden ser más demandantes en diversos temas.  En total para todo el año se programaron 80.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Se   realizaron 22 asistencias al desarrollo de mesas de saneamiento de cartera de   Circular Conjunta 030 de 2013, de las siguientes ET: Antioquia, Arauca,   Barranquilla, Bogotá, Boyacá, Caldas, Cali, Casanare, Cauca, Cesar, Chocó,   Córdoba, Huila, Meta, Nariño, Norte de Santander, Risaralda, San Andrés,   Santa Marta, Santander, Sucre y Tolima.
     Estas asistencias se soportan a través de informes de resultados del   ejercicio de acompañamiento.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53.25" customHeight="1" thickBot="1">
      <c r="A57" s="682" t="str">
        <f>VLOOKUP(L12,Reporte!$N$5:$BZ$133,62,FALSE)</f>
        <v xml:space="preserve">​Se realizaron 21 asistencias al desarrollo de mesas de saneamiento de cartera de Circular Conjunta 030 de 2013, con un sobrecumplimiento d ela meta establecidapara el periodo, debido a requerimientos del ente territorial, en los siguientes Entes Territoriales: Amazonas, Atlántico, Barranquilla, Bogotá, Bolívar, Boyacá, Cali, Cartagena, Caquetá, Cauca, Choco, Guainía, Magdalena, Nariño, Norte de Santander, Santander, Putumayo, Quindío, San Andrés, Sucre y Valle del Cauca. Estas asistencias se soportan a través de informes de resultados del ejercicio de acompañamiento. se realiza 1 mas por necesidad de realizar la actividad en otro territorio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75" customHeight="1" thickBot="1">
      <c r="A63" s="673" t="str">
        <f>VLOOKUP(L12,Reporte!$N$5:$BZ$133,65,FALSE)</f>
        <v xml:space="preserve">Para este último trimestre se realizaron 15 asistencias al desarrollo de mesas de saneamiento de cartera de Circular Conjunta 030 de 2013, de las siguientes ET: Antioquia, Barranquilla, Bogotá, Buenaventura, Cali, Cartagena, Casanare, Córdoba, Cundinamarca, Huila, Norte de Santander, San Andrés, Santander, Vaupés y Vichada. Estas asistencias se soportan a través de informes de resultados del ejercicio de acompañamiento.
Es importante resaltar que no se reportaron las 20 asistencias establecidas para este trimestre, ya que se superaron las metas en el primer y tercer trimestre. Con estas 15 asistencias alcanzamos el 100% del cumplimiento establecido para la vigencia.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80 seguimientos con 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3247-116C-4392-9B51-0369E6C21D5F}">
  <sheetPr codeName="Hoja4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 xml:space="preserve"> Mesas de Gobernanza realizadas en las direcciones regionales.</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 xml:space="preserve">Realizar Mesas de Gobernanza desde las direcciones regionales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Mesas de Gobernanza Realizadas</v>
      </c>
      <c r="D10" s="711"/>
      <c r="E10" s="711"/>
      <c r="F10" s="799" t="str">
        <f>VLOOKUP(L12,Reporte!$N$5:$BN$133,6,FALSE)</f>
        <v>Este indicador muestra el documento de propuestas de instrucciones a sujetos vigilados.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307</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4.75" customHeight="1">
      <c r="A15" s="728" t="str">
        <f>VLOOKUP(L12,Reporte!$N$5:$BN$133,8,FALSE)</f>
        <v>Numérica</v>
      </c>
      <c r="B15" s="729"/>
      <c r="C15" s="825">
        <f>VLOOKUP(L12,Reporte!$N$5:$BN$133,11,FALSE)</f>
        <v>33</v>
      </c>
      <c r="D15" s="826"/>
      <c r="E15" s="827"/>
      <c r="F15" s="740" t="str">
        <f>VLOOKUP(L12,Reporte!$N$5:$BN$133,9,FALSE)</f>
        <v>Mensual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4.75" customHeight="1">
      <c r="A16" s="730"/>
      <c r="B16" s="731"/>
      <c r="C16" s="828"/>
      <c r="D16" s="829"/>
      <c r="E16" s="830"/>
      <c r="F16" s="742"/>
      <c r="G16" s="743"/>
      <c r="H16" s="707" t="s">
        <v>40</v>
      </c>
      <c r="I16" s="707"/>
      <c r="J16" s="746" t="s">
        <v>1596</v>
      </c>
      <c r="K16" s="747"/>
      <c r="L16" s="748"/>
      <c r="M16" s="778"/>
      <c r="N16" s="779"/>
      <c r="O16" s="780"/>
      <c r="P16" s="128"/>
    </row>
    <row r="17" spans="1:17" ht="24.75"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3</v>
      </c>
      <c r="F22" s="139">
        <f>VLOOKUP(L12,Reporte!$N$5:$BN$133,33,FALSE)</f>
        <v>6</v>
      </c>
      <c r="G22" s="132">
        <f>VLOOKUP(L12,Reporte!$N$5:$BN$133,34,FALSE)</f>
        <v>4</v>
      </c>
      <c r="H22" s="139">
        <f>VLOOKUP(L12,Reporte!$N$5:$BN$133,35,FALSE)</f>
        <v>2</v>
      </c>
      <c r="I22" s="132">
        <f>VLOOKUP(L12,Reporte!$N$5:$BN$133,36,FALSE)</f>
        <v>9</v>
      </c>
      <c r="J22" s="139">
        <f>VLOOKUP(L12,Reporte!$N$5:$BN$133,37,FALSE)</f>
        <v>0</v>
      </c>
      <c r="K22" s="139">
        <f>VLOOKUP(L12,Reporte!$N$5:$BN$133,38,FALSE)</f>
        <v>0</v>
      </c>
      <c r="L22" s="139">
        <f>VLOOKUP(L12,Reporte!$N$5:$BN$133,39,FALSE)</f>
        <v>0</v>
      </c>
      <c r="M22" s="139">
        <f>VLOOKUP(L12,Reporte!$N$5:$BN$133,40,FALSE)</f>
        <v>17</v>
      </c>
      <c r="N22" s="133">
        <f>VLOOKUP(L12,Reporte!$N$5:$BN$133,41,FALSE)</f>
        <v>0</v>
      </c>
      <c r="O22" s="133">
        <f>SUM(C22:N22)</f>
        <v>41</v>
      </c>
      <c r="P22" s="128"/>
    </row>
    <row r="23" spans="1:17" ht="16.5" thickBot="1">
      <c r="A23" s="690" t="s">
        <v>76</v>
      </c>
      <c r="B23" s="691"/>
      <c r="C23" s="140">
        <f>VLOOKUP(L12,Reporte!$N$5:$BN$133,42,FALSE)</f>
        <v>0</v>
      </c>
      <c r="D23" s="140">
        <f>VLOOKUP(L12,Reporte!$N$5:$BN$133,43,FALSE)</f>
        <v>0</v>
      </c>
      <c r="E23" s="140">
        <f>VLOOKUP(L12,Reporte!$N$5:$BN$133,44,FALSE)</f>
        <v>3</v>
      </c>
      <c r="F23" s="140">
        <f>VLOOKUP(L12,Reporte!$N$5:$BN$133,45,FALSE)</f>
        <v>6</v>
      </c>
      <c r="G23" s="140">
        <f>VLOOKUP(L12,Reporte!$N$5:$BN$133,46,FALSE)</f>
        <v>7</v>
      </c>
      <c r="H23" s="140">
        <f>VLOOKUP(L12,Reporte!$N$5:$BN$133,47,FALSE)</f>
        <v>7</v>
      </c>
      <c r="I23" s="140">
        <f>VLOOKUP(L12,Reporte!$N$5:$BN$133,48,FALSE)</f>
        <v>7</v>
      </c>
      <c r="J23" s="140">
        <f>VLOOKUP(L12,Reporte!$N$5:$BN$133,49,FALSE)</f>
        <v>0</v>
      </c>
      <c r="K23" s="140">
        <f>VLOOKUP(L12,Reporte!$N$5:$BN$133,50,FALSE)</f>
        <v>0</v>
      </c>
      <c r="L23" s="140">
        <f>VLOOKUP(L12,Reporte!$N$5:$BN$133,51,FALSE)</f>
        <v>0</v>
      </c>
      <c r="M23" s="140">
        <f>VLOOKUP(L12,Reporte!$N$5:$BN$133,52,FALSE)</f>
        <v>1</v>
      </c>
      <c r="N23" s="141">
        <f>VLOOKUP(L12,Reporte!$N$5:$BN$133,53,FALSE)</f>
        <v>2</v>
      </c>
      <c r="O23" s="133">
        <f>SUM(C23:N23)</f>
        <v>33</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33</v>
      </c>
      <c r="D26" s="161">
        <f>+C26*0.98</f>
        <v>32.339999999999996</v>
      </c>
      <c r="E26" s="147"/>
      <c r="F26" s="147"/>
      <c r="G26" s="685"/>
      <c r="H26" s="685"/>
      <c r="I26" s="699"/>
      <c r="J26" s="699"/>
      <c r="K26" s="699"/>
      <c r="L26" s="685"/>
      <c r="M26" s="685"/>
      <c r="N26" s="685"/>
      <c r="O26" s="701"/>
      <c r="P26" s="148"/>
      <c r="Q26" s="149"/>
    </row>
    <row r="27" spans="1:17" s="127" customFormat="1" ht="15">
      <c r="A27" s="145" t="s">
        <v>95</v>
      </c>
      <c r="B27" s="161">
        <f>+D22</f>
        <v>0</v>
      </c>
      <c r="C27" s="161">
        <f>+C26</f>
        <v>33</v>
      </c>
      <c r="D27" s="161">
        <f>+D26</f>
        <v>32.339999999999996</v>
      </c>
      <c r="E27" s="147"/>
      <c r="F27" s="147"/>
      <c r="G27" s="685"/>
      <c r="H27" s="685"/>
      <c r="I27" s="685"/>
      <c r="J27" s="685"/>
      <c r="K27" s="147"/>
      <c r="L27" s="685"/>
      <c r="M27" s="685"/>
      <c r="N27" s="685"/>
      <c r="O27" s="701"/>
      <c r="P27" s="148"/>
      <c r="Q27" s="149"/>
    </row>
    <row r="28" spans="1:17" s="127" customFormat="1" ht="15">
      <c r="A28" s="145" t="s">
        <v>96</v>
      </c>
      <c r="B28" s="161">
        <f>+E22</f>
        <v>3</v>
      </c>
      <c r="C28" s="161">
        <f t="shared" ref="C28:D37" si="0">+C27</f>
        <v>33</v>
      </c>
      <c r="D28" s="161">
        <f t="shared" si="0"/>
        <v>32.339999999999996</v>
      </c>
      <c r="E28" s="147"/>
      <c r="F28" s="147"/>
      <c r="G28" s="685"/>
      <c r="H28" s="685"/>
      <c r="I28" s="685"/>
      <c r="J28" s="685"/>
      <c r="K28" s="147"/>
      <c r="L28" s="685"/>
      <c r="M28" s="685"/>
      <c r="N28" s="685"/>
      <c r="O28" s="701"/>
      <c r="P28" s="148"/>
      <c r="Q28" s="149"/>
    </row>
    <row r="29" spans="1:17" s="127" customFormat="1" ht="15">
      <c r="A29" s="145" t="s">
        <v>97</v>
      </c>
      <c r="B29" s="161">
        <f>+F22</f>
        <v>6</v>
      </c>
      <c r="C29" s="161">
        <f t="shared" si="0"/>
        <v>33</v>
      </c>
      <c r="D29" s="161">
        <f t="shared" si="0"/>
        <v>32.339999999999996</v>
      </c>
      <c r="E29" s="147"/>
      <c r="F29" s="147"/>
      <c r="G29" s="685"/>
      <c r="H29" s="685"/>
      <c r="I29" s="685"/>
      <c r="J29" s="685"/>
      <c r="K29" s="147"/>
      <c r="L29" s="685"/>
      <c r="M29" s="685"/>
      <c r="N29" s="685"/>
      <c r="O29" s="701"/>
      <c r="P29" s="148"/>
      <c r="Q29" s="149"/>
    </row>
    <row r="30" spans="1:17" s="127" customFormat="1" ht="15">
      <c r="A30" s="145" t="s">
        <v>98</v>
      </c>
      <c r="B30" s="161">
        <f>+G22</f>
        <v>4</v>
      </c>
      <c r="C30" s="161">
        <f t="shared" si="0"/>
        <v>33</v>
      </c>
      <c r="D30" s="161">
        <f t="shared" si="0"/>
        <v>32.339999999999996</v>
      </c>
      <c r="E30" s="147"/>
      <c r="F30" s="147"/>
      <c r="G30" s="685"/>
      <c r="H30" s="685"/>
      <c r="I30" s="685"/>
      <c r="J30" s="685"/>
      <c r="K30" s="147"/>
      <c r="L30" s="685"/>
      <c r="M30" s="685"/>
      <c r="N30" s="685"/>
      <c r="O30" s="701"/>
      <c r="P30" s="148"/>
      <c r="Q30" s="149"/>
    </row>
    <row r="31" spans="1:17" s="127" customFormat="1" ht="15">
      <c r="A31" s="145" t="s">
        <v>99</v>
      </c>
      <c r="B31" s="161">
        <f>+H22</f>
        <v>2</v>
      </c>
      <c r="C31" s="161">
        <f t="shared" si="0"/>
        <v>33</v>
      </c>
      <c r="D31" s="161">
        <f t="shared" si="0"/>
        <v>32.339999999999996</v>
      </c>
      <c r="E31" s="147"/>
      <c r="F31" s="147"/>
      <c r="G31" s="685"/>
      <c r="H31" s="685"/>
      <c r="I31" s="685"/>
      <c r="J31" s="685"/>
      <c r="K31" s="147"/>
      <c r="L31" s="685"/>
      <c r="M31" s="685"/>
      <c r="N31" s="685"/>
      <c r="O31" s="701"/>
      <c r="P31" s="148"/>
      <c r="Q31" s="149"/>
    </row>
    <row r="32" spans="1:17" s="127" customFormat="1" ht="15">
      <c r="A32" s="145" t="s">
        <v>100</v>
      </c>
      <c r="B32" s="161">
        <f>+I22</f>
        <v>9</v>
      </c>
      <c r="C32" s="161">
        <f t="shared" si="0"/>
        <v>33</v>
      </c>
      <c r="D32" s="161">
        <f t="shared" si="0"/>
        <v>32.339999999999996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33</v>
      </c>
      <c r="D33" s="161">
        <f t="shared" si="0"/>
        <v>32.339999999999996</v>
      </c>
      <c r="E33" s="147"/>
      <c r="F33" s="147"/>
      <c r="G33" s="685"/>
      <c r="H33" s="685"/>
      <c r="I33" s="685"/>
      <c r="J33" s="685"/>
      <c r="K33" s="147"/>
      <c r="L33" s="685"/>
      <c r="M33" s="685"/>
      <c r="N33" s="685"/>
      <c r="O33" s="701"/>
      <c r="P33" s="148"/>
      <c r="Q33" s="149"/>
    </row>
    <row r="34" spans="1:17" s="127" customFormat="1" ht="15">
      <c r="A34" s="145" t="s">
        <v>102</v>
      </c>
      <c r="B34" s="161">
        <f>+K22</f>
        <v>0</v>
      </c>
      <c r="C34" s="161">
        <f t="shared" si="0"/>
        <v>33</v>
      </c>
      <c r="D34" s="161">
        <f t="shared" si="0"/>
        <v>32.339999999999996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33</v>
      </c>
      <c r="D35" s="161">
        <f t="shared" si="0"/>
        <v>32.339999999999996</v>
      </c>
      <c r="E35" s="147"/>
      <c r="F35" s="147"/>
      <c r="G35" s="685"/>
      <c r="H35" s="685"/>
      <c r="I35" s="685"/>
      <c r="J35" s="685"/>
      <c r="K35" s="147"/>
      <c r="L35" s="685"/>
      <c r="M35" s="685"/>
      <c r="N35" s="685"/>
      <c r="O35" s="701"/>
      <c r="P35" s="148"/>
      <c r="Q35" s="149"/>
    </row>
    <row r="36" spans="1:17" s="127" customFormat="1" ht="15">
      <c r="A36" s="145" t="s">
        <v>104</v>
      </c>
      <c r="B36" s="161">
        <f>+M22</f>
        <v>17</v>
      </c>
      <c r="C36" s="161">
        <f t="shared" si="0"/>
        <v>33</v>
      </c>
      <c r="D36" s="161">
        <f t="shared" si="0"/>
        <v>32.339999999999996</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33</v>
      </c>
      <c r="D37" s="161">
        <f t="shared" si="0"/>
        <v>32.339999999999996</v>
      </c>
      <c r="E37" s="147"/>
      <c r="F37" s="147"/>
      <c r="G37" s="147"/>
      <c r="H37" s="147"/>
      <c r="I37" s="147"/>
      <c r="J37" s="147"/>
      <c r="K37" s="147"/>
      <c r="L37" s="685"/>
      <c r="M37" s="685"/>
      <c r="N37" s="685"/>
      <c r="O37" s="701"/>
      <c r="P37" s="148"/>
      <c r="Q37" s="149"/>
    </row>
    <row r="38" spans="1:17" s="127" customFormat="1" ht="15.75" thickBot="1">
      <c r="A38" s="152" t="s">
        <v>106</v>
      </c>
      <c r="B38" s="164">
        <f>+O22</f>
        <v>41</v>
      </c>
      <c r="C38" s="164">
        <f>+C37</f>
        <v>33</v>
      </c>
      <c r="D38" s="164">
        <f>+D37</f>
        <v>32.339999999999996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77.25" customHeight="1" thickBot="1">
      <c r="A45" s="682" t="str">
        <f>VLOOKUP(L12,Reporte!$N$5:$BZ$133,56,FALSE)</f>
        <v xml:space="preserve">Se realizan actividades derivadas de mesas de Gobernanza en las siguientes Entidades Territoriales:
* Chiquinquirá
* Soatá
* Sogamoso
En el excel adjunto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118.5" customHeight="1" thickBot="1">
      <c r="A47" s="670" t="str">
        <f>VLOOKUP(L12,Reporte!$N$5:$BZ$133,57,FALSE)</f>
        <v xml:space="preserve">​Se realizan actividades derivadas de mesas de Gobernanza en las siguientes Entidades Territoriales:
* Chiquinquirá
* Villa de Leyva
* Garagoa
* Tunja
* Soatá
* Sogamoso
En los exceles adjuntos se resaltan las activiudades realizadas en las mencionadas entidades territoriales, frente a Mesas de Gobernanza, que tuvieron lugar en 2025.  En el excel también están los radicados del super argo donde se puede revisar mayor información sobre resultados de estas mesas de gobernanza.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113.25" customHeight="1" thickBot="1">
      <c r="A49" s="670" t="str">
        <f>VLOOKUP(L12,Reporte!$N$5:$BZ$133,58,FALSE)</f>
        <v xml:space="preserve">​Durante el mes de mayo, la Superintendencia Delegada para Entidades Territoriales y Generadores, Recaudadores y Administradores de Recursos del SGSSS realizó cuatro (4) Mesas de Gobernanza así:
1. Huila (responsabilidades frente a la atención de emergencia por brote de Fiebre Amarilla en el territorio.)
2. Casanare.
3. Meta.
4. Tolima.
Es importante mencionar, que esta Delegada ha concentrado sus esfuerzos en el proceso de organización y cierre de las acciones de inspección y vigilancia que se encontraban en curso, con el fin de garantizar la adecuada entrega de productos y actividades a cargo antes de la transición de personal derivada del concurso de méritos.
Esta situación administrativa prioritaria limitó la disponibilidad de personal de las Direcciones Regionales para la realización de las mesas de gobernanza, razón por la cual no fue posible ejecutar la totalidad de las acciones programadas para este indicador. No obstante, se tiene previsto retomar esta actividad en el mes de junio.
</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65.25" customHeight="1" thickBot="1">
      <c r="A51" s="670" t="str">
        <f>VLOOKUP(L12,Reporte!$N$5:$BZ$133,59,FALSE)</f>
        <v>Durante   el mes de junio se efectuaron dos (2) mesas de gobernanza así:
     1. En Chinácota - Norte de Santander del 25 al 27 de junio de 2025
     2. En Duitama - Boyacá del 18 al 21 de junio de 2025
Es de anotar que, no se logró efectuar el total de mesas de gobernanza   programadas, en razón a que fue necesario atender otras actividades   relacionadas con el proceso de transición de planta de personal, como es el   cierre de informes y procesos de inspección y vigilancia pendientes, por   parte de los funcionarios vinculados en provisionalidad.</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164.25" customHeight="1" thickBot="1">
      <c r="A53" s="670" t="str">
        <f>VLOOKUP(L12,Reporte!$N$5:$BZ$133,60,FALSE)</f>
        <v xml:space="preserve">Para el primer semestre del 2025 la Delegada presentó un rezago frente a al cumplimiento de las metas establecidas; por tal motivo, se estan realizando Mesas de Gobernanza adicionales a la meta del periodo con el proposito de ir subsanando aquellos meses donde no hubo reporte. 
Durante julio se realizaron 9 Mesas de Gobernanza en las siguientes fechas y territorios:
14 de julio de 2025. DR Nororiental - Norte de Santander Pamplona.
31 de julio de 2025 DR Orinoquía - Vaupés, Mitú
17 de julio de 2025 DR Orinoquía - Arauca, Arauca
16 de julio de 2025 DR Sur - Caquetá, Florencia
9 de julio de 2025 DR Occidental - Valle del Cauca, Buenaventura
30 y 31 de julio DR Sur - Caquetá, Orito, San Miguel y
Valle del Guamuez
29 de julio de 2025 DR Occidental - Nariño, Tumaco
29 de julio de 2025 DR Caribe - Cesar, Tamalameque
31 de julio de 2025 DR Andina - Risaralda, Pueblo Rico
</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272.25" customHeight="1" thickBot="1">
      <c r="A61" s="670" t="str">
        <f>VLOOKUP(L12,Reporte!$N$5:$BZ$133,64,FALSE)</f>
        <v xml:space="preserve">​El sobre cumplimiento se debe a que hubo un rezago en el primer semestre el cual se esta subsanando en este periodo de reporte, junto con el cumplimiento del aumento de la meta solicitado  por la Delegada a la OAP. Para el periodo de reporte, se realizaron 11 mesas de Gobernanza en los siguientes municipios: 
1. Socha- Departamento de Boyacá (Noviembre)
2. Quibdo- Departamento del Chocó (Octubre)
3. Lloró- Departamento del Chocó (Noviembre)
4. Suan- Departamento del Atlántico (Noviembre)
5. Acevedo- Departamento del Huila (Octubre)
6. Guapi- Departamento del Cauca (Julio)
7. Becerril- Departamento del Cesar (Septiembre)
8. Fonseca- La Guajira (Agosto)
9. Salamina- Departamento del Magdalena (Septiembre)
10. Pueblo Viejo-  Departamento del Magdalena (Septiembre)
11.Remolino-  Departamento del Magdalena (Agosto)
Por su parte la Dirección de Inspección y Vigilancia para Generadores, Recaudadores y Administradores de Recursos del SGSSS, realizó 6 mesas de gobernanza sobre rentas cedidas en los siguientes departamentos:
1. Departamento de La Guajira y Cesar
2. Departamento Tolima y Caquetá
3. Departamento de Arauca
4. Departamento de Vaupés
5. Departamento de Guaviare
6. Departamento de Nariño
Se realizaron en agosto, 1 en septiembre y 2 en noviembre. Con lo anterior se da por cumplida la meta para la presente vigencia.
</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41 mesas de gobernanza, con un sobrecumplimiento de 124%, con respecto de la meta de 33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C77DC-7DF7-4E76-9C6E-9616A9F6C997}">
  <sheetPr codeName="Hoja14"/>
  <dimension ref="A1:I34"/>
  <sheetViews>
    <sheetView zoomScaleNormal="100" workbookViewId="0">
      <pane ySplit="9" topLeftCell="A10" activePane="bottomLeft" state="frozen"/>
      <selection activeCell="D16" sqref="D16"/>
      <selection pane="bottomLeft" activeCell="C10" sqref="C10"/>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51"/>
      <c r="D7" s="36"/>
      <c r="E7" s="42"/>
      <c r="F7" s="36"/>
      <c r="G7" s="36"/>
    </row>
    <row r="8" spans="1:7" ht="20.25">
      <c r="A8" s="36"/>
      <c r="B8" s="41"/>
      <c r="C8" s="53" t="s">
        <v>348</v>
      </c>
      <c r="D8" s="36"/>
      <c r="E8" s="42"/>
      <c r="F8" s="36"/>
      <c r="G8" s="36"/>
    </row>
    <row r="9" spans="1:7">
      <c r="A9" s="36"/>
      <c r="B9" s="41"/>
      <c r="C9" s="51"/>
      <c r="D9" s="36"/>
      <c r="E9" s="42"/>
      <c r="F9" s="36"/>
      <c r="G9" s="36"/>
    </row>
    <row r="10" spans="1:7" ht="29.25" customHeight="1">
      <c r="A10" s="36"/>
      <c r="B10" s="41"/>
      <c r="C10" s="56" t="s">
        <v>323</v>
      </c>
      <c r="D10" s="60" t="s">
        <v>350</v>
      </c>
      <c r="E10" s="42"/>
      <c r="F10" s="36"/>
      <c r="G10" s="36"/>
    </row>
    <row r="11" spans="1:7" ht="36" customHeight="1">
      <c r="A11" s="36"/>
      <c r="B11" s="41"/>
      <c r="C11" s="56" t="s">
        <v>329</v>
      </c>
      <c r="D11" s="60" t="s">
        <v>1583</v>
      </c>
      <c r="E11" s="42"/>
      <c r="F11" s="36"/>
      <c r="G11" s="36"/>
    </row>
    <row r="12" spans="1:7" ht="60.75" customHeight="1">
      <c r="A12" s="36"/>
      <c r="B12" s="41"/>
      <c r="C12" s="56" t="s">
        <v>316</v>
      </c>
      <c r="D12" s="60" t="s">
        <v>1143</v>
      </c>
      <c r="E12" s="42"/>
      <c r="F12" s="36"/>
      <c r="G12" s="36"/>
    </row>
    <row r="13" spans="1:7" ht="71.25">
      <c r="A13" s="36"/>
      <c r="B13" s="41"/>
      <c r="C13" s="56" t="s">
        <v>422</v>
      </c>
      <c r="D13" s="60" t="s">
        <v>1132</v>
      </c>
      <c r="E13" s="42"/>
      <c r="F13" s="36"/>
      <c r="G13" s="36"/>
    </row>
    <row r="14" spans="1:7" ht="71.25">
      <c r="A14" s="36"/>
      <c r="B14" s="41"/>
      <c r="C14" s="56" t="s">
        <v>422</v>
      </c>
      <c r="D14" s="60" t="s">
        <v>1132</v>
      </c>
      <c r="E14" s="42"/>
      <c r="F14" s="36"/>
      <c r="G14" s="36"/>
    </row>
    <row r="15" spans="1:7" ht="39.75" customHeight="1" thickBot="1">
      <c r="A15" s="36"/>
      <c r="B15" s="43"/>
      <c r="C15" s="54"/>
      <c r="D15" s="44"/>
      <c r="E15" s="45"/>
      <c r="F15" s="36"/>
      <c r="G15" s="36"/>
    </row>
    <row r="16" spans="1:7">
      <c r="A16" s="36"/>
      <c r="B16" s="36"/>
      <c r="C16" s="51"/>
      <c r="D16" s="36"/>
      <c r="E16" s="36"/>
      <c r="F16" s="36"/>
      <c r="G16" s="36"/>
    </row>
    <row r="17" spans="1:7">
      <c r="A17" s="36"/>
      <c r="B17" s="36"/>
      <c r="C17" s="51"/>
      <c r="D17" s="36"/>
      <c r="E17" s="36"/>
      <c r="F17" s="36"/>
      <c r="G17" s="36"/>
    </row>
    <row r="18" spans="1:7" hidden="1">
      <c r="A18" s="36"/>
      <c r="B18" s="36"/>
      <c r="C18" s="51"/>
      <c r="D18" s="36"/>
      <c r="E18" s="36"/>
      <c r="F18" s="36"/>
      <c r="G18" s="36"/>
    </row>
    <row r="19" spans="1:7" hidden="1">
      <c r="A19" s="36"/>
      <c r="B19" s="36"/>
      <c r="C19" s="51"/>
      <c r="D19" s="36"/>
      <c r="E19" s="36"/>
      <c r="F19" s="36"/>
      <c r="G19" s="36"/>
    </row>
    <row r="20" spans="1:7" hidden="1">
      <c r="A20" s="36"/>
      <c r="B20" s="36"/>
      <c r="C20" s="51"/>
      <c r="D20" s="36"/>
      <c r="E20" s="36"/>
      <c r="F20" s="36"/>
      <c r="G20" s="36"/>
    </row>
    <row r="21" spans="1:7" hidden="1">
      <c r="A21" s="36"/>
      <c r="B21" s="36"/>
      <c r="C21" s="51"/>
      <c r="D21" s="36"/>
      <c r="E21" s="36"/>
      <c r="F21" s="36"/>
      <c r="G21" s="36"/>
    </row>
    <row r="22" spans="1:7" hidden="1">
      <c r="A22" s="36"/>
      <c r="B22" s="36"/>
      <c r="C22" s="51"/>
      <c r="D22" s="36"/>
      <c r="E22" s="36"/>
      <c r="F22" s="36"/>
      <c r="G22" s="36"/>
    </row>
    <row r="23" spans="1:7"/>
    <row r="24" spans="1:7"/>
    <row r="25" spans="1:7"/>
    <row r="26" spans="1:7"/>
    <row r="27" spans="1:7"/>
    <row r="28" spans="1:7"/>
    <row r="29" spans="1:7"/>
    <row r="30" spans="1:7"/>
    <row r="31" spans="1:7" ht="14.25" customHeight="1"/>
    <row r="32" spans="1:7" ht="14.25" customHeight="1"/>
    <row r="33" ht="14.25" customHeight="1"/>
    <row r="34" ht="14.25" customHeight="1"/>
  </sheetData>
  <hyperlinks>
    <hyperlink ref="C10" location="'CT31'!Área_de_impresión" display="CT31" xr:uid="{F4C64FD0-3403-4096-ACBE-7B797E85A08F}"/>
    <hyperlink ref="C11" location="'CT32'!Área_de_impresión" display="CT32" xr:uid="{9B93AC4A-9CE6-487D-8A61-A55508CABB92}"/>
    <hyperlink ref="C14" location="'GF02-D'!Área_de_impresión" display="GF02-D" xr:uid="{2861470E-A82F-4990-9E3A-AFB3DADFB663}"/>
    <hyperlink ref="C13" location="'GF02-D'!Área_de_impresión" display="GF02-D" xr:uid="{9274DCA8-A505-4988-B8F6-8E9B05D695AA}"/>
    <hyperlink ref="C12" location="'CT29'!Área_de_impresión" display="CT29" xr:uid="{39BDA653-7786-495D-977C-6DF84BEE5025}"/>
  </hyperlinks>
  <pageMargins left="0.7" right="0.7" top="0.75" bottom="0.75" header="0.3" footer="0.3"/>
  <pageSetup paperSize="9" scale="76" orientation="portrait"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5228E-8DB2-4B06-BD2A-FDF006FEB47B}">
  <sheetPr codeName="Hoja49"/>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3" customHeight="1">
      <c r="A6" s="789" t="s">
        <v>8</v>
      </c>
      <c r="B6" s="790"/>
      <c r="C6" s="711" t="str">
        <f>VLOOKUP(L12,Reporte!$N$5:$BN$133,2,FALSE)</f>
        <v>Porcentaje de acciones ejecutadas en el marco de los ANS con las Dependencias de la Entidad</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2.25" customHeight="1">
      <c r="A8" s="792" t="s">
        <v>1594</v>
      </c>
      <c r="B8" s="774"/>
      <c r="C8" s="711" t="str">
        <f>VLOOKUP(L12,Reporte!$A$5:$N$133,13,FALSE)</f>
        <v>Ejecutar las actividades de apoyo a las Delegadas y Oficinas de la SNS por parte de las direcciones regionales conforme a los Acuerdos de nivel de servicio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acciones ejecutadas </v>
      </c>
      <c r="D10" s="711"/>
      <c r="E10" s="711"/>
      <c r="F10" s="799" t="str">
        <f>VLOOKUP(L12,Reporte!$N$5:$BN$133,6,FALSE)</f>
        <v>Este indicador mide el porcentaje de acciones de los ANS de la entidad.</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acciones que sean requeridas</v>
      </c>
      <c r="D12" s="711"/>
      <c r="E12" s="711"/>
      <c r="F12" s="799"/>
      <c r="G12" s="799"/>
      <c r="H12" s="799"/>
      <c r="I12" s="799"/>
      <c r="J12" s="712" t="str">
        <f>VLOOKUP(L12,Reporte!$N$5:$BN$133,7,FALSE)</f>
        <v>Eficiencia</v>
      </c>
      <c r="K12" s="712"/>
      <c r="L12" s="713" t="s">
        <v>563</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4" customHeight="1">
      <c r="A15" s="728" t="str">
        <f>VLOOKUP(L12,Reporte!$N$5:$BN$133,8,FALSE)</f>
        <v xml:space="preserve">Porcentual </v>
      </c>
      <c r="B15" s="729"/>
      <c r="C15" s="734">
        <f>VLOOKUP(L12,Reporte!$N$5:$BN$133,11,FALSE)</f>
        <v>1</v>
      </c>
      <c r="D15" s="735"/>
      <c r="E15" s="729"/>
      <c r="F15" s="740" t="str">
        <f>VLOOKUP(L12,Reporte!$N$5:$BN$133,9,FALSE)</f>
        <v>Cuatrimestral</v>
      </c>
      <c r="G15" s="741"/>
      <c r="H15" s="707" t="s">
        <v>37</v>
      </c>
      <c r="I15" s="707"/>
      <c r="J15" s="746" t="s">
        <v>1595</v>
      </c>
      <c r="K15" s="747"/>
      <c r="L15" s="748"/>
      <c r="M15" s="775" t="str">
        <f>VLOOKUP(L12,Reporte!$N$5:$BN$133,28,FALSE)</f>
        <v xml:space="preserve">Delegatura para Entidades Territoriales y Generadores y Recaudadores y Administradores de Recursos del SGSSS </v>
      </c>
      <c r="N15" s="776"/>
      <c r="O15" s="777"/>
      <c r="P15" s="128"/>
    </row>
    <row r="16" spans="1:17" ht="24" customHeight="1">
      <c r="A16" s="730"/>
      <c r="B16" s="731"/>
      <c r="C16" s="736"/>
      <c r="D16" s="737"/>
      <c r="E16" s="731"/>
      <c r="F16" s="742"/>
      <c r="G16" s="743"/>
      <c r="H16" s="707" t="s">
        <v>40</v>
      </c>
      <c r="I16" s="707"/>
      <c r="J16" s="746" t="s">
        <v>1596</v>
      </c>
      <c r="K16" s="747"/>
      <c r="L16" s="748"/>
      <c r="M16" s="778"/>
      <c r="N16" s="779"/>
      <c r="O16" s="780"/>
      <c r="P16" s="128"/>
    </row>
    <row r="17" spans="1:17" ht="24" customHeight="1"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514</v>
      </c>
      <c r="G22" s="132">
        <f>VLOOKUP(L12,Reporte!$N$5:$BN$133,34,FALSE)</f>
        <v>0</v>
      </c>
      <c r="H22" s="139">
        <f>VLOOKUP(L12,Reporte!$N$5:$BN$133,35,FALSE)</f>
        <v>0</v>
      </c>
      <c r="I22" s="132">
        <f>VLOOKUP(L12,Reporte!$N$5:$BN$133,36,FALSE)</f>
        <v>0</v>
      </c>
      <c r="J22" s="139">
        <f>VLOOKUP(L12,Reporte!$N$5:$BN$133,37,FALSE)</f>
        <v>107</v>
      </c>
      <c r="K22" s="139">
        <f>VLOOKUP(L12,Reporte!$N$5:$BN$133,38,FALSE)</f>
        <v>0</v>
      </c>
      <c r="L22" s="139">
        <f>VLOOKUP(L12,Reporte!$N$5:$BN$133,39,FALSE)</f>
        <v>0</v>
      </c>
      <c r="M22" s="139">
        <f>VLOOKUP(L12,Reporte!$N$5:$BN$133,40,FALSE)</f>
        <v>0</v>
      </c>
      <c r="N22" s="133">
        <f>VLOOKUP(L12,Reporte!$N$5:$BN$133,41,FALSE)</f>
        <v>1</v>
      </c>
      <c r="O22" s="133">
        <f>SUM(C22:N22)</f>
        <v>622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514</v>
      </c>
      <c r="G23" s="140">
        <f>VLOOKUP(L12,Reporte!$N$5:$BN$133,46,FALSE)</f>
        <v>0</v>
      </c>
      <c r="H23" s="140">
        <f>VLOOKUP(L12,Reporte!$N$5:$BN$133,47,FALSE)</f>
        <v>0</v>
      </c>
      <c r="I23" s="140">
        <f>VLOOKUP(L12,Reporte!$N$5:$BN$133,48,FALSE)</f>
        <v>0</v>
      </c>
      <c r="J23" s="140">
        <f>VLOOKUP(L12,Reporte!$N$5:$BN$133,49,FALSE)</f>
        <v>107</v>
      </c>
      <c r="K23" s="140">
        <f>VLOOKUP(L12,Reporte!$N$5:$BN$133,50,FALSE)</f>
        <v>0</v>
      </c>
      <c r="L23" s="140">
        <f>VLOOKUP(L12,Reporte!$N$5:$BN$133,51,FALSE)</f>
        <v>0</v>
      </c>
      <c r="M23" s="140">
        <f>VLOOKUP(L12,Reporte!$N$5:$BN$133,52,FALSE)</f>
        <v>0</v>
      </c>
      <c r="N23" s="141">
        <f>VLOOKUP(L12,Reporte!$N$5:$BN$133,53,FALSE)</f>
        <v>1</v>
      </c>
      <c r="O23" s="133">
        <f>SUM(C23:N23)</f>
        <v>622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1</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1</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75" customHeight="1" thickBot="1">
      <c r="A47" s="670" t="str">
        <f>VLOOKUP(L12,Reporte!$N$5:$BZ$133,57,FALSE)</f>
        <v xml:space="preserve">​En indicador es a demanda de acuerdo a las necesidades de articulación con las delegadas para apoyar el IV con los respectivos actores del sistema.
En este período se realizaron a demanda 514 acciones de apoyo a las Delegadas en territorio, tal como se muestran en la base de datos en excel que se adjunta.
También se adjunta un enlace donde están las evidencias que se listan en el mencionado excel.
Se anexan las evidencias correspondientes dentro del URL adjunto,  ya que hay evidencias de todas las regionales y estas son muy pesadas para ser cargadas aquí.  Se han concedido algunos permisos para este URL. ( Mónica Liliana Salazar, Gloria Rocío PEreira, Peter William VArgas, Johana Patricia Orjuela).  Si Alguien mas de la OAP o de la OCI requiere ingresar al URL, solicitarlo a Rafael Enrique García Cadavid.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63.75" customHeight="1" thickBot="1">
      <c r="A55" s="670" t="str">
        <f>VLOOKUP(L12,Reporte!$N$5:$BZ$133,61,FALSE)</f>
        <v xml:space="preserve">​Se desarrollaron 107 acciones en el marco del ANS, entre las que se encuentran jornadas de atención al usuario orientadas a verificar la adecuada prestación de los servicios de salud y la gestión de trámites por parte de las EPS en municipios como Fonseca, Paratebueno, Maní, Sogamoso y San Vicente del Caguán, entre otros. De igual manera, se adelantaron ejercicios de verificación rápida en Barrancabermeja, Bucaramanga, Enciso y San Andrés. 
Por otra parte, las Direcciones Regionales apoyaron en mesas de PQR en departamentos como Boyacá; así como, en  ferias de servicios y procesos de capacitación en diferentes territorios los cuales pueden verificarse en el enlace de la DETGRARSGSSS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46.25" customHeight="1" thickBot="1">
      <c r="A63" s="673" t="str">
        <f>VLOOKUP(L12,Reporte!$N$5:$BZ$133,65,FALSE)</f>
        <v>Durante el periodo evaluado, las Direcciones Regionales adelantaron 53 acciones  en el marco del Acuardo a Nivel de Servicios con otras Delegadas de la SNS:
Regional Caribe: Se realizó la aplicación de IVR a los gestores farmacéuticos Pharmasan S.A.S., Cafam y Audifarma en el municipio de Valledupar; Difimedicas en Aguachica (Cesar); CAFAM en Pueblo Viejo y Suplimedic en Salamina (Magdalena); y Éticos en Albania (La Guajira).
Adicionalmente, se desarrollaron actividades lúdicas en el marco de mecanismos de participación ciudadana dirigidos a niños, niñas y adolescentes en Maicao; jornadas de atención en Riohacha (La Guajira) y Ciénaga (Magdalena); así como verificación de demoras en el proceso de referencia y contrarreferencia en las ESE José David Padilla y Luis Carlos Galán (Aguachica, Cesar), Samuel Villanueva (La Guajira), La Candelaria (El Banco, Magdalena), Hospital San Rafael (Albania, La Guajira), Hospital 7 de Agosto y Hospital Fray Luis (Plato, Magdalena).
Regional Occidental – Sede Agualongo: Se realizó la aplicación de IVR a los gestores farmacéuticos FOMAG – Proinsalud y Nueva EPS – Medico Colombia, en la sede Valle del Atriz.
Regional Occidental: Se efectuó seguimiento durante los meses de octubre y noviembre a la mesa de conciliación entre gestores farmacéuticos y EPS. Asimismo, se brindó apoyo a la Defensoría del Pueblo (DPU) en jornadas de atención al usuario en Yopal, y se socializó el plan de acción relacionado con la IVR al gestor farmacéutico Colsubsidio.
Regional Norte: Se aplicó IVR a Pharmaser (Cartagena) el 15 y 16 de octubre de 2025, y a Disfarma (San Onofre) el 15 de octubre de 2025. Igualmente, se desarrolló una jornada de capacitación al usuario en el año 2025.
Regional Nororiental: Se aplicó IVR a los gestores farmacéuticos Difimedicas (Socorro), Disfarma (Cúcuta), Colsubsidio (Sogamoso) y Discolmed (Socha). Asimismo, se adelantó verificación y acompañamiento a la ESE Sansegcoop (Cúcuta).
Regional Chocó: Se realizó IVR a los gestores Humansalud, Contrafachada, Servimedic, Combate, Germis y El Descuento.
Dirección Regional Sur: Se desarrollaron acciones con los gestores farmacéuticos Audifarma (Ibagué), Comfandi (Florencia), Acevedo, Disfarma (Ibagué) y Líbano.
Adicionalmente, se realizó seguimiento al sistema de referencia y contrarreferencia del Hospital María Inmaculada y Medilaser (Florencia), así como del Hospital San Juan Bautista de Chaparral.
Se efectuaron jornadas de atención al usuario y capacitación en los municipios de Ábaco, Chaparral, Neiva, Puerto Asís, Honda y Mariquita, y se brindó apoyo a la Delegada de Aseguramiento en el seguimiento a mesas de IV para la implementación de RIAS con EPS en la ciudad de Ibagué.</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622 acciones en el marco de ANS con las dependencias de la entidad, con cumplimiento de la meta establecida en el cronograma de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7998E-8CC8-481D-93BD-89D44299855B}">
  <sheetPr codeName="Hoja5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 xml:space="preserve"> Porcentajes de reclamos en salud con seguimiento </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31.5" customHeight="1">
      <c r="A8" s="792" t="s">
        <v>1594</v>
      </c>
      <c r="B8" s="774"/>
      <c r="C8" s="711" t="str">
        <f>VLOOKUP(L12,Reporte!$A$5:$N$133,13,FALSE)</f>
        <v xml:space="preserve"> Seguimiento a los reclamos en salud presentados por la ciudadanía que asiste a los Diálogos con la Supersalud que no fueron cerrados por los vigilados en el evento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Reclamos en salud con seguimiento </v>
      </c>
      <c r="D10" s="711"/>
      <c r="E10" s="711"/>
      <c r="F10" s="799" t="str">
        <f>VLOOKUP(L12,Reporte!$N$5:$BN$133,6,FALSE)</f>
        <v>Este indicador mide el porcentaje de la gestión de reclamos en salud en los territoriales.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total de reclamos no cerrados por el vigilados* 100 .   </v>
      </c>
      <c r="D12" s="711"/>
      <c r="E12" s="711"/>
      <c r="F12" s="799"/>
      <c r="G12" s="799"/>
      <c r="H12" s="799"/>
      <c r="I12" s="799"/>
      <c r="J12" s="712" t="str">
        <f>VLOOKUP(L12,Reporte!$N$5:$BN$133,7,FALSE)</f>
        <v>Eficiencia</v>
      </c>
      <c r="K12" s="712"/>
      <c r="L12" s="713" t="s">
        <v>392</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Delegatura para la Protección al Usuario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746</v>
      </c>
      <c r="F22" s="139">
        <f>VLOOKUP(L12,Reporte!$N$5:$BN$133,33,FALSE)</f>
        <v>0</v>
      </c>
      <c r="G22" s="132">
        <f>VLOOKUP(L12,Reporte!$N$5:$BN$133,34,FALSE)</f>
        <v>0</v>
      </c>
      <c r="H22" s="139">
        <f>VLOOKUP(L12,Reporte!$N$5:$BN$133,35,FALSE)</f>
        <v>0</v>
      </c>
      <c r="I22" s="132">
        <f>VLOOKUP(L12,Reporte!$N$5:$BN$133,36,FALSE)</f>
        <v>0</v>
      </c>
      <c r="J22" s="139">
        <f>VLOOKUP(L12,Reporte!$N$5:$BN$133,37,FALSE)</f>
        <v>0</v>
      </c>
      <c r="K22" s="139">
        <f>VLOOKUP(L12,Reporte!$N$5:$BN$133,38,FALSE)</f>
        <v>85</v>
      </c>
      <c r="L22" s="139">
        <f>VLOOKUP(L12,Reporte!$N$5:$BN$133,39,FALSE)</f>
        <v>0</v>
      </c>
      <c r="M22" s="139">
        <f>VLOOKUP(L12,Reporte!$N$5:$BN$133,40,FALSE)</f>
        <v>0</v>
      </c>
      <c r="N22" s="133">
        <f>VLOOKUP(L12,Reporte!$N$5:$BN$133,41,FALSE)</f>
        <v>12</v>
      </c>
      <c r="O22" s="133">
        <f>SUM(C22:N22)</f>
        <v>843</v>
      </c>
      <c r="P22" s="128"/>
    </row>
    <row r="23" spans="1:17" ht="16.5" thickBot="1">
      <c r="A23" s="690" t="s">
        <v>76</v>
      </c>
      <c r="B23" s="691"/>
      <c r="C23" s="140">
        <f>VLOOKUP(L12,Reporte!$N$5:$BN$133,42,FALSE)</f>
        <v>0</v>
      </c>
      <c r="D23" s="140">
        <f>VLOOKUP(L12,Reporte!$N$5:$BN$133,43,FALSE)</f>
        <v>0</v>
      </c>
      <c r="E23" s="140">
        <f>VLOOKUP(L12,Reporte!$N$5:$BN$133,44,FALSE)</f>
        <v>746</v>
      </c>
      <c r="F23" s="140">
        <f>VLOOKUP(L12,Reporte!$N$5:$BN$133,45,FALSE)</f>
        <v>0</v>
      </c>
      <c r="G23" s="140">
        <f>VLOOKUP(L12,Reporte!$N$5:$BN$133,46,FALSE)</f>
        <v>0</v>
      </c>
      <c r="H23" s="140">
        <f>VLOOKUP(L12,Reporte!$N$5:$BN$133,47,FALSE)</f>
        <v>0</v>
      </c>
      <c r="I23" s="140">
        <f>VLOOKUP(L12,Reporte!$N$5:$BN$133,48,FALSE)</f>
        <v>0</v>
      </c>
      <c r="J23" s="140">
        <f>VLOOKUP(L12,Reporte!$N$5:$BN$133,49,FALSE)</f>
        <v>0</v>
      </c>
      <c r="K23" s="140">
        <f>VLOOKUP(L12,Reporte!$N$5:$BN$133,50,FALSE)</f>
        <v>102</v>
      </c>
      <c r="L23" s="140">
        <f>VLOOKUP(L12,Reporte!$N$5:$BN$133,51,FALSE)</f>
        <v>0</v>
      </c>
      <c r="M23" s="140">
        <f>VLOOKUP(L12,Reporte!$N$5:$BN$133,52,FALSE)</f>
        <v>0</v>
      </c>
      <c r="N23" s="141">
        <f>VLOOKUP(L12,Reporte!$N$5:$BN$133,53,FALSE)</f>
        <v>17</v>
      </c>
      <c r="O23" s="133">
        <f>SUM(C23:N23)</f>
        <v>865</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0.83333333333333337</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0.70588235294117652</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0.97456647398843932</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​Entre enero a marzo 2025 se han realizado 6 diálogos en donde se han recibido 746 reclamos en salud, de los cuales a todos se les ha realizado seguimiento,  de estos se han cerrado 644 (86.32%%) y permanecen abiertos 102 reclamos en salud.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​Entre abril y junio 2025 NO se han realizado diálogos, por este motivo no se cuenta con informacionn para este reporte. El último dialogo realizado fue en marzo 2025.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Entre JULIO y SEPTIEMBRE 2025 se han realizado 4 diálogos en donde se han recibido 102 reclamos en salud de los cuales a todos 100% se les ha realizado seguimiento, pero de estos se han cerrado 85 (83%) y permanecen abiertos 102 reclamos a pesar del seguimeinto realizado.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​Entre OCTUBRE Y DICIEMBRE 2025 se realizo 1 diálogo en donde se han recibido 17 reclamos en salud de los cuales a todos 100% se les ha realizado seguimiento, pero de estos se han cerrado 12 (70,6%) y permanecen abiertos 5 reclamos a pesar del seguimiento realizado.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843 seguimientos a 865 reclamos no cerrados por los vigilados, lo que equivale a la gestión del 97% de los reclamos, con lo cual se presenta un incumplimiento de la meta de 100% establecida para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07C55-85AD-4970-BEF3-2B6EB5E20A13}">
  <sheetPr codeName="Hoja14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 xml:space="preserve">Promoción de los derechos y deberes en salud y mecanismos de participación ciudadana en salud a la ciudadanía.                  </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15.75">
      <c r="A8" s="792" t="s">
        <v>1594</v>
      </c>
      <c r="B8" s="774"/>
      <c r="C8" s="711" t="str">
        <f>VLOOKUP(L12,Reporte!$A$5:$N$133,13,FALSE)</f>
        <v xml:space="preserve">Promover los derechos y deberes en salud y mecanismos de participación ciudadana en salud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actividades que promueven el ejercicio de derechos y deberes y mecanismos de participación ciudadana en salud para ciudadanía en general desarrollados en el periodo..</v>
      </c>
      <c r="D10" s="711"/>
      <c r="E10" s="711"/>
      <c r="F10" s="799" t="str">
        <f>VLOOKUP(L12,Reporte!$N$5:$BN$133,6,FALSE)</f>
        <v>Este indicador mide Número de departamentos con atención presencial.</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435</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282</v>
      </c>
      <c r="D15" s="826"/>
      <c r="E15" s="827"/>
      <c r="F15" s="740" t="str">
        <f>VLOOKUP(L12,Reporte!$N$5:$BN$133,9,FALSE)</f>
        <v>Trimestral</v>
      </c>
      <c r="G15" s="741"/>
      <c r="H15" s="707" t="s">
        <v>37</v>
      </c>
      <c r="I15" s="707"/>
      <c r="J15" s="746" t="s">
        <v>1595</v>
      </c>
      <c r="K15" s="747"/>
      <c r="L15" s="748"/>
      <c r="M15" s="775" t="str">
        <f>VLOOKUP(L12,Reporte!$N$5:$BN$133,28,FALSE)</f>
        <v xml:space="preserve">Delegatura para la Protección al Usuario </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79</v>
      </c>
      <c r="F22" s="139">
        <f>VLOOKUP(L12,Reporte!$N$5:$BN$133,33,FALSE)</f>
        <v>0</v>
      </c>
      <c r="G22" s="132">
        <f>VLOOKUP(L12,Reporte!$N$5:$BN$133,34,FALSE)</f>
        <v>0</v>
      </c>
      <c r="H22" s="139">
        <f>VLOOKUP(L12,Reporte!$N$5:$BN$133,35,FALSE)</f>
        <v>70</v>
      </c>
      <c r="I22" s="132">
        <f>VLOOKUP(L12,Reporte!$N$5:$BN$133,36,FALSE)</f>
        <v>0</v>
      </c>
      <c r="J22" s="139">
        <f>VLOOKUP(L12,Reporte!$N$5:$BN$133,37,FALSE)</f>
        <v>0</v>
      </c>
      <c r="K22" s="139">
        <f>VLOOKUP(L12,Reporte!$N$5:$BN$133,38,FALSE)</f>
        <v>91</v>
      </c>
      <c r="L22" s="139">
        <f>VLOOKUP(L12,Reporte!$N$5:$BN$133,39,FALSE)</f>
        <v>0</v>
      </c>
      <c r="M22" s="139">
        <f>VLOOKUP(L12,Reporte!$N$5:$BN$133,40,FALSE)</f>
        <v>0</v>
      </c>
      <c r="N22" s="133">
        <f>VLOOKUP(L12,Reporte!$N$5:$BN$133,41,FALSE)</f>
        <v>100</v>
      </c>
      <c r="O22" s="133">
        <f>SUM(C22:N22)</f>
        <v>340</v>
      </c>
      <c r="P22" s="128"/>
    </row>
    <row r="23" spans="1:17" ht="16.5" thickBot="1">
      <c r="A23" s="690" t="s">
        <v>76</v>
      </c>
      <c r="B23" s="691"/>
      <c r="C23" s="140">
        <f>VLOOKUP(L12,Reporte!$N$5:$BN$133,42,FALSE)</f>
        <v>0</v>
      </c>
      <c r="D23" s="140">
        <f>VLOOKUP(L12,Reporte!$N$5:$BN$133,43,FALSE)</f>
        <v>0</v>
      </c>
      <c r="E23" s="140">
        <f>VLOOKUP(L12,Reporte!$N$5:$BN$133,44,FALSE)</f>
        <v>70</v>
      </c>
      <c r="F23" s="140">
        <f>VLOOKUP(L12,Reporte!$N$5:$BN$133,45,FALSE)</f>
        <v>0</v>
      </c>
      <c r="G23" s="140">
        <f>VLOOKUP(L12,Reporte!$N$5:$BN$133,46,FALSE)</f>
        <v>0</v>
      </c>
      <c r="H23" s="140">
        <f>VLOOKUP(L12,Reporte!$N$5:$BN$133,47,FALSE)</f>
        <v>70</v>
      </c>
      <c r="I23" s="140">
        <f>VLOOKUP(L12,Reporte!$N$5:$BN$133,48,FALSE)</f>
        <v>0</v>
      </c>
      <c r="J23" s="140">
        <f>VLOOKUP(L12,Reporte!$N$5:$BN$133,49,FALSE)</f>
        <v>0</v>
      </c>
      <c r="K23" s="140">
        <f>VLOOKUP(L12,Reporte!$N$5:$BN$133,50,FALSE)</f>
        <v>72</v>
      </c>
      <c r="L23" s="140">
        <f>VLOOKUP(L12,Reporte!$N$5:$BN$133,51,FALSE)</f>
        <v>0</v>
      </c>
      <c r="M23" s="140">
        <f>VLOOKUP(L12,Reporte!$N$5:$BN$133,52,FALSE)</f>
        <v>0</v>
      </c>
      <c r="N23" s="141">
        <f>VLOOKUP(L12,Reporte!$N$5:$BN$133,53,FALSE)</f>
        <v>70</v>
      </c>
      <c r="O23" s="133">
        <f>SUM(C23:N23)</f>
        <v>282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282</v>
      </c>
      <c r="D26" s="161">
        <f>+C26*0.98</f>
        <v>276.36</v>
      </c>
      <c r="E26" s="147"/>
      <c r="F26" s="147"/>
      <c r="G26" s="685"/>
      <c r="H26" s="685"/>
      <c r="I26" s="699"/>
      <c r="J26" s="699"/>
      <c r="K26" s="699"/>
      <c r="L26" s="685"/>
      <c r="M26" s="685"/>
      <c r="N26" s="685"/>
      <c r="O26" s="701"/>
      <c r="P26" s="148"/>
      <c r="Q26" s="149"/>
    </row>
    <row r="27" spans="1:17" s="127" customFormat="1" ht="15">
      <c r="A27" s="145" t="s">
        <v>95</v>
      </c>
      <c r="B27" s="161">
        <f>+D22</f>
        <v>0</v>
      </c>
      <c r="C27" s="161">
        <f>+C26</f>
        <v>282</v>
      </c>
      <c r="D27" s="161">
        <f>+D26</f>
        <v>276.36</v>
      </c>
      <c r="E27" s="147"/>
      <c r="F27" s="147"/>
      <c r="G27" s="685"/>
      <c r="H27" s="685"/>
      <c r="I27" s="685"/>
      <c r="J27" s="685"/>
      <c r="K27" s="147"/>
      <c r="L27" s="685"/>
      <c r="M27" s="685"/>
      <c r="N27" s="685"/>
      <c r="O27" s="701"/>
      <c r="P27" s="148"/>
      <c r="Q27" s="149"/>
    </row>
    <row r="28" spans="1:17" s="127" customFormat="1" ht="15">
      <c r="A28" s="145" t="s">
        <v>96</v>
      </c>
      <c r="B28" s="161">
        <f>+E22</f>
        <v>79</v>
      </c>
      <c r="C28" s="161">
        <f t="shared" ref="C28:D37" si="0">+C27</f>
        <v>282</v>
      </c>
      <c r="D28" s="161">
        <f t="shared" si="0"/>
        <v>276.36</v>
      </c>
      <c r="E28" s="147"/>
      <c r="F28" s="147"/>
      <c r="G28" s="685"/>
      <c r="H28" s="685"/>
      <c r="I28" s="685"/>
      <c r="J28" s="685"/>
      <c r="K28" s="147"/>
      <c r="L28" s="685"/>
      <c r="M28" s="685"/>
      <c r="N28" s="685"/>
      <c r="O28" s="701"/>
      <c r="P28" s="148"/>
      <c r="Q28" s="149"/>
    </row>
    <row r="29" spans="1:17" s="127" customFormat="1" ht="15">
      <c r="A29" s="145" t="s">
        <v>97</v>
      </c>
      <c r="B29" s="161">
        <f>+F22</f>
        <v>0</v>
      </c>
      <c r="C29" s="161">
        <f t="shared" si="0"/>
        <v>282</v>
      </c>
      <c r="D29" s="161">
        <f t="shared" si="0"/>
        <v>276.36</v>
      </c>
      <c r="E29" s="147"/>
      <c r="F29" s="147"/>
      <c r="G29" s="685"/>
      <c r="H29" s="685"/>
      <c r="I29" s="685"/>
      <c r="J29" s="685"/>
      <c r="K29" s="147"/>
      <c r="L29" s="685"/>
      <c r="M29" s="685"/>
      <c r="N29" s="685"/>
      <c r="O29" s="701"/>
      <c r="P29" s="148"/>
      <c r="Q29" s="149"/>
    </row>
    <row r="30" spans="1:17" s="127" customFormat="1" ht="15">
      <c r="A30" s="145" t="s">
        <v>98</v>
      </c>
      <c r="B30" s="161">
        <f>+G22</f>
        <v>0</v>
      </c>
      <c r="C30" s="161">
        <f t="shared" si="0"/>
        <v>282</v>
      </c>
      <c r="D30" s="161">
        <f t="shared" si="0"/>
        <v>276.36</v>
      </c>
      <c r="E30" s="147"/>
      <c r="F30" s="147"/>
      <c r="G30" s="685"/>
      <c r="H30" s="685"/>
      <c r="I30" s="685"/>
      <c r="J30" s="685"/>
      <c r="K30" s="147"/>
      <c r="L30" s="685"/>
      <c r="M30" s="685"/>
      <c r="N30" s="685"/>
      <c r="O30" s="701"/>
      <c r="P30" s="148"/>
      <c r="Q30" s="149"/>
    </row>
    <row r="31" spans="1:17" s="127" customFormat="1" ht="15">
      <c r="A31" s="145" t="s">
        <v>99</v>
      </c>
      <c r="B31" s="161">
        <f>+H22</f>
        <v>70</v>
      </c>
      <c r="C31" s="161">
        <f t="shared" si="0"/>
        <v>282</v>
      </c>
      <c r="D31" s="161">
        <f t="shared" si="0"/>
        <v>276.36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282</v>
      </c>
      <c r="D32" s="161">
        <f t="shared" si="0"/>
        <v>276.36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282</v>
      </c>
      <c r="D33" s="161">
        <f t="shared" si="0"/>
        <v>276.36</v>
      </c>
      <c r="E33" s="147"/>
      <c r="F33" s="147"/>
      <c r="G33" s="685"/>
      <c r="H33" s="685"/>
      <c r="I33" s="685"/>
      <c r="J33" s="685"/>
      <c r="K33" s="147"/>
      <c r="L33" s="685"/>
      <c r="M33" s="685"/>
      <c r="N33" s="685"/>
      <c r="O33" s="701"/>
      <c r="P33" s="148"/>
      <c r="Q33" s="149"/>
    </row>
    <row r="34" spans="1:17" s="127" customFormat="1" ht="15">
      <c r="A34" s="145" t="s">
        <v>102</v>
      </c>
      <c r="B34" s="161">
        <f>+K22</f>
        <v>91</v>
      </c>
      <c r="C34" s="161">
        <f t="shared" si="0"/>
        <v>282</v>
      </c>
      <c r="D34" s="161">
        <f t="shared" si="0"/>
        <v>276.36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282</v>
      </c>
      <c r="D35" s="161">
        <f t="shared" si="0"/>
        <v>276.36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282</v>
      </c>
      <c r="D36" s="161">
        <f t="shared" si="0"/>
        <v>276.36</v>
      </c>
      <c r="E36" s="147"/>
      <c r="F36" s="147"/>
      <c r="G36" s="685"/>
      <c r="H36" s="685"/>
      <c r="I36" s="685"/>
      <c r="J36" s="685"/>
      <c r="K36" s="147"/>
      <c r="L36" s="685"/>
      <c r="M36" s="685"/>
      <c r="N36" s="685"/>
      <c r="O36" s="701"/>
      <c r="P36" s="148"/>
      <c r="Q36" s="149"/>
    </row>
    <row r="37" spans="1:17" s="127" customFormat="1" ht="15.75" thickBot="1">
      <c r="A37" s="150" t="s">
        <v>105</v>
      </c>
      <c r="B37" s="162">
        <f>+N22</f>
        <v>100</v>
      </c>
      <c r="C37" s="161">
        <f t="shared" si="0"/>
        <v>282</v>
      </c>
      <c r="D37" s="161">
        <f t="shared" si="0"/>
        <v>276.36</v>
      </c>
      <c r="E37" s="147"/>
      <c r="F37" s="147"/>
      <c r="G37" s="147"/>
      <c r="H37" s="147"/>
      <c r="I37" s="147"/>
      <c r="J37" s="147"/>
      <c r="K37" s="147"/>
      <c r="L37" s="685"/>
      <c r="M37" s="685"/>
      <c r="N37" s="685"/>
      <c r="O37" s="701"/>
      <c r="P37" s="148"/>
      <c r="Q37" s="149"/>
    </row>
    <row r="38" spans="1:17" s="127" customFormat="1" ht="15.75" thickBot="1">
      <c r="A38" s="152" t="s">
        <v>106</v>
      </c>
      <c r="B38" s="164">
        <f>+O22</f>
        <v>340</v>
      </c>
      <c r="C38" s="164">
        <f>+C37</f>
        <v>282</v>
      </c>
      <c r="D38" s="164">
        <f>+D37</f>
        <v>276.36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101.25" customHeight="1" thickBot="1">
      <c r="A45" s="682" t="str">
        <f>VLOOKUP(L12,Reporte!$N$5:$BZ$133,56,FALSE)</f>
        <v xml:space="preserve">​En el trimestre, se desarrollaron  79 actividades entre jornadas de atención, diálogos y procesos de capacitación, superando la meta establecida. Este sobre cumplimiento obedece a múltiples solicitudes adicionales por parte de los municipios, así como a la identificación de necesidades emergentes en los territorios relacionadas con el acceso, garantía y ejercicio efectivo del derecho a la salud.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63.75" customHeight="1" thickBot="1">
      <c r="A51" s="670" t="str">
        <f>VLOOKUP(L12,Reporte!$N$5:$BZ$133,59,FALSE)</f>
        <v xml:space="preserve">​Durante el Segundo trimestre del 2025 los eventos reportados para promover los derechos y deberes en salud y mecanismos de participación ciudadana en salud fueron 70 entre jornadas de atención, capacitaciones, seminarios y acompañamientos a diferentes entidades estatales.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90.75" customHeight="1" thickBot="1">
      <c r="A57" s="682" t="str">
        <f>VLOOKUP(L12,Reporte!$N$5:$BZ$133,62,FALSE)</f>
        <v xml:space="preserve">En el periodo reportado correspondiente al tercer trimestre de 2025,  se desarrollaron 89 actividades de 72 orientadas a promover los derechos y deberes en salud y los mecanismos de participación ciudadana, dirigidas a diferentes territorios del país, para un cumplimiento del  126%. Los 91 eventos se discriminan así: 48 jornadas de atención al usuario, 24 capacitaciones, 6 seminarios, 4 diálogos con la SuperSalud, 4 piezas lúdicas, 4 líder tiene la palabra y 1 acompañamiento. 
Como soporte de estas acciones, se entrega el cronograma con los municipios visitados, dentro de los cuales se destacan varios municipios con enfoque PDET (Programa de Desarrollo con Enfoque Territorial), priorizados por su condición de vulnerabilidad y necesidad de fortalecimiento institucional y de igual forma se encuentran actividades con grupos poblacionales de caracter diferencial (Población LGBTIQ+,cuidadores de personas con discapacidad, mujeres y personas con discapacidad auditiva).
En conclusión, se cumple con la meta.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​De las 70 actividades programadas en el cuarto trimestre se realizaron 100, lo que da un cumplimiento del 143 % frente a lo programado. Los 100 eventos se discriminan así: 48 jornadas de atención al usuario, 32 capacitaciones, 5 seminarios, 3 Conexión SuperSalud, 2 Diálogos con la SuperSalud, 3 piezas lúdicas, 3 Líder tiene la palabra y 4 acompañamientos). Este resultado obedece al fortalecimiento de las acciones de relacionamiento con la ciudadanía desarrolladas por el Grupo de Participación y Promoción.</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340 actividades de promoción de derechos y deberes en salud, con un sobrecumplimiento de 121% con respecto de la meta de 282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 ref="A8:B8"/>
    <mergeCell ref="C8:O8"/>
    <mergeCell ref="A9:B12"/>
    <mergeCell ref="C9:E9"/>
    <mergeCell ref="F9:I9"/>
    <mergeCell ref="J9:O9"/>
    <mergeCell ref="C10:E10"/>
    <mergeCell ref="F10:I12"/>
    <mergeCell ref="J10:K11"/>
    <mergeCell ref="L10:M11"/>
    <mergeCell ref="A13:O13"/>
    <mergeCell ref="A14:B14"/>
    <mergeCell ref="C14:E14"/>
    <mergeCell ref="F14:G14"/>
    <mergeCell ref="H14:L14"/>
    <mergeCell ref="M14:O14"/>
    <mergeCell ref="N10:O11"/>
    <mergeCell ref="C11:E11"/>
    <mergeCell ref="C12:E12"/>
    <mergeCell ref="J12:K12"/>
    <mergeCell ref="L12:M12"/>
    <mergeCell ref="N12:O12"/>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I38:J38"/>
    <mergeCell ref="A39:O39"/>
    <mergeCell ref="A40:O40"/>
    <mergeCell ref="A41:O41"/>
    <mergeCell ref="A42:O42"/>
    <mergeCell ref="G34:H34"/>
    <mergeCell ref="I34:J34"/>
    <mergeCell ref="G35:H35"/>
    <mergeCell ref="I35:J35"/>
    <mergeCell ref="G36:H36"/>
    <mergeCell ref="I36:J36"/>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67:D67"/>
    <mergeCell ref="E67:F67"/>
    <mergeCell ref="A55:O55"/>
    <mergeCell ref="A56:O56"/>
    <mergeCell ref="A57:O57"/>
    <mergeCell ref="A58:O58"/>
    <mergeCell ref="A59:O59"/>
    <mergeCell ref="A60:O60"/>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79A44-AABD-4785-A7D0-3332E6C14DF2}">
  <sheetPr codeName="Hoja52"/>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 xml:space="preserve">Actividades desarrolladas en el ámbito de la política de servicio al ciudadano </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15.75">
      <c r="A8" s="792" t="s">
        <v>1594</v>
      </c>
      <c r="B8" s="774"/>
      <c r="C8" s="711" t="str">
        <f>VLOOKUP(L12,Reporte!$A$5:$N$133,13,FALSE)</f>
        <v>Ejecutar actividades para la implementación de la política de Servicio al Ciudadano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total de actividades desarrolladas en el periodo.</v>
      </c>
      <c r="D10" s="711"/>
      <c r="E10" s="711"/>
      <c r="F10" s="799" t="str">
        <f>VLOOKUP(L12,Reporte!$N$5:$BN$133,6,FALSE)</f>
        <v>Este indicador mide el número de actividades del plan de brechas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440</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30</v>
      </c>
      <c r="D15" s="826"/>
      <c r="E15" s="827"/>
      <c r="F15" s="740" t="str">
        <f>VLOOKUP(L12,Reporte!$N$5:$BN$133,9,FALSE)</f>
        <v>Trimestral</v>
      </c>
      <c r="G15" s="741"/>
      <c r="H15" s="707" t="s">
        <v>37</v>
      </c>
      <c r="I15" s="707"/>
      <c r="J15" s="746" t="s">
        <v>1595</v>
      </c>
      <c r="K15" s="747"/>
      <c r="L15" s="748"/>
      <c r="M15" s="775" t="str">
        <f>VLOOKUP(L12,Reporte!$N$5:$BN$133,28,FALSE)</f>
        <v xml:space="preserve">Delegatura para la Protección al Usuario </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7</v>
      </c>
      <c r="F22" s="139">
        <f>VLOOKUP(L12,Reporte!$N$5:$BN$133,33,FALSE)</f>
        <v>0</v>
      </c>
      <c r="G22" s="132">
        <f>VLOOKUP(L12,Reporte!$N$5:$BN$133,34,FALSE)</f>
        <v>0</v>
      </c>
      <c r="H22" s="139">
        <f>VLOOKUP(L12,Reporte!$N$5:$BN$133,35,FALSE)</f>
        <v>11</v>
      </c>
      <c r="I22" s="132">
        <f>VLOOKUP(L12,Reporte!$N$5:$BN$133,36,FALSE)</f>
        <v>0</v>
      </c>
      <c r="J22" s="139">
        <f>VLOOKUP(L12,Reporte!$N$5:$BN$133,37,FALSE)</f>
        <v>0</v>
      </c>
      <c r="K22" s="139">
        <f>VLOOKUP(L12,Reporte!$N$5:$BN$133,38,FALSE)</f>
        <v>10</v>
      </c>
      <c r="L22" s="139">
        <f>VLOOKUP(L12,Reporte!$N$5:$BN$133,39,FALSE)</f>
        <v>0</v>
      </c>
      <c r="M22" s="139">
        <f>VLOOKUP(L12,Reporte!$N$5:$BN$133,40,FALSE)</f>
        <v>0</v>
      </c>
      <c r="N22" s="133">
        <f>VLOOKUP(L12,Reporte!$N$5:$BN$133,41,FALSE)</f>
        <v>13</v>
      </c>
      <c r="O22" s="133">
        <f>SUM(C22:N22)</f>
        <v>41</v>
      </c>
      <c r="P22" s="128"/>
    </row>
    <row r="23" spans="1:17" ht="16.5" thickBot="1">
      <c r="A23" s="690" t="s">
        <v>76</v>
      </c>
      <c r="B23" s="691"/>
      <c r="C23" s="140">
        <f>VLOOKUP(L12,Reporte!$N$5:$BN$133,42,FALSE)</f>
        <v>0</v>
      </c>
      <c r="D23" s="140">
        <f>VLOOKUP(L12,Reporte!$N$5:$BN$133,43,FALSE)</f>
        <v>0</v>
      </c>
      <c r="E23" s="140">
        <f>VLOOKUP(L12,Reporte!$N$5:$BN$133,44,FALSE)</f>
        <v>5</v>
      </c>
      <c r="F23" s="140">
        <f>VLOOKUP(L12,Reporte!$N$5:$BN$133,45,FALSE)</f>
        <v>0</v>
      </c>
      <c r="G23" s="140">
        <f>VLOOKUP(L12,Reporte!$N$5:$BN$133,46,FALSE)</f>
        <v>0</v>
      </c>
      <c r="H23" s="140">
        <f>VLOOKUP(L12,Reporte!$N$5:$BN$133,47,FALSE)</f>
        <v>10</v>
      </c>
      <c r="I23" s="140">
        <f>VLOOKUP(L12,Reporte!$N$5:$BN$133,48,FALSE)</f>
        <v>0</v>
      </c>
      <c r="J23" s="140">
        <f>VLOOKUP(L12,Reporte!$N$5:$BN$133,49,FALSE)</f>
        <v>0</v>
      </c>
      <c r="K23" s="140">
        <f>VLOOKUP(L12,Reporte!$N$5:$BN$133,50,FALSE)</f>
        <v>10</v>
      </c>
      <c r="L23" s="140">
        <f>VLOOKUP(L12,Reporte!$N$5:$BN$133,51,FALSE)</f>
        <v>0</v>
      </c>
      <c r="M23" s="140">
        <f>VLOOKUP(L12,Reporte!$N$5:$BN$133,52,FALSE)</f>
        <v>0</v>
      </c>
      <c r="N23" s="141">
        <f>VLOOKUP(L12,Reporte!$N$5:$BN$133,53,FALSE)</f>
        <v>5</v>
      </c>
      <c r="O23" s="133">
        <f>SUM(C23:N23)</f>
        <v>30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30</v>
      </c>
      <c r="D26" s="161">
        <f>+C26*0.98</f>
        <v>29.4</v>
      </c>
      <c r="E26" s="147"/>
      <c r="F26" s="147"/>
      <c r="G26" s="685"/>
      <c r="H26" s="685"/>
      <c r="I26" s="699"/>
      <c r="J26" s="699"/>
      <c r="K26" s="699"/>
      <c r="L26" s="685"/>
      <c r="M26" s="685"/>
      <c r="N26" s="685"/>
      <c r="O26" s="701"/>
      <c r="P26" s="148"/>
      <c r="Q26" s="149"/>
    </row>
    <row r="27" spans="1:17" s="127" customFormat="1" ht="15">
      <c r="A27" s="145" t="s">
        <v>95</v>
      </c>
      <c r="B27" s="161">
        <f>+D22</f>
        <v>0</v>
      </c>
      <c r="C27" s="161">
        <f>+C26</f>
        <v>30</v>
      </c>
      <c r="D27" s="161">
        <f>+D26</f>
        <v>29.4</v>
      </c>
      <c r="E27" s="147"/>
      <c r="F27" s="147"/>
      <c r="G27" s="685"/>
      <c r="H27" s="685"/>
      <c r="I27" s="685"/>
      <c r="J27" s="685"/>
      <c r="K27" s="147"/>
      <c r="L27" s="685"/>
      <c r="M27" s="685"/>
      <c r="N27" s="685"/>
      <c r="O27" s="701"/>
      <c r="P27" s="148"/>
      <c r="Q27" s="149"/>
    </row>
    <row r="28" spans="1:17" s="127" customFormat="1" ht="15">
      <c r="A28" s="145" t="s">
        <v>96</v>
      </c>
      <c r="B28" s="161">
        <f>+E22</f>
        <v>7</v>
      </c>
      <c r="C28" s="161">
        <f t="shared" ref="C28:D37" si="0">+C27</f>
        <v>30</v>
      </c>
      <c r="D28" s="161">
        <f t="shared" si="0"/>
        <v>29.4</v>
      </c>
      <c r="E28" s="147"/>
      <c r="F28" s="147"/>
      <c r="G28" s="685"/>
      <c r="H28" s="685"/>
      <c r="I28" s="685"/>
      <c r="J28" s="685"/>
      <c r="K28" s="147"/>
      <c r="L28" s="685"/>
      <c r="M28" s="685"/>
      <c r="N28" s="685"/>
      <c r="O28" s="701"/>
      <c r="P28" s="148"/>
      <c r="Q28" s="149"/>
    </row>
    <row r="29" spans="1:17" s="127" customFormat="1" ht="15">
      <c r="A29" s="145" t="s">
        <v>97</v>
      </c>
      <c r="B29" s="161">
        <f>+F22</f>
        <v>0</v>
      </c>
      <c r="C29" s="161">
        <f t="shared" si="0"/>
        <v>30</v>
      </c>
      <c r="D29" s="161">
        <f t="shared" si="0"/>
        <v>29.4</v>
      </c>
      <c r="E29" s="147"/>
      <c r="F29" s="147"/>
      <c r="G29" s="685"/>
      <c r="H29" s="685"/>
      <c r="I29" s="685"/>
      <c r="J29" s="685"/>
      <c r="K29" s="147"/>
      <c r="L29" s="685"/>
      <c r="M29" s="685"/>
      <c r="N29" s="685"/>
      <c r="O29" s="701"/>
      <c r="P29" s="148"/>
      <c r="Q29" s="149"/>
    </row>
    <row r="30" spans="1:17" s="127" customFormat="1" ht="15">
      <c r="A30" s="145" t="s">
        <v>98</v>
      </c>
      <c r="B30" s="161">
        <f>+G22</f>
        <v>0</v>
      </c>
      <c r="C30" s="161">
        <f t="shared" si="0"/>
        <v>30</v>
      </c>
      <c r="D30" s="161">
        <f t="shared" si="0"/>
        <v>29.4</v>
      </c>
      <c r="E30" s="147"/>
      <c r="F30" s="147"/>
      <c r="G30" s="685"/>
      <c r="H30" s="685"/>
      <c r="I30" s="685"/>
      <c r="J30" s="685"/>
      <c r="K30" s="147"/>
      <c r="L30" s="685"/>
      <c r="M30" s="685"/>
      <c r="N30" s="685"/>
      <c r="O30" s="701"/>
      <c r="P30" s="148"/>
      <c r="Q30" s="149"/>
    </row>
    <row r="31" spans="1:17" s="127" customFormat="1" ht="15">
      <c r="A31" s="145" t="s">
        <v>99</v>
      </c>
      <c r="B31" s="161">
        <f>+H22</f>
        <v>11</v>
      </c>
      <c r="C31" s="161">
        <f t="shared" si="0"/>
        <v>30</v>
      </c>
      <c r="D31" s="161">
        <f t="shared" si="0"/>
        <v>29.4</v>
      </c>
      <c r="E31" s="147"/>
      <c r="F31" s="147"/>
      <c r="G31" s="685"/>
      <c r="H31" s="685"/>
      <c r="I31" s="685"/>
      <c r="J31" s="685"/>
      <c r="K31" s="147"/>
      <c r="L31" s="685"/>
      <c r="M31" s="685"/>
      <c r="N31" s="685"/>
      <c r="O31" s="701"/>
      <c r="P31" s="148"/>
      <c r="Q31" s="149"/>
    </row>
    <row r="32" spans="1:17" s="127" customFormat="1" ht="15">
      <c r="A32" s="145" t="s">
        <v>100</v>
      </c>
      <c r="B32" s="161">
        <f>+I22</f>
        <v>0</v>
      </c>
      <c r="C32" s="161">
        <f t="shared" si="0"/>
        <v>30</v>
      </c>
      <c r="D32" s="161">
        <f t="shared" si="0"/>
        <v>29.4</v>
      </c>
      <c r="E32" s="147"/>
      <c r="F32" s="147"/>
      <c r="G32" s="685"/>
      <c r="H32" s="685"/>
      <c r="I32" s="685"/>
      <c r="J32" s="685"/>
      <c r="K32" s="147"/>
      <c r="L32" s="685"/>
      <c r="M32" s="685"/>
      <c r="N32" s="685"/>
      <c r="O32" s="701"/>
      <c r="P32" s="148"/>
      <c r="Q32" s="149"/>
    </row>
    <row r="33" spans="1:17" s="127" customFormat="1" ht="15">
      <c r="A33" s="145" t="s">
        <v>101</v>
      </c>
      <c r="B33" s="161">
        <f>+J22</f>
        <v>0</v>
      </c>
      <c r="C33" s="161">
        <f t="shared" si="0"/>
        <v>30</v>
      </c>
      <c r="D33" s="161">
        <f t="shared" si="0"/>
        <v>29.4</v>
      </c>
      <c r="E33" s="147"/>
      <c r="F33" s="147"/>
      <c r="G33" s="685"/>
      <c r="H33" s="685"/>
      <c r="I33" s="685"/>
      <c r="J33" s="685"/>
      <c r="K33" s="147"/>
      <c r="L33" s="685"/>
      <c r="M33" s="685"/>
      <c r="N33" s="685"/>
      <c r="O33" s="701"/>
      <c r="P33" s="148"/>
      <c r="Q33" s="149"/>
    </row>
    <row r="34" spans="1:17" s="127" customFormat="1" ht="15">
      <c r="A34" s="145" t="s">
        <v>102</v>
      </c>
      <c r="B34" s="161">
        <f>+K22</f>
        <v>10</v>
      </c>
      <c r="C34" s="161">
        <f t="shared" si="0"/>
        <v>30</v>
      </c>
      <c r="D34" s="161">
        <f t="shared" si="0"/>
        <v>29.4</v>
      </c>
      <c r="E34" s="147"/>
      <c r="F34" s="147"/>
      <c r="G34" s="685"/>
      <c r="H34" s="685"/>
      <c r="I34" s="685"/>
      <c r="J34" s="685"/>
      <c r="K34" s="147"/>
      <c r="L34" s="685"/>
      <c r="M34" s="685"/>
      <c r="N34" s="685"/>
      <c r="O34" s="701"/>
      <c r="P34" s="148"/>
      <c r="Q34" s="149"/>
    </row>
    <row r="35" spans="1:17" s="127" customFormat="1" ht="15">
      <c r="A35" s="145" t="s">
        <v>103</v>
      </c>
      <c r="B35" s="161">
        <f>+L22</f>
        <v>0</v>
      </c>
      <c r="C35" s="161">
        <f t="shared" si="0"/>
        <v>30</v>
      </c>
      <c r="D35" s="161">
        <f t="shared" si="0"/>
        <v>29.4</v>
      </c>
      <c r="E35" s="147"/>
      <c r="F35" s="147"/>
      <c r="G35" s="685"/>
      <c r="H35" s="685"/>
      <c r="I35" s="685"/>
      <c r="J35" s="685"/>
      <c r="K35" s="147"/>
      <c r="L35" s="685"/>
      <c r="M35" s="685"/>
      <c r="N35" s="685"/>
      <c r="O35" s="701"/>
      <c r="P35" s="148"/>
      <c r="Q35" s="149"/>
    </row>
    <row r="36" spans="1:17" s="127" customFormat="1" ht="15">
      <c r="A36" s="145" t="s">
        <v>104</v>
      </c>
      <c r="B36" s="161">
        <f>+M22</f>
        <v>0</v>
      </c>
      <c r="C36" s="161">
        <f t="shared" si="0"/>
        <v>30</v>
      </c>
      <c r="D36" s="161">
        <f t="shared" si="0"/>
        <v>29.4</v>
      </c>
      <c r="E36" s="147"/>
      <c r="F36" s="147"/>
      <c r="G36" s="685"/>
      <c r="H36" s="685"/>
      <c r="I36" s="685"/>
      <c r="J36" s="685"/>
      <c r="K36" s="147"/>
      <c r="L36" s="685"/>
      <c r="M36" s="685"/>
      <c r="N36" s="685"/>
      <c r="O36" s="701"/>
      <c r="P36" s="148"/>
      <c r="Q36" s="149"/>
    </row>
    <row r="37" spans="1:17" s="127" customFormat="1" ht="15.75" thickBot="1">
      <c r="A37" s="150" t="s">
        <v>105</v>
      </c>
      <c r="B37" s="162">
        <f>+N22</f>
        <v>13</v>
      </c>
      <c r="C37" s="161">
        <f t="shared" si="0"/>
        <v>30</v>
      </c>
      <c r="D37" s="161">
        <f t="shared" si="0"/>
        <v>29.4</v>
      </c>
      <c r="E37" s="147"/>
      <c r="F37" s="147"/>
      <c r="G37" s="147"/>
      <c r="H37" s="147"/>
      <c r="I37" s="147"/>
      <c r="J37" s="147"/>
      <c r="K37" s="147"/>
      <c r="L37" s="685"/>
      <c r="M37" s="685"/>
      <c r="N37" s="685"/>
      <c r="O37" s="701"/>
      <c r="P37" s="148"/>
      <c r="Q37" s="149"/>
    </row>
    <row r="38" spans="1:17" s="127" customFormat="1" ht="15.75" thickBot="1">
      <c r="A38" s="152" t="s">
        <v>106</v>
      </c>
      <c r="B38" s="164">
        <f>+O22</f>
        <v>41</v>
      </c>
      <c r="C38" s="164">
        <f>+C37</f>
        <v>30</v>
      </c>
      <c r="D38" s="164">
        <f>+D37</f>
        <v>29.4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101.25" customHeight="1" thickBot="1">
      <c r="A45" s="682" t="str">
        <f>VLOOKUP(L12,Reporte!$N$5:$BZ$133,56,FALSE)</f>
        <v xml:space="preserve">​Se ejecutaron diversas actividades en cumplimiento a  la implementación de la política de Servicio al Ciudadano, como:                                                      
   * Implementar acciones para articular con las dependencias y áreas para el Relacionamiento con la Ciudadanía y Grupos Valor.
   *Desarrollar los escenarios de relacionamiento             
  *Realizar ejercicios de Benchmarking.                                                
   *Revisar y ajustar los Manuales, Protocolos, Documentos.                                                                                
  *Socializar, sensibilizar y capacitar en temática relevante de servicio al ciudadano.  
 *Realizar campañas de ortografía en el marco de los lineamientos nacionales del Lenguaje Claro.
*Transformar, actualizar o ajustar las respuestas de los Derechos de Petición y Solicitudes de Información.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63.75" customHeight="1" thickBot="1">
      <c r="A51" s="670" t="str">
        <f>VLOOKUP(L12,Reporte!$N$5:$BZ$133,59,FALSE)</f>
        <v xml:space="preserve">​Se entregan 11 actividades que desde la política de Servicio al Ciudadano se desarrollaron en el segundo trimestre de la presente anualidad,                                                                          
* Desarrollar de los escenarios de relacionamiento (ferias, festivales, jornadas itinerantes, etc.) 5 actividades                     
* Gestionar los espacios de encuentros sectoriales del Ministerio de Salud y Protección Social para el seguimiento e implementación del MISC. 2 actividades                                          
* Implementar acciones para articular con las dependencias  para el mejoramiento del relacionamiento. 2 actividades           
* Realizar talleres y charlas sobre el Lenguaje Claro dirigidas a las servidoras y servidores públicos de la entidad. 2 actividades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123.75" customHeight="1" thickBot="1">
      <c r="A57" s="682" t="str">
        <f>VLOOKUP(L12,Reporte!$N$5:$BZ$133,62,FALSE)</f>
        <v xml:space="preserve">Durante la vigencia, la entidad avanzó en la implementación y fortalecimiento de la Pólitica de Servicio al Ciudadano, orientando las acciones hacia la mejora de la experiencia de los ciudadanos.
Se desarrollaron las siguientes acciones principales:
- Fortalecimiento de canales de atención: Se mantuvieron y optimizaron los canales presenciales, telefónicos y virtuales, garantizando la atención oportuna y eficaz a las solicitudes, quejas, reclamos y peticiones de la ciudadanía.
- Capacitación al talento humano: Se realizaron jornadas de formación para los servidores públicos en temas de servicio al ciudadano y atención con enfoque diferencial .
- Mejoras en formatos de respuestas a PQR y solicitudes de información en el marco de leguaje claro.
-  Acciones de participación ciudadana: Se llevaron a cabo espacios de diálogo y atención que permitieron a la ciudadanía conocer los avances de la entidad y participar en la construcción de mejoras al servicio.
En general, las acciones ejecutadas reflejan el compromiso institucional con la transparencia, la eficiencia y la calidad en la prestación de los servicios, contribuyendo al fortalecimiento de la confianza ciudadana en la gestión pública.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62" customHeight="1" thickBot="1">
      <c r="A63" s="673" t="str">
        <f>VLOOKUP(L12,Reporte!$N$5:$BZ$133,65,FALSE)</f>
        <v xml:space="preserve">De 5 actividades programadas se realizaron 13 en el trimestre, lo que da un cumplimiento del 260% frente a la meta programada de 5. Esto se debe a que se desarrollaron de las siguientes acciones principales:
Fortalecimiento de canales de atención: Se mantuvieron y optimizaron los canales presenciales, telefónicos y virtuales, garantizando la atención oportuna y eficaz a las solicitudes, quejas, reclamos y peticiones de la ciudadanía.
Capacitación al talento humano: Se realizaron jornadas de formación para los servidores públicos en temas de servicio al ciudadano y atención con enfoque diferencial .
Mejoras en formatos de respuestas a PQR y solicitudes de información en el marco de leguaje claro.
Actualziación de manuales: Durante la vigencia se actualizaron documentos claves del proceso de Relacionamiento con la Ciudadania y Grupos de Valor . (Manual Operativo y Manual de Protocolo)
Encuentros Sectoriales: Se gestionaron espacios de encuentros sectoriales en el marco del Modelo Integrado de Servicio al Ciudadano MISC con el Ministerio de Salud y Protección Social para fortalecer el cumplimiento de los estandares del modelo y espacios de buenas practicas.
En general, las acciones ejecutadas reflejan el compromiso institucional con la transparencia, la eficiencia y la calidad en la prestación de los servicios, contribuyendo al fortalecimiento de la confianza ciudadana en la gestión pública.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41 actividades en el ámbito de la política de servicio al ciudadano, con un sobrecumplimiento del 137% con respecto de la meta de 30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D0BCC-13E4-4DAA-B966-7FE43F65434A}">
  <sheetPr codeName="Hoja5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AUDITORÍAS</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Auditorías realizadas a los vigilados por parte de la Delegada de Protección al Usuario</v>
      </c>
      <c r="D6" s="711"/>
      <c r="E6" s="711"/>
      <c r="F6" s="711"/>
      <c r="G6" s="711"/>
      <c r="H6" s="711"/>
      <c r="I6" s="711"/>
      <c r="J6" s="711"/>
      <c r="K6" s="711"/>
      <c r="L6" s="711"/>
      <c r="M6" s="711"/>
      <c r="N6" s="711"/>
      <c r="O6" s="791"/>
      <c r="P6" s="128"/>
    </row>
    <row r="7" spans="1:17" ht="48" customHeight="1">
      <c r="A7" s="789" t="s">
        <v>10</v>
      </c>
      <c r="B7" s="790"/>
      <c r="C7" s="711" t="str">
        <f>VLOOKUP(L12,Reporte!A5:M133,10,FALSE)</f>
        <v>Desarrollar acciones de inspección a través de análisis específicos y requerimientos, con el fin de identificar las brechas existentes entre lo establecido por la ley y lo que realmente están desarrollando nuestros grupos de valor y de esta manera poder identificar acciones para reducir estas brechas, buscando la protección de los derechos de los usuarios del Sistema General de Seguridad Social en Salud- SGSSS. </v>
      </c>
      <c r="D7" s="711"/>
      <c r="E7" s="711"/>
      <c r="F7" s="711"/>
      <c r="G7" s="711"/>
      <c r="H7" s="711"/>
      <c r="I7" s="711"/>
      <c r="J7" s="711"/>
      <c r="K7" s="711"/>
      <c r="L7" s="711"/>
      <c r="M7" s="711"/>
      <c r="N7" s="711"/>
      <c r="O7" s="791"/>
      <c r="P7" s="128"/>
    </row>
    <row r="8" spans="1:17" ht="32.25" customHeight="1">
      <c r="A8" s="792" t="s">
        <v>1594</v>
      </c>
      <c r="B8" s="774"/>
      <c r="C8" s="711" t="str">
        <f>VLOOKUP(L12,Reporte!$A$5:$N$133,13,FALSE)</f>
        <v>Realizar auditorías de inspección y vigilancia a los vigilados relacionadas con el Sistema de Información y Atención al Usuario - SIAU, mecanismos de Participación Ciudadana y sistema PQRD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 Número de auditorías ejecutadas</v>
      </c>
      <c r="D10" s="711"/>
      <c r="E10" s="711"/>
      <c r="F10" s="799" t="str">
        <f>VLOOKUP(L12,Reporte!$N$5:$BN$133,6,FALSE)</f>
        <v>Este indicador mide número de auditorías realizadas a los  vigilados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214</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120</v>
      </c>
      <c r="D15" s="826"/>
      <c r="E15" s="827"/>
      <c r="F15" s="740" t="str">
        <f>VLOOKUP(L12,Reporte!$N$5:$BN$133,9,FALSE)</f>
        <v>Trimestral</v>
      </c>
      <c r="G15" s="741"/>
      <c r="H15" s="707" t="s">
        <v>37</v>
      </c>
      <c r="I15" s="707"/>
      <c r="J15" s="746" t="s">
        <v>1595</v>
      </c>
      <c r="K15" s="747"/>
      <c r="L15" s="748"/>
      <c r="M15" s="775" t="str">
        <f>VLOOKUP(L12,Reporte!$N$5:$BN$133,28,FALSE)</f>
        <v xml:space="preserve">Delegatura para la Protección al Usuario </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33</v>
      </c>
      <c r="F22" s="139">
        <f>VLOOKUP(L12,Reporte!$N$5:$BN$133,33,FALSE)</f>
        <v>0</v>
      </c>
      <c r="G22" s="132">
        <f>VLOOKUP(L12,Reporte!$N$5:$BN$133,34,FALSE)</f>
        <v>0</v>
      </c>
      <c r="H22" s="139">
        <f>VLOOKUP(L12,Reporte!$N$5:$BN$133,35,FALSE)</f>
        <v>33</v>
      </c>
      <c r="I22" s="132">
        <f>VLOOKUP(L12,Reporte!$N$5:$BN$133,36,FALSE)</f>
        <v>0</v>
      </c>
      <c r="J22" s="139">
        <f>VLOOKUP(L12,Reporte!$N$5:$BN$133,37,FALSE)</f>
        <v>0</v>
      </c>
      <c r="K22" s="139">
        <f>VLOOKUP(L12,Reporte!$N$5:$BN$133,38,FALSE)</f>
        <v>26</v>
      </c>
      <c r="L22" s="139">
        <f>VLOOKUP(L12,Reporte!$N$5:$BN$133,39,FALSE)</f>
        <v>0</v>
      </c>
      <c r="M22" s="139">
        <f>VLOOKUP(L12,Reporte!$N$5:$BN$133,40,FALSE)</f>
        <v>0</v>
      </c>
      <c r="N22" s="133">
        <f>VLOOKUP(L12,Reporte!$N$5:$BN$133,41,FALSE)</f>
        <v>28</v>
      </c>
      <c r="O22" s="133">
        <f>SUM(C22:N22)</f>
        <v>120</v>
      </c>
      <c r="P22" s="128"/>
    </row>
    <row r="23" spans="1:17" ht="16.5" thickBot="1">
      <c r="A23" s="690" t="s">
        <v>76</v>
      </c>
      <c r="B23" s="691"/>
      <c r="C23" s="140">
        <f>VLOOKUP(L12,Reporte!$N$5:$BN$133,42,FALSE)</f>
        <v>0</v>
      </c>
      <c r="D23" s="140">
        <f>VLOOKUP(L12,Reporte!$N$5:$BN$133,43,FALSE)</f>
        <v>0</v>
      </c>
      <c r="E23" s="140">
        <f>VLOOKUP(L12,Reporte!$N$5:$BN$133,44,FALSE)</f>
        <v>27</v>
      </c>
      <c r="F23" s="140">
        <f>VLOOKUP(L12,Reporte!$N$5:$BN$133,45,FALSE)</f>
        <v>0</v>
      </c>
      <c r="G23" s="140">
        <f>VLOOKUP(L12,Reporte!$N$5:$BN$133,46,FALSE)</f>
        <v>0</v>
      </c>
      <c r="H23" s="140">
        <f>VLOOKUP(L12,Reporte!$N$5:$BN$133,47,FALSE)</f>
        <v>38</v>
      </c>
      <c r="I23" s="140">
        <f>VLOOKUP(L12,Reporte!$N$5:$BN$133,48,FALSE)</f>
        <v>0</v>
      </c>
      <c r="J23" s="140">
        <f>VLOOKUP(L12,Reporte!$N$5:$BN$133,49,FALSE)</f>
        <v>0</v>
      </c>
      <c r="K23" s="140">
        <f>VLOOKUP(L12,Reporte!$N$5:$BN$133,50,FALSE)</f>
        <v>27</v>
      </c>
      <c r="L23" s="140">
        <f>VLOOKUP(L12,Reporte!$N$5:$BN$133,51,FALSE)</f>
        <v>0</v>
      </c>
      <c r="M23" s="140">
        <f>VLOOKUP(L12,Reporte!$N$5:$BN$133,52,FALSE)</f>
        <v>0</v>
      </c>
      <c r="N23" s="141">
        <f>VLOOKUP(L12,Reporte!$N$5:$BN$133,53,FALSE)</f>
        <v>28</v>
      </c>
      <c r="O23" s="133">
        <f>SUM(C23:N23)</f>
        <v>120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120</v>
      </c>
      <c r="D26" s="161">
        <f>+C26*0.98</f>
        <v>117.6</v>
      </c>
      <c r="E26" s="147"/>
      <c r="F26" s="147"/>
      <c r="G26" s="685"/>
      <c r="H26" s="685"/>
      <c r="I26" s="699"/>
      <c r="J26" s="699"/>
      <c r="K26" s="699"/>
      <c r="L26" s="685"/>
      <c r="M26" s="685"/>
      <c r="N26" s="685"/>
      <c r="O26" s="701"/>
      <c r="P26" s="148"/>
      <c r="Q26" s="149"/>
    </row>
    <row r="27" spans="1:17" s="127" customFormat="1" ht="15">
      <c r="A27" s="145" t="s">
        <v>95</v>
      </c>
      <c r="B27" s="161">
        <f>+D22</f>
        <v>0</v>
      </c>
      <c r="C27" s="161">
        <f>+C26</f>
        <v>120</v>
      </c>
      <c r="D27" s="161">
        <f>+D26</f>
        <v>117.6</v>
      </c>
      <c r="E27" s="147"/>
      <c r="F27" s="147"/>
      <c r="G27" s="685"/>
      <c r="H27" s="685"/>
      <c r="I27" s="685"/>
      <c r="J27" s="685"/>
      <c r="K27" s="147"/>
      <c r="L27" s="685"/>
      <c r="M27" s="685"/>
      <c r="N27" s="685"/>
      <c r="O27" s="701"/>
      <c r="P27" s="148"/>
      <c r="Q27" s="149"/>
    </row>
    <row r="28" spans="1:17" s="127" customFormat="1" ht="15">
      <c r="A28" s="145" t="s">
        <v>96</v>
      </c>
      <c r="B28" s="161">
        <f>+E22</f>
        <v>33</v>
      </c>
      <c r="C28" s="161">
        <f t="shared" ref="C28:D37" si="0">+C27</f>
        <v>120</v>
      </c>
      <c r="D28" s="161">
        <f t="shared" si="0"/>
        <v>117.6</v>
      </c>
      <c r="E28" s="147"/>
      <c r="F28" s="147"/>
      <c r="G28" s="685"/>
      <c r="H28" s="685"/>
      <c r="I28" s="685"/>
      <c r="J28" s="685"/>
      <c r="K28" s="147"/>
      <c r="L28" s="685"/>
      <c r="M28" s="685"/>
      <c r="N28" s="685"/>
      <c r="O28" s="701"/>
      <c r="P28" s="148"/>
      <c r="Q28" s="149"/>
    </row>
    <row r="29" spans="1:17" s="127" customFormat="1" ht="15">
      <c r="A29" s="145" t="s">
        <v>97</v>
      </c>
      <c r="B29" s="161">
        <f>+F22</f>
        <v>0</v>
      </c>
      <c r="C29" s="161">
        <f t="shared" si="0"/>
        <v>120</v>
      </c>
      <c r="D29" s="161">
        <f t="shared" si="0"/>
        <v>117.6</v>
      </c>
      <c r="E29" s="147"/>
      <c r="F29" s="147"/>
      <c r="G29" s="685"/>
      <c r="H29" s="685"/>
      <c r="I29" s="685"/>
      <c r="J29" s="685"/>
      <c r="K29" s="147"/>
      <c r="L29" s="685"/>
      <c r="M29" s="685"/>
      <c r="N29" s="685"/>
      <c r="O29" s="701"/>
      <c r="P29" s="148"/>
      <c r="Q29" s="149"/>
    </row>
    <row r="30" spans="1:17" s="127" customFormat="1" ht="15">
      <c r="A30" s="145" t="s">
        <v>98</v>
      </c>
      <c r="B30" s="161">
        <f>+G22</f>
        <v>0</v>
      </c>
      <c r="C30" s="161">
        <f t="shared" si="0"/>
        <v>120</v>
      </c>
      <c r="D30" s="161">
        <f t="shared" si="0"/>
        <v>117.6</v>
      </c>
      <c r="E30" s="147"/>
      <c r="F30" s="147"/>
      <c r="G30" s="685"/>
      <c r="H30" s="685"/>
      <c r="I30" s="685"/>
      <c r="J30" s="685"/>
      <c r="K30" s="147"/>
      <c r="L30" s="685"/>
      <c r="M30" s="685"/>
      <c r="N30" s="685"/>
      <c r="O30" s="701"/>
      <c r="P30" s="148"/>
      <c r="Q30" s="149"/>
    </row>
    <row r="31" spans="1:17" s="127" customFormat="1" ht="15">
      <c r="A31" s="145" t="s">
        <v>99</v>
      </c>
      <c r="B31" s="161">
        <f>+H22</f>
        <v>33</v>
      </c>
      <c r="C31" s="161">
        <f t="shared" si="0"/>
        <v>120</v>
      </c>
      <c r="D31" s="161">
        <f t="shared" si="0"/>
        <v>117.6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120</v>
      </c>
      <c r="D32" s="161">
        <f t="shared" si="0"/>
        <v>117.6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120</v>
      </c>
      <c r="D33" s="161">
        <f t="shared" si="0"/>
        <v>117.6</v>
      </c>
      <c r="E33" s="147"/>
      <c r="F33" s="147"/>
      <c r="G33" s="685"/>
      <c r="H33" s="685"/>
      <c r="I33" s="685"/>
      <c r="J33" s="685"/>
      <c r="K33" s="147"/>
      <c r="L33" s="685"/>
      <c r="M33" s="685"/>
      <c r="N33" s="685"/>
      <c r="O33" s="701"/>
      <c r="P33" s="148"/>
      <c r="Q33" s="149"/>
    </row>
    <row r="34" spans="1:17" s="127" customFormat="1" ht="15">
      <c r="A34" s="145" t="s">
        <v>102</v>
      </c>
      <c r="B34" s="161">
        <f>+K22</f>
        <v>26</v>
      </c>
      <c r="C34" s="161">
        <f t="shared" si="0"/>
        <v>120</v>
      </c>
      <c r="D34" s="161">
        <f t="shared" si="0"/>
        <v>117.6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120</v>
      </c>
      <c r="D35" s="161">
        <f t="shared" si="0"/>
        <v>117.6</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120</v>
      </c>
      <c r="D36" s="161">
        <f t="shared" si="0"/>
        <v>117.6</v>
      </c>
      <c r="E36" s="147"/>
      <c r="F36" s="147"/>
      <c r="G36" s="685"/>
      <c r="H36" s="685"/>
      <c r="I36" s="685"/>
      <c r="J36" s="685"/>
      <c r="K36" s="147"/>
      <c r="L36" s="685"/>
      <c r="M36" s="685"/>
      <c r="N36" s="685"/>
      <c r="O36" s="701"/>
      <c r="P36" s="148"/>
      <c r="Q36" s="149"/>
    </row>
    <row r="37" spans="1:17" s="127" customFormat="1" ht="15.75" thickBot="1">
      <c r="A37" s="150" t="s">
        <v>105</v>
      </c>
      <c r="B37" s="162">
        <f>+N22</f>
        <v>28</v>
      </c>
      <c r="C37" s="161">
        <f t="shared" si="0"/>
        <v>120</v>
      </c>
      <c r="D37" s="161">
        <f t="shared" si="0"/>
        <v>117.6</v>
      </c>
      <c r="E37" s="147"/>
      <c r="F37" s="147"/>
      <c r="G37" s="147"/>
      <c r="H37" s="147"/>
      <c r="I37" s="147"/>
      <c r="J37" s="147"/>
      <c r="K37" s="147"/>
      <c r="L37" s="685"/>
      <c r="M37" s="685"/>
      <c r="N37" s="685"/>
      <c r="O37" s="701"/>
      <c r="P37" s="148"/>
      <c r="Q37" s="149"/>
    </row>
    <row r="38" spans="1:17" s="127" customFormat="1" ht="15.75" thickBot="1">
      <c r="A38" s="152" t="s">
        <v>106</v>
      </c>
      <c r="B38" s="164">
        <f>+O22</f>
        <v>120</v>
      </c>
      <c r="C38" s="164">
        <f>+C37</f>
        <v>120</v>
      </c>
      <c r="D38" s="164">
        <f>+D37</f>
        <v>117.6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Se realizaron 30 auditorías a los vigilados relacionadas con el Sistema de Información y Atención al Usuario - SIAU, mecanismos de Participación Ciudadana y comportamiento de reclamos en salud. Asimismo, se efectuaron tres  auditorias del sistema de información, recepción y gestión dentro de los términos de la circular, frente a los reclamos en salud radicados ante la SNS.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​Se realizaron 30 auditorías a los vigilados relacionadas con el Sistema de Información y Atención al Usuario - SIAU, mecanismos de Participación Ciudadana y comportamiento de reclamos en salud, en cumplimiento al PAG aprobado para la vigencia.
Y Se realizaron 3 auditorías a los vigilados relacionadas con el Sistema de PQRD propio de las EPS, en cumplimiento al PAG aprobado para la vigencia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​Se realizaron 2 auditorías a los vigilados relacionadas con el Sistema de PQRD propio de las EPS, en cumplimiento al PAG aprobado para la vigencia
Se realizaron 24 auditorías, se registraron actas y autos de auditoría, se gestionaron 24 informes, se cumple con lo planeado para el trimestre desde el grupo IV SIAU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​Relación de las 26 Auditorías Específicas realizadas al Sistema de Información de Atención al Usuario y al Fomento de la Participación Ciudadana según responsabilidad  normativa de los diferentes Vigilados, realizadas por el Grupo SIAU.
Relación de las 2 autorias realizadas al sistema de PQRD de la EPS EMSSANAR y COMFAORIENTE, realizadas por el Grupo de IV a las PQRD.</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120 auditorías, con cumplimiento de la meta establecida de 100% en el cronograma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C3C66-D736-4478-8CD0-8EE0C9795DF1}">
  <sheetPr codeName="Hoja54"/>
  <dimension ref="A1:Q67"/>
  <sheetViews>
    <sheetView view="pageBreakPreview" zoomScale="80" zoomScaleNormal="73" zoomScaleSheetLayoutView="80" zoomScalePageLayoutView="55" workbookViewId="0">
      <selection activeCell="R12" sqref="R12"/>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 xml:space="preserve">Medición de la percepción en canal telefonico y presencial de la SNS. </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15.75">
      <c r="A8" s="792" t="s">
        <v>1594</v>
      </c>
      <c r="B8" s="774"/>
      <c r="C8" s="711" t="str">
        <f>VLOOKUP(L12,Reporte!$A$5:$N$133,13,FALSE)</f>
        <v xml:space="preserve">Medir la percepción de los usuarios respecto a la atención telefónica y canal presencial de la Superintendencia Nacional de Salud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8.5" customHeight="1">
      <c r="A10" s="794"/>
      <c r="B10" s="795"/>
      <c r="C10" s="711" t="str">
        <f>VLOOKUP(L12,Reporte!$N$5:$BN$133,4,FALSE)</f>
        <v xml:space="preserve">Total de respuestas con calificación favorable bueno y excelente del instrumento de medición aplicado </v>
      </c>
      <c r="D10" s="711"/>
      <c r="E10" s="711"/>
      <c r="F10" s="799" t="str">
        <f>VLOOKUP(L12,Reporte!$N$5:$BN$133,6,FALSE)</f>
        <v>Este indicador mide el porcentaje de reportes del monitorea de la deuda por prestación de servicios de las entidades territoriales.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Efectividad</v>
      </c>
      <c r="K12" s="712"/>
      <c r="L12" s="713" t="s">
        <v>418</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0.85</v>
      </c>
      <c r="D15" s="735"/>
      <c r="E15" s="729"/>
      <c r="F15" s="740" t="str">
        <f>VLOOKUP(L12,Reporte!$N$5:$BN$133,9,FALSE)</f>
        <v>Trimestral</v>
      </c>
      <c r="G15" s="741"/>
      <c r="H15" s="707" t="s">
        <v>37</v>
      </c>
      <c r="I15" s="707"/>
      <c r="J15" s="746" t="s">
        <v>1595</v>
      </c>
      <c r="K15" s="747"/>
      <c r="L15" s="748"/>
      <c r="M15" s="775" t="str">
        <f>VLOOKUP(L12,Reporte!$N$5:$BN$133,28,FALSE)</f>
        <v xml:space="preserve">Delegatura para la Protección al Usuario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134953</v>
      </c>
      <c r="F22" s="139">
        <f>VLOOKUP(L12,Reporte!$N$5:$BN$133,33,FALSE)</f>
        <v>0</v>
      </c>
      <c r="G22" s="132">
        <f>VLOOKUP(L12,Reporte!$N$5:$BN$133,34,FALSE)</f>
        <v>0</v>
      </c>
      <c r="H22" s="139">
        <f>VLOOKUP(L12,Reporte!$N$5:$BN$133,35,FALSE)</f>
        <v>96046</v>
      </c>
      <c r="I22" s="132">
        <f>VLOOKUP(L12,Reporte!$N$5:$BN$133,36,FALSE)</f>
        <v>0</v>
      </c>
      <c r="J22" s="139">
        <f>VLOOKUP(L12,Reporte!$N$5:$BN$133,37,FALSE)</f>
        <v>0</v>
      </c>
      <c r="K22" s="139">
        <f>VLOOKUP(L12,Reporte!$N$5:$BN$133,38,FALSE)</f>
        <v>80680</v>
      </c>
      <c r="L22" s="139">
        <f>VLOOKUP(L12,Reporte!$N$5:$BN$133,39,FALSE)</f>
        <v>0</v>
      </c>
      <c r="M22" s="139">
        <f>VLOOKUP(L12,Reporte!$N$5:$BN$133,40,FALSE)</f>
        <v>0</v>
      </c>
      <c r="N22" s="133">
        <f>VLOOKUP(L12,Reporte!$N$5:$BN$133,41,FALSE)</f>
        <v>181062</v>
      </c>
      <c r="O22" s="133">
        <f>SUM(C22:N22)</f>
        <v>492741</v>
      </c>
      <c r="P22" s="128"/>
    </row>
    <row r="23" spans="1:17" ht="16.5" thickBot="1">
      <c r="A23" s="690" t="s">
        <v>76</v>
      </c>
      <c r="B23" s="691"/>
      <c r="C23" s="140">
        <f>VLOOKUP(L12,Reporte!$N$5:$BN$133,42,FALSE)</f>
        <v>0</v>
      </c>
      <c r="D23" s="140">
        <f>VLOOKUP(L12,Reporte!$N$5:$BN$133,43,FALSE)</f>
        <v>0</v>
      </c>
      <c r="E23" s="140">
        <f>VLOOKUP(L12,Reporte!$N$5:$BN$133,44,FALSE)</f>
        <v>156221</v>
      </c>
      <c r="F23" s="140">
        <f>VLOOKUP(L12,Reporte!$N$5:$BN$133,45,FALSE)</f>
        <v>0</v>
      </c>
      <c r="G23" s="140">
        <f>VLOOKUP(L12,Reporte!$N$5:$BN$133,46,FALSE)</f>
        <v>0</v>
      </c>
      <c r="H23" s="140">
        <f>VLOOKUP(L12,Reporte!$N$5:$BN$133,47,FALSE)</f>
        <v>111133</v>
      </c>
      <c r="I23" s="140">
        <f>VLOOKUP(L12,Reporte!$N$5:$BN$133,48,FALSE)</f>
        <v>0</v>
      </c>
      <c r="J23" s="140">
        <f>VLOOKUP(L12,Reporte!$N$5:$BN$133,49,FALSE)</f>
        <v>0</v>
      </c>
      <c r="K23" s="140">
        <f>VLOOKUP(L12,Reporte!$N$5:$BN$133,50,FALSE)</f>
        <v>99341</v>
      </c>
      <c r="L23" s="140">
        <f>VLOOKUP(L12,Reporte!$N$5:$BN$133,51,FALSE)</f>
        <v>0</v>
      </c>
      <c r="M23" s="140">
        <f>VLOOKUP(L12,Reporte!$N$5:$BN$133,52,FALSE)</f>
        <v>0</v>
      </c>
      <c r="N23" s="141">
        <f>VLOOKUP(L12,Reporte!$N$5:$BN$133,53,FALSE)</f>
        <v>202681</v>
      </c>
      <c r="O23" s="133">
        <f>SUM(C23:N23)</f>
        <v>569376</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0.85</v>
      </c>
      <c r="D26" s="146">
        <f>+C26*0.98</f>
        <v>0.83299999999999996</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0.85</v>
      </c>
      <c r="D27" s="146">
        <f>+D26</f>
        <v>0.83299999999999996</v>
      </c>
      <c r="E27" s="147"/>
      <c r="F27" s="147"/>
      <c r="G27" s="685"/>
      <c r="H27" s="685"/>
      <c r="I27" s="685"/>
      <c r="J27" s="685"/>
      <c r="K27" s="147"/>
      <c r="L27" s="685"/>
      <c r="M27" s="685"/>
      <c r="N27" s="685"/>
      <c r="O27" s="701"/>
      <c r="P27" s="148"/>
      <c r="Q27" s="149"/>
    </row>
    <row r="28" spans="1:17" s="127" customFormat="1" ht="15">
      <c r="A28" s="145" t="s">
        <v>96</v>
      </c>
      <c r="B28" s="146">
        <f>IF(ISERROR($E$22/$E$23),0,$E$22/$E$23)</f>
        <v>0.86385953232920032</v>
      </c>
      <c r="C28" s="146">
        <f t="shared" ref="C28:D37" si="0">+C27</f>
        <v>0.85</v>
      </c>
      <c r="D28" s="146">
        <f t="shared" si="0"/>
        <v>0.83299999999999996</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0.85</v>
      </c>
      <c r="D29" s="146">
        <f t="shared" si="0"/>
        <v>0.83299999999999996</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0.85</v>
      </c>
      <c r="D30" s="146">
        <f t="shared" si="0"/>
        <v>0.83299999999999996</v>
      </c>
      <c r="E30" s="147"/>
      <c r="F30" s="147"/>
      <c r="G30" s="685"/>
      <c r="H30" s="685"/>
      <c r="I30" s="685"/>
      <c r="J30" s="685"/>
      <c r="K30" s="147"/>
      <c r="L30" s="685"/>
      <c r="M30" s="685"/>
      <c r="N30" s="685"/>
      <c r="O30" s="701"/>
      <c r="P30" s="148"/>
      <c r="Q30" s="149"/>
    </row>
    <row r="31" spans="1:17" s="127" customFormat="1" ht="15">
      <c r="A31" s="145" t="s">
        <v>99</v>
      </c>
      <c r="B31" s="146">
        <f>IF(ISERROR($H$22/$H$23),0,$H$22/$H$23)</f>
        <v>0.86424374398243542</v>
      </c>
      <c r="C31" s="146">
        <f t="shared" si="0"/>
        <v>0.85</v>
      </c>
      <c r="D31" s="146">
        <f t="shared" si="0"/>
        <v>0.83299999999999996</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0.85</v>
      </c>
      <c r="D32" s="146">
        <f t="shared" si="0"/>
        <v>0.83299999999999996</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0.85</v>
      </c>
      <c r="D33" s="146">
        <f t="shared" si="0"/>
        <v>0.83299999999999996</v>
      </c>
      <c r="E33" s="147"/>
      <c r="F33" s="147"/>
      <c r="G33" s="685"/>
      <c r="H33" s="685"/>
      <c r="I33" s="685"/>
      <c r="J33" s="685"/>
      <c r="K33" s="147"/>
      <c r="L33" s="685"/>
      <c r="M33" s="685"/>
      <c r="N33" s="685"/>
      <c r="O33" s="701"/>
      <c r="P33" s="148"/>
      <c r="Q33" s="149"/>
    </row>
    <row r="34" spans="1:17" s="127" customFormat="1" ht="15">
      <c r="A34" s="145" t="s">
        <v>102</v>
      </c>
      <c r="B34" s="146">
        <f>IF(ISERROR($K$22/$K$23),0,$K$22/$K$23)</f>
        <v>0.81215208222184199</v>
      </c>
      <c r="C34" s="146">
        <f t="shared" si="0"/>
        <v>0.85</v>
      </c>
      <c r="D34" s="146">
        <f t="shared" si="0"/>
        <v>0.83299999999999996</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0.85</v>
      </c>
      <c r="D35" s="146">
        <f t="shared" si="0"/>
        <v>0.83299999999999996</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0.85</v>
      </c>
      <c r="D36" s="146">
        <f t="shared" si="0"/>
        <v>0.83299999999999996</v>
      </c>
      <c r="E36" s="147"/>
      <c r="F36" s="147"/>
      <c r="G36" s="685"/>
      <c r="H36" s="685"/>
      <c r="I36" s="685"/>
      <c r="J36" s="685"/>
      <c r="K36" s="147"/>
      <c r="L36" s="685"/>
      <c r="M36" s="685"/>
      <c r="N36" s="685"/>
      <c r="O36" s="701"/>
      <c r="P36" s="148"/>
      <c r="Q36" s="149"/>
    </row>
    <row r="37" spans="1:17" s="127" customFormat="1" ht="15.75" thickBot="1">
      <c r="A37" s="150" t="s">
        <v>105</v>
      </c>
      <c r="B37" s="151">
        <f>IF(ISERROR($N$22/$N$23),0,$N$22/$N$23)</f>
        <v>0.89333484638421956</v>
      </c>
      <c r="C37" s="146">
        <f t="shared" si="0"/>
        <v>0.85</v>
      </c>
      <c r="D37" s="146">
        <f t="shared" si="0"/>
        <v>0.83299999999999996</v>
      </c>
      <c r="E37" s="147"/>
      <c r="F37" s="147"/>
      <c r="G37" s="147"/>
      <c r="H37" s="147"/>
      <c r="I37" s="147"/>
      <c r="J37" s="147"/>
      <c r="K37" s="147"/>
      <c r="L37" s="685"/>
      <c r="M37" s="685"/>
      <c r="N37" s="685"/>
      <c r="O37" s="701"/>
      <c r="P37" s="148"/>
      <c r="Q37" s="149"/>
    </row>
    <row r="38" spans="1:17" s="127" customFormat="1" ht="15.75" thickBot="1">
      <c r="A38" s="152" t="s">
        <v>106</v>
      </c>
      <c r="B38" s="153">
        <f>IF(ISERROR($O$22/$O$23),0,$O$22/$O$23)</f>
        <v>0.8654052857865453</v>
      </c>
      <c r="C38" s="153">
        <f>+C37</f>
        <v>0.85</v>
      </c>
      <c r="D38" s="153">
        <f>+D37</f>
        <v>0.83299999999999996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52.5" customHeight="1" thickBot="1">
      <c r="A45" s="682" t="str">
        <f>VLOOKUP(L12,Reporte!$N$5:$BZ$133,56,FALSE)</f>
        <v xml:space="preserve">​Se presenta información con corte a febrero 2025, en virtud de que el periodo de reporte de insumos es 5 días hábiles mes vencido. 
Aclarado lo anterior se presenta el resultado de la aplicación de la encuesta de satisfacción realizada en el canal telefónico y presencial (Regionales, Puntos de Atención y CAC). 
Entre enero y febrero 2025 se recibieron 134.953 respuestas con calificación buena y excelente, de un total de 156.221 respuestas, las cuales corresponden a un 86.36% de satisfacción.
La meta se ajusto para el mes de abril.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0" t="str">
        <f>VLOOKUP(L12,Reporte!$N$5:$BZ$133,59,FALSE)</f>
        <v xml:space="preserve">Se presenta información con corte a mayo 2025, en virtud de que el periodo de reporte de insumos es 5 días hábiles mes vencido. 
Aclarado lo anterior se presenta el resultado de la aplicación de la encuesta de satisfacción realizada en el canal telefonico y presencial (Regionales, Puntos de Atención y CAC). 
Entre abril y mayo 2025 se recibieron 96.046 respuestas con calificación buena y exelente de un total de 111.133 respuestas las cuales correponden a un 86.42% de satisfacción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54" customHeight="1" thickBot="1">
      <c r="A57" s="682" t="str">
        <f>VLOOKUP(L12,Reporte!$N$5:$BZ$133,62,FALSE)</f>
        <v xml:space="preserve">Se presenta información con corte a agosto 2025, en virtud de que el periodo de reporte de insumos es 5 días hábiles mes vencido.
Aclarado lo anterior se presenta el resultado de la aplicación de la encuesta de satisfacción realizada en el canal telefonico y presencial (Regionales, Puntos de Atención y CAC). Se identifica que para este trimestre el CAC bajo en su pordentaje bueno y exelente del indicador frente a sus historicos
Entre julio y agosto 2025 se recibieron 80.680 respuestas con calificación buena y exelente de un total de 99.341  respuestas las cuales correponden a un 81.2% de satisfacción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8.5" customHeight="1" thickBot="1">
      <c r="A63" s="673" t="str">
        <f>VLOOKUP(L12,Reporte!$N$5:$BZ$133,65,FALSE)</f>
        <v>Se presenta información con corte a octubre y noviembre 2025, en virtud de que el periodo de reporte de insumos es 5 días hábiles mes vencido. 
Aclarado lo anterior se presenta el resultado de la aplicación de la encuesta de satisfacción realizada en el canal telefonico y presencial (Regionales, Puntos de Atención y CAC). Se identifica que para este trimestre el CAC bajo en su pordentaje bueno y exelente del indicador frente a sus historicos
Entre octubre y noviembre 2025 se recibieron 181.062 respuestas con calificación buena y exelente de un total de 202.681  respuestas las cuales correponden a un 89.33% de satisfacción</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recibido 569376 respuestas de la encuesta de satisfacción, donde 492741 tuvieron calificación buena y excelente lo que representa el 87%, esto equivale a un sobrecumplimiento de 102% con  respecto de la meta porcentual de 85%.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9518-0FCC-42E2-81C7-E33C4151A96D}">
  <sheetPr codeName="Hoja5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27.75" customHeight="1">
      <c r="A6" s="789" t="s">
        <v>8</v>
      </c>
      <c r="B6" s="790"/>
      <c r="C6" s="711" t="str">
        <f>VLOOKUP(L12,Reporte!$N$5:$BN$133,2,FALSE)</f>
        <v>Capacitaciones realizadas en  territorios cobijados por los programas de desarrollo con enfoque territorial PDET</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30" customHeight="1">
      <c r="A8" s="792" t="s">
        <v>1594</v>
      </c>
      <c r="B8" s="774"/>
      <c r="C8" s="711" t="str">
        <f>VLOOKUP(L12,Reporte!$A$5:$N$133,13,FALSE)</f>
        <v xml:space="preserve">Realizar capacitaciones en derechos y deberes en salud y mecanismos de participación ciudadana en territorios incluidos en el  Programa de Desarrollo con Enfoque Territorial PDET.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2.75" customHeight="1">
      <c r="A10" s="794"/>
      <c r="B10" s="795"/>
      <c r="C10" s="711" t="str">
        <f>VLOOKUP(L12,Reporte!$N$5:$BN$133,4,FALSE)</f>
        <v xml:space="preserve"> Número de capacitaciones realizadas en  territorios cobijados por los programas de desarrollo con enfoque territorial PDET</v>
      </c>
      <c r="D10" s="711"/>
      <c r="E10" s="711"/>
      <c r="F10" s="799" t="str">
        <f>VLOOKUP(L12,Reporte!$N$5:$BN$133,6,FALSE)</f>
        <v>Mide el numero de Capacitaciones realizadas en  territorios cobijados por programas de desarrollo con enfoque territorial PDET</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573</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14</v>
      </c>
      <c r="D15" s="826"/>
      <c r="E15" s="827"/>
      <c r="F15" s="740" t="str">
        <f>VLOOKUP(L12,Reporte!$N$5:$BN$133,9,FALSE)</f>
        <v>Semestral</v>
      </c>
      <c r="G15" s="741"/>
      <c r="H15" s="707" t="s">
        <v>37</v>
      </c>
      <c r="I15" s="707"/>
      <c r="J15" s="746" t="s">
        <v>1595</v>
      </c>
      <c r="K15" s="747"/>
      <c r="L15" s="748"/>
      <c r="M15" s="775" t="str">
        <f>VLOOKUP(L12,Reporte!$N$5:$BN$133,28,FALSE)</f>
        <v xml:space="preserve">Delegatura para la Protección al Usuario </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7</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16</v>
      </c>
      <c r="O22" s="133">
        <f>SUM(C22:N22)</f>
        <v>23</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7</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7</v>
      </c>
      <c r="O23" s="133">
        <f>SUM(C23:N23)</f>
        <v>14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14</v>
      </c>
      <c r="D26" s="161">
        <f>+C26*0.98</f>
        <v>13.719999999999999</v>
      </c>
      <c r="E26" s="147"/>
      <c r="F26" s="147"/>
      <c r="G26" s="685"/>
      <c r="H26" s="685"/>
      <c r="I26" s="699"/>
      <c r="J26" s="699"/>
      <c r="K26" s="699"/>
      <c r="L26" s="685"/>
      <c r="M26" s="685"/>
      <c r="N26" s="685"/>
      <c r="O26" s="701"/>
      <c r="P26" s="148"/>
      <c r="Q26" s="149"/>
    </row>
    <row r="27" spans="1:17" s="127" customFormat="1" ht="15">
      <c r="A27" s="145" t="s">
        <v>95</v>
      </c>
      <c r="B27" s="161">
        <f>+D22</f>
        <v>0</v>
      </c>
      <c r="C27" s="161">
        <f>+C26</f>
        <v>14</v>
      </c>
      <c r="D27" s="161">
        <f>+D26</f>
        <v>13.719999999999999</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14</v>
      </c>
      <c r="D28" s="161">
        <f t="shared" si="0"/>
        <v>13.719999999999999</v>
      </c>
      <c r="E28" s="147"/>
      <c r="F28" s="147"/>
      <c r="G28" s="685"/>
      <c r="H28" s="685"/>
      <c r="I28" s="685"/>
      <c r="J28" s="685"/>
      <c r="K28" s="147"/>
      <c r="L28" s="685"/>
      <c r="M28" s="685"/>
      <c r="N28" s="685"/>
      <c r="O28" s="701"/>
      <c r="P28" s="148"/>
      <c r="Q28" s="149"/>
    </row>
    <row r="29" spans="1:17" s="127" customFormat="1" ht="15">
      <c r="A29" s="145" t="s">
        <v>97</v>
      </c>
      <c r="B29" s="161">
        <f>+F22</f>
        <v>0</v>
      </c>
      <c r="C29" s="161">
        <f t="shared" si="0"/>
        <v>14</v>
      </c>
      <c r="D29" s="161">
        <f t="shared" si="0"/>
        <v>13.719999999999999</v>
      </c>
      <c r="E29" s="147"/>
      <c r="F29" s="147"/>
      <c r="G29" s="685"/>
      <c r="H29" s="685"/>
      <c r="I29" s="685"/>
      <c r="J29" s="685"/>
      <c r="K29" s="147"/>
      <c r="L29" s="685"/>
      <c r="M29" s="685"/>
      <c r="N29" s="685"/>
      <c r="O29" s="701"/>
      <c r="P29" s="148"/>
      <c r="Q29" s="149"/>
    </row>
    <row r="30" spans="1:17" s="127" customFormat="1" ht="15">
      <c r="A30" s="145" t="s">
        <v>98</v>
      </c>
      <c r="B30" s="161">
        <f>+G22</f>
        <v>0</v>
      </c>
      <c r="C30" s="161">
        <f t="shared" si="0"/>
        <v>14</v>
      </c>
      <c r="D30" s="161">
        <f t="shared" si="0"/>
        <v>13.719999999999999</v>
      </c>
      <c r="E30" s="147"/>
      <c r="F30" s="147"/>
      <c r="G30" s="685"/>
      <c r="H30" s="685"/>
      <c r="I30" s="685"/>
      <c r="J30" s="685"/>
      <c r="K30" s="147"/>
      <c r="L30" s="685"/>
      <c r="M30" s="685"/>
      <c r="N30" s="685"/>
      <c r="O30" s="701"/>
      <c r="P30" s="148"/>
      <c r="Q30" s="149"/>
    </row>
    <row r="31" spans="1:17" s="127" customFormat="1" ht="15">
      <c r="A31" s="145" t="s">
        <v>99</v>
      </c>
      <c r="B31" s="161">
        <f>+H22</f>
        <v>7</v>
      </c>
      <c r="C31" s="161">
        <f t="shared" si="0"/>
        <v>14</v>
      </c>
      <c r="D31" s="161">
        <f t="shared" si="0"/>
        <v>13.719999999999999</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14</v>
      </c>
      <c r="D32" s="161">
        <f t="shared" si="0"/>
        <v>13.719999999999999</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14</v>
      </c>
      <c r="D33" s="161">
        <f t="shared" si="0"/>
        <v>13.719999999999999</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14</v>
      </c>
      <c r="D34" s="161">
        <f t="shared" si="0"/>
        <v>13.719999999999999</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14</v>
      </c>
      <c r="D35" s="161">
        <f t="shared" si="0"/>
        <v>13.719999999999999</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14</v>
      </c>
      <c r="D36" s="161">
        <f t="shared" si="0"/>
        <v>13.719999999999999</v>
      </c>
      <c r="E36" s="147"/>
      <c r="F36" s="147"/>
      <c r="G36" s="685"/>
      <c r="H36" s="685"/>
      <c r="I36" s="685"/>
      <c r="J36" s="685"/>
      <c r="K36" s="147"/>
      <c r="L36" s="685"/>
      <c r="M36" s="685"/>
      <c r="N36" s="685"/>
      <c r="O36" s="701"/>
      <c r="P36" s="148"/>
      <c r="Q36" s="149"/>
    </row>
    <row r="37" spans="1:17" s="127" customFormat="1" ht="15.75" thickBot="1">
      <c r="A37" s="150" t="s">
        <v>105</v>
      </c>
      <c r="B37" s="162">
        <f>+N22</f>
        <v>16</v>
      </c>
      <c r="C37" s="161">
        <f t="shared" si="0"/>
        <v>14</v>
      </c>
      <c r="D37" s="161">
        <f t="shared" si="0"/>
        <v>13.719999999999999</v>
      </c>
      <c r="E37" s="147"/>
      <c r="F37" s="147"/>
      <c r="G37" s="147"/>
      <c r="H37" s="147"/>
      <c r="I37" s="147"/>
      <c r="J37" s="147"/>
      <c r="K37" s="147"/>
      <c r="L37" s="685"/>
      <c r="M37" s="685"/>
      <c r="N37" s="685"/>
      <c r="O37" s="701"/>
      <c r="P37" s="148"/>
      <c r="Q37" s="149"/>
    </row>
    <row r="38" spans="1:17" s="127" customFormat="1" ht="15.75" thickBot="1">
      <c r="A38" s="152" t="s">
        <v>106</v>
      </c>
      <c r="B38" s="164">
        <f>+O22</f>
        <v>23</v>
      </c>
      <c r="C38" s="164">
        <f>+C37</f>
        <v>14</v>
      </c>
      <c r="D38" s="164">
        <f>+D37</f>
        <v>13.719999999999999</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​Durante el semestre se realizaron 7 capacitaciones en derechos y deberes y mecanismos de participacion ciudadana en municipios PDET con un total de 962 asistentes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97.5" customHeight="1" thickBot="1">
      <c r="A63" s="673" t="str">
        <f>VLOOKUP(L12,Reporte!$N$5:$BZ$133,65,FALSE)</f>
        <v xml:space="preserve">De las 7 actividades programadas se realizaron 16 en el segundo semestre, lo que da un cumplimiento del 228% frente a la meta programada para el periodo. Esto se debe a que se realizaron 16 capacitaciones en territorios PDET, en municipios como Fonseca, Cereté, Mapiripán, Necoclí, Puerto Asís, Tolú Viejo, Santa Marta, Puerto Concordia, entre otros. El énfasis en la realización de estas actividades en municipios priorizados por el Programa de Desarrollo con Enfoque Territorial (PDET) respondió a la necesidad de fortalecer la presencia institucional en territorios históricamente afectados por el conflicto armado, el narcotráfico y otras formas de violencia, caracterizados por condiciones de alta vulnerabilidad y limitada oferta institucional. El logro de haber llegado a poblaciones apartadas y de difícil acceso representa un avance significativo en la garantía del derecho fundamental a la salud, al permitir acercar la Superintendencia Nacional de Salud a comunidades que tradicionalmente han enfrentado barreras geográficas, sociales e institucionales, contribuyendo así al empoderamiento ciudadano, la promoción de la participación activa y la construcción de confianza entre el Estado y la ciudadanía.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23 capacitaciones, con un sobrecumplimiento de 164% con respecto de la meta de 14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50E01-3242-4622-9399-C9787A08ECDB}">
  <sheetPr codeName="Hoja56"/>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reclamos en salud radicados y gestionados a través del multicanal </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15.75">
      <c r="A8" s="792" t="s">
        <v>1594</v>
      </c>
      <c r="B8" s="774"/>
      <c r="C8" s="711" t="str">
        <f>VLOOKUP(L12,Reporte!$A$5:$N$133,13,FALSE)</f>
        <v>Radicar  los reclamos en salud recibidos en el multicanal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reclamos en salud radicados y  gestionadas en el trimestre*</v>
      </c>
      <c r="D10" s="711"/>
      <c r="E10" s="711"/>
      <c r="F10" s="799" t="str">
        <f>VLOOKUP(L12,Reporte!$N$5:$BN$133,6,FALSE)</f>
        <v>Este indicador mide número de PQRD con riesgo de vida gestionadas en el trimestre</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Eficiencia</v>
      </c>
      <c r="K12" s="712"/>
      <c r="L12" s="713" t="s">
        <v>444</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Delegatura para la Protección al Usuario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427884</v>
      </c>
      <c r="F22" s="139">
        <f>VLOOKUP(L12,Reporte!$N$5:$BN$133,33,FALSE)</f>
        <v>0</v>
      </c>
      <c r="G22" s="132">
        <f>VLOOKUP(L12,Reporte!$N$5:$BN$133,34,FALSE)</f>
        <v>0</v>
      </c>
      <c r="H22" s="139">
        <f>VLOOKUP(L12,Reporte!$N$5:$BN$133,35,FALSE)</f>
        <v>432616</v>
      </c>
      <c r="I22" s="132">
        <f>VLOOKUP(L12,Reporte!$N$5:$BN$133,36,FALSE)</f>
        <v>0</v>
      </c>
      <c r="J22" s="139">
        <f>VLOOKUP(L12,Reporte!$N$5:$BN$133,37,FALSE)</f>
        <v>0</v>
      </c>
      <c r="K22" s="139">
        <f>VLOOKUP(L12,Reporte!$N$5:$BN$133,38,FALSE)</f>
        <v>504428</v>
      </c>
      <c r="L22" s="139">
        <f>VLOOKUP(L12,Reporte!$N$5:$BN$133,39,FALSE)</f>
        <v>0</v>
      </c>
      <c r="M22" s="139">
        <f>VLOOKUP(L12,Reporte!$N$5:$BN$133,40,FALSE)</f>
        <v>0</v>
      </c>
      <c r="N22" s="133">
        <f>VLOOKUP(L12,Reporte!$N$5:$BN$133,41,FALSE)</f>
        <v>458199</v>
      </c>
      <c r="O22" s="133">
        <f>SUM(C22:N22)</f>
        <v>1823127</v>
      </c>
      <c r="P22" s="128"/>
    </row>
    <row r="23" spans="1:17" ht="16.5" thickBot="1">
      <c r="A23" s="690" t="s">
        <v>76</v>
      </c>
      <c r="B23" s="691"/>
      <c r="C23" s="140">
        <f>VLOOKUP(L12,Reporte!$N$5:$BN$133,42,FALSE)</f>
        <v>0</v>
      </c>
      <c r="D23" s="140">
        <f>VLOOKUP(L12,Reporte!$N$5:$BN$133,43,FALSE)</f>
        <v>0</v>
      </c>
      <c r="E23" s="140">
        <f>VLOOKUP(L12,Reporte!$N$5:$BN$133,44,FALSE)</f>
        <v>427884</v>
      </c>
      <c r="F23" s="140">
        <f>VLOOKUP(L12,Reporte!$N$5:$BN$133,45,FALSE)</f>
        <v>0</v>
      </c>
      <c r="G23" s="140">
        <f>VLOOKUP(L12,Reporte!$N$5:$BN$133,46,FALSE)</f>
        <v>0</v>
      </c>
      <c r="H23" s="140">
        <f>VLOOKUP(L12,Reporte!$N$5:$BN$133,47,FALSE)</f>
        <v>432616</v>
      </c>
      <c r="I23" s="140">
        <f>VLOOKUP(L12,Reporte!$N$5:$BN$133,48,FALSE)</f>
        <v>0</v>
      </c>
      <c r="J23" s="140">
        <f>VLOOKUP(L12,Reporte!$N$5:$BN$133,49,FALSE)</f>
        <v>0</v>
      </c>
      <c r="K23" s="140">
        <f>VLOOKUP(L12,Reporte!$N$5:$BN$133,50,FALSE)</f>
        <v>504428</v>
      </c>
      <c r="L23" s="140">
        <f>VLOOKUP(L12,Reporte!$N$5:$BN$133,51,FALSE)</f>
        <v>0</v>
      </c>
      <c r="M23" s="140">
        <f>VLOOKUP(L12,Reporte!$N$5:$BN$133,52,FALSE)</f>
        <v>0</v>
      </c>
      <c r="N23" s="141">
        <f>VLOOKUP(L12,Reporte!$N$5:$BN$133,53,FALSE)</f>
        <v>458199</v>
      </c>
      <c r="O23" s="133">
        <f>SUM(C23:N23)</f>
        <v>1823127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​Entre enero a marzo se radicaron y trasladaron al responsable del aseguramiento a través de una orden de inmediato y obligatorio cumplimiento 427.884 reclamos en salud recibidos por multicanal (escrito, web, telefónico, chat y redes sociales)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​Entre abril y junio se radicaron y trasladaron al responsable del aseguramiento a travez de una orden de inmediato y obligatorio cumplimiento 432.616 reclamos en salud recibidos por multicanal (escrito, web, telefonico, chat y redes sociales)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​Entre julio a septiembre se radicaron y trasladaron al responsable del aseguramiento a travez de una orden de inmediato y obligatorio cumplimiento 504.428 reclamos en salud recibidos por multicanal (escrito, web, telefonico, chat y redes sociales)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​Entre octubre a diciembre se radicaron y trasladaron al responsable del aseguramiento a través de una orden de inmediato y obligatorio cumplimiento 458.199 reclamos en salud recibidos por multicanal (escrito, web, telefonico, chat y redes sociales)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gestionado el 100% de los radicados 1823127 que llegan a través de multicanal de  reclamos, con cumplimiento de la meta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598F0-2889-47B8-ABF1-BA291B5514D9}">
  <sheetPr codeName="Hoja5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Porcentaje de reclamos en salud radicados y gestionados a través del canal presencial</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15.75">
      <c r="A8" s="792" t="s">
        <v>1594</v>
      </c>
      <c r="B8" s="774"/>
      <c r="C8" s="711" t="str">
        <f>VLOOKUP(L12,Reporte!$A$5:$N$133,13,FALSE)</f>
        <v>Radicar  los reclamos en salud recibidos en el canal presencial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reclamos en salud radicados y  gestionadas en el trimestre*</v>
      </c>
      <c r="D10" s="711"/>
      <c r="E10" s="711"/>
      <c r="F10" s="799" t="str">
        <f>VLOOKUP(L12,Reporte!$N$5:$BN$133,6,FALSE)</f>
        <v>Este indicador mide el porcentaje de solicitudes de iformación de raclamos de los grupos de valor.</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Eficiencia</v>
      </c>
      <c r="K12" s="712"/>
      <c r="L12" s="713" t="s">
        <v>449</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 xml:space="preserve">Delegatura para la Protección al Usuario </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91364</v>
      </c>
      <c r="F22" s="139">
        <f>VLOOKUP(L12,Reporte!$N$5:$BN$133,33,FALSE)</f>
        <v>0</v>
      </c>
      <c r="G22" s="132">
        <f>VLOOKUP(L12,Reporte!$N$5:$BN$133,34,FALSE)</f>
        <v>0</v>
      </c>
      <c r="H22" s="139">
        <f>VLOOKUP(L12,Reporte!$N$5:$BN$133,35,FALSE)</f>
        <v>87742</v>
      </c>
      <c r="I22" s="132">
        <f>VLOOKUP(L12,Reporte!$N$5:$BN$133,36,FALSE)</f>
        <v>0</v>
      </c>
      <c r="J22" s="139">
        <f>VLOOKUP(L12,Reporte!$N$5:$BN$133,37,FALSE)</f>
        <v>0</v>
      </c>
      <c r="K22" s="139">
        <f>VLOOKUP(L12,Reporte!$N$5:$BN$133,38,FALSE)</f>
        <v>93348</v>
      </c>
      <c r="L22" s="139">
        <f>VLOOKUP(L12,Reporte!$N$5:$BN$133,39,FALSE)</f>
        <v>0</v>
      </c>
      <c r="M22" s="139">
        <f>VLOOKUP(L12,Reporte!$N$5:$BN$133,40,FALSE)</f>
        <v>0</v>
      </c>
      <c r="N22" s="133">
        <f>VLOOKUP(L12,Reporte!$N$5:$BN$133,41,FALSE)</f>
        <v>86630</v>
      </c>
      <c r="O22" s="133">
        <f>SUM(C22:N22)</f>
        <v>359084</v>
      </c>
      <c r="P22" s="128"/>
    </row>
    <row r="23" spans="1:17" ht="16.5" thickBot="1">
      <c r="A23" s="690" t="s">
        <v>76</v>
      </c>
      <c r="B23" s="691"/>
      <c r="C23" s="140">
        <f>VLOOKUP(L12,Reporte!$N$5:$BN$133,42,FALSE)</f>
        <v>0</v>
      </c>
      <c r="D23" s="140">
        <f>VLOOKUP(L12,Reporte!$N$5:$BN$133,43,FALSE)</f>
        <v>0</v>
      </c>
      <c r="E23" s="140">
        <f>VLOOKUP(L12,Reporte!$N$5:$BN$133,44,FALSE)</f>
        <v>91364</v>
      </c>
      <c r="F23" s="140">
        <f>VLOOKUP(L12,Reporte!$N$5:$BN$133,45,FALSE)</f>
        <v>0</v>
      </c>
      <c r="G23" s="140">
        <f>VLOOKUP(L12,Reporte!$N$5:$BN$133,46,FALSE)</f>
        <v>0</v>
      </c>
      <c r="H23" s="140">
        <f>VLOOKUP(L12,Reporte!$N$5:$BN$133,47,FALSE)</f>
        <v>87742</v>
      </c>
      <c r="I23" s="140">
        <f>VLOOKUP(L12,Reporte!$N$5:$BN$133,48,FALSE)</f>
        <v>0</v>
      </c>
      <c r="J23" s="140">
        <f>VLOOKUP(L12,Reporte!$N$5:$BN$133,49,FALSE)</f>
        <v>0</v>
      </c>
      <c r="K23" s="140">
        <f>VLOOKUP(L12,Reporte!$N$5:$BN$133,50,FALSE)</f>
        <v>93348</v>
      </c>
      <c r="L23" s="140">
        <f>VLOOKUP(L12,Reporte!$N$5:$BN$133,51,FALSE)</f>
        <v>0</v>
      </c>
      <c r="M23" s="140">
        <f>VLOOKUP(L12,Reporte!$N$5:$BN$133,52,FALSE)</f>
        <v>0</v>
      </c>
      <c r="N23" s="141">
        <f>VLOOKUP(L12,Reporte!$N$5:$BN$133,53,FALSE)</f>
        <v>86630</v>
      </c>
      <c r="O23" s="133">
        <f>SUM(C23:N23)</f>
        <v>359084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​Entre enero a marzo se radicaron y trasladaron al responsable del aseguramiento a través de una orden de inmediato y obligatorio cumplimiento 91.364 reclamos en salud recibidos por el canal presencial.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​Entre abril a junio se radicaron y trasladaron al responsable del aseguramiento a travez de una orden de inmediato y obligatorio cumplimiento 87.742 reclamos en salud recibidos por el canal presencial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​Entre julio a septiembre se radicaron y trasladaron al responsable del aseguramiento a travez de una orden de inmediato y obligatorio cumplimiento 93.348 reclamos en salud recibidos por el canal presencial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​Entre octubre a diciembre se radicaron y trasladaron al responsable del aseguramiento a travez de una orden de inmediato y obligatorio cumplimiento 86.630 reclamos en salud recibidos por el canal presencial.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gestionado el total de los 359084 reclamos radicados a través de canal presencial, con cumplimiento de la meta de 100%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8879-64CF-4A03-912B-62609FF4AF2E}">
  <sheetPr codeName="Hoja5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0" customHeight="1">
      <c r="A6" s="789" t="s">
        <v>8</v>
      </c>
      <c r="B6" s="790"/>
      <c r="C6" s="711" t="str">
        <f>VLOOKUP(L12,Reporte!$N$5:$BN$133,2,FALSE)</f>
        <v>Caracterización individual de los nuevos Gestores Farmacéuticos identificados por la Dirección de Innovación y Desarrollo los años 2023 y 2024,respecto del componente financiero.</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Caracterizar a los nuevos Gestores Farmacéuticos identificados en los años  2023 y 2024 respecto del componente financiero.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1.25" customHeight="1">
      <c r="A10" s="794"/>
      <c r="B10" s="795"/>
      <c r="C10" s="711" t="str">
        <f>VLOOKUP(L12,Reporte!$N$5:$BN$133,4,FALSE)</f>
        <v>Número de caracterizaciones realizadas  a los Gestores Farmacéuticos Identificados respecto del componente financiero.</v>
      </c>
      <c r="D10" s="711"/>
      <c r="E10" s="711"/>
      <c r="F10" s="799" t="str">
        <f>VLOOKUP(L12,Reporte!$N$5:$BN$133,6,FALSE)</f>
        <v>Mide la Caracterización individual nuevos Gestores Farmacéuticos respecto del componente financiero.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642</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1" customHeight="1">
      <c r="A15" s="728" t="str">
        <f>VLOOKUP(L12,Reporte!$N$5:$BN$133,8,FALSE)</f>
        <v>Numérica</v>
      </c>
      <c r="B15" s="729"/>
      <c r="C15" s="825">
        <f>VLOOKUP(L12,Reporte!$N$5:$BN$133,11,FALSE)</f>
        <v>97</v>
      </c>
      <c r="D15" s="826"/>
      <c r="E15" s="827"/>
      <c r="F15" s="740" t="str">
        <f>VLOOKUP(L12,Reporte!$N$5:$BN$133,9,FALSE)</f>
        <v>Semestral</v>
      </c>
      <c r="G15" s="741"/>
      <c r="H15" s="707" t="s">
        <v>37</v>
      </c>
      <c r="I15" s="707"/>
      <c r="J15" s="746" t="s">
        <v>1595</v>
      </c>
      <c r="K15" s="747"/>
      <c r="L15" s="748"/>
      <c r="M15" s="775" t="str">
        <f>VLOOKUP(L12,Reporte!$N$5:$BN$133,28,FALSE)</f>
        <v>Delegatura para Operadores Logísticos de Tecnologías en Salud y Gestores Farmacéuticos</v>
      </c>
      <c r="N15" s="776"/>
      <c r="O15" s="777"/>
      <c r="P15" s="128"/>
    </row>
    <row r="16" spans="1:17" ht="21" customHeight="1">
      <c r="A16" s="730"/>
      <c r="B16" s="731"/>
      <c r="C16" s="828"/>
      <c r="D16" s="829"/>
      <c r="E16" s="830"/>
      <c r="F16" s="742"/>
      <c r="G16" s="743"/>
      <c r="H16" s="707" t="s">
        <v>40</v>
      </c>
      <c r="I16" s="707"/>
      <c r="J16" s="746" t="s">
        <v>1596</v>
      </c>
      <c r="K16" s="747"/>
      <c r="L16" s="748"/>
      <c r="M16" s="778"/>
      <c r="N16" s="779"/>
      <c r="O16" s="780"/>
      <c r="P16" s="128"/>
    </row>
    <row r="17" spans="1:17" ht="21"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65</v>
      </c>
      <c r="I22" s="132">
        <f>VLOOKUP(L12,Reporte!$N$5:$BN$133,36,FALSE)</f>
        <v>0</v>
      </c>
      <c r="J22" s="139">
        <f>VLOOKUP(L12,Reporte!$N$5:$BN$133,37,FALSE)</f>
        <v>0</v>
      </c>
      <c r="K22" s="139">
        <f>VLOOKUP(L12,Reporte!$N$5:$BN$133,38,FALSE)</f>
        <v>0</v>
      </c>
      <c r="L22" s="139">
        <f>VLOOKUP(L12,Reporte!$N$5:$BN$133,39,FALSE)</f>
        <v>0</v>
      </c>
      <c r="M22" s="139">
        <f>VLOOKUP(L12,Reporte!$N$5:$BN$133,40,FALSE)</f>
        <v>32</v>
      </c>
      <c r="N22" s="133">
        <f>VLOOKUP(L12,Reporte!$N$5:$BN$133,41,FALSE)</f>
        <v>0</v>
      </c>
      <c r="O22" s="133">
        <f>SUM(C22:N22)</f>
        <v>97</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65</v>
      </c>
      <c r="I23" s="140">
        <f>VLOOKUP(L12,Reporte!$N$5:$BN$133,48,FALSE)</f>
        <v>0</v>
      </c>
      <c r="J23" s="140">
        <f>VLOOKUP(L12,Reporte!$N$5:$BN$133,49,FALSE)</f>
        <v>0</v>
      </c>
      <c r="K23" s="140">
        <f>VLOOKUP(L12,Reporte!$N$5:$BN$133,50,FALSE)</f>
        <v>0</v>
      </c>
      <c r="L23" s="140">
        <f>VLOOKUP(L12,Reporte!$N$5:$BN$133,51,FALSE)</f>
        <v>0</v>
      </c>
      <c r="M23" s="140">
        <f>VLOOKUP(L12,Reporte!$N$5:$BN$133,52,FALSE)</f>
        <v>32</v>
      </c>
      <c r="N23" s="141">
        <f>VLOOKUP(L12,Reporte!$N$5:$BN$133,53,FALSE)</f>
        <v>0</v>
      </c>
      <c r="O23" s="133">
        <f>SUM(C23:N23)</f>
        <v>97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97</v>
      </c>
      <c r="D26" s="161">
        <f>+C26*0.98</f>
        <v>95.06</v>
      </c>
      <c r="E26" s="147"/>
      <c r="F26" s="147"/>
      <c r="G26" s="685"/>
      <c r="H26" s="685"/>
      <c r="I26" s="699"/>
      <c r="J26" s="699"/>
      <c r="K26" s="699"/>
      <c r="L26" s="685"/>
      <c r="M26" s="685"/>
      <c r="N26" s="685"/>
      <c r="O26" s="701"/>
      <c r="P26" s="148"/>
      <c r="Q26" s="149"/>
    </row>
    <row r="27" spans="1:17" s="127" customFormat="1" ht="15">
      <c r="A27" s="145" t="s">
        <v>95</v>
      </c>
      <c r="B27" s="161">
        <f>+D22</f>
        <v>0</v>
      </c>
      <c r="C27" s="161">
        <f>+C26</f>
        <v>97</v>
      </c>
      <c r="D27" s="161">
        <f>+D26</f>
        <v>95.06</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97</v>
      </c>
      <c r="D28" s="161">
        <f t="shared" si="0"/>
        <v>95.06</v>
      </c>
      <c r="E28" s="147"/>
      <c r="F28" s="147"/>
      <c r="G28" s="685"/>
      <c r="H28" s="685"/>
      <c r="I28" s="685"/>
      <c r="J28" s="685"/>
      <c r="K28" s="147"/>
      <c r="L28" s="685"/>
      <c r="M28" s="685"/>
      <c r="N28" s="685"/>
      <c r="O28" s="701"/>
      <c r="P28" s="148"/>
      <c r="Q28" s="149"/>
    </row>
    <row r="29" spans="1:17" s="127" customFormat="1" ht="15">
      <c r="A29" s="145" t="s">
        <v>97</v>
      </c>
      <c r="B29" s="161">
        <f>+F22</f>
        <v>0</v>
      </c>
      <c r="C29" s="161">
        <f t="shared" si="0"/>
        <v>97</v>
      </c>
      <c r="D29" s="161">
        <f t="shared" si="0"/>
        <v>95.06</v>
      </c>
      <c r="E29" s="147"/>
      <c r="F29" s="147"/>
      <c r="G29" s="685"/>
      <c r="H29" s="685"/>
      <c r="I29" s="685"/>
      <c r="J29" s="685"/>
      <c r="K29" s="147"/>
      <c r="L29" s="685"/>
      <c r="M29" s="685"/>
      <c r="N29" s="685"/>
      <c r="O29" s="701"/>
      <c r="P29" s="148"/>
      <c r="Q29" s="149"/>
    </row>
    <row r="30" spans="1:17" s="127" customFormat="1" ht="15">
      <c r="A30" s="145" t="s">
        <v>98</v>
      </c>
      <c r="B30" s="161">
        <f>+G22</f>
        <v>0</v>
      </c>
      <c r="C30" s="161">
        <f t="shared" si="0"/>
        <v>97</v>
      </c>
      <c r="D30" s="161">
        <f t="shared" si="0"/>
        <v>95.06</v>
      </c>
      <c r="E30" s="147"/>
      <c r="F30" s="147"/>
      <c r="G30" s="685"/>
      <c r="H30" s="685"/>
      <c r="I30" s="685"/>
      <c r="J30" s="685"/>
      <c r="K30" s="147"/>
      <c r="L30" s="685"/>
      <c r="M30" s="685"/>
      <c r="N30" s="685"/>
      <c r="O30" s="701"/>
      <c r="P30" s="148"/>
      <c r="Q30" s="149"/>
    </row>
    <row r="31" spans="1:17" s="127" customFormat="1" ht="15">
      <c r="A31" s="145" t="s">
        <v>99</v>
      </c>
      <c r="B31" s="161">
        <f>+H22</f>
        <v>65</v>
      </c>
      <c r="C31" s="161">
        <f t="shared" si="0"/>
        <v>97</v>
      </c>
      <c r="D31" s="161">
        <f t="shared" si="0"/>
        <v>95.06</v>
      </c>
      <c r="E31" s="147"/>
      <c r="F31" s="147"/>
      <c r="G31" s="685"/>
      <c r="H31" s="685"/>
      <c r="I31" s="685"/>
      <c r="J31" s="685"/>
      <c r="K31" s="147"/>
      <c r="L31" s="685"/>
      <c r="M31" s="685"/>
      <c r="N31" s="685"/>
      <c r="O31" s="701"/>
      <c r="P31" s="148"/>
      <c r="Q31" s="149"/>
    </row>
    <row r="32" spans="1:17" s="127" customFormat="1" ht="15">
      <c r="A32" s="145" t="s">
        <v>100</v>
      </c>
      <c r="B32" s="161">
        <f>+I22</f>
        <v>0</v>
      </c>
      <c r="C32" s="161">
        <f t="shared" si="0"/>
        <v>97</v>
      </c>
      <c r="D32" s="161">
        <f t="shared" si="0"/>
        <v>95.06</v>
      </c>
      <c r="E32" s="147"/>
      <c r="F32" s="147"/>
      <c r="G32" s="685"/>
      <c r="H32" s="685"/>
      <c r="I32" s="685"/>
      <c r="J32" s="685"/>
      <c r="K32" s="147"/>
      <c r="L32" s="685"/>
      <c r="M32" s="685"/>
      <c r="N32" s="685"/>
      <c r="O32" s="701"/>
      <c r="P32" s="148"/>
      <c r="Q32" s="149"/>
    </row>
    <row r="33" spans="1:17" s="127" customFormat="1" ht="15">
      <c r="A33" s="145" t="s">
        <v>101</v>
      </c>
      <c r="B33" s="161">
        <f>+J22</f>
        <v>0</v>
      </c>
      <c r="C33" s="161">
        <f t="shared" si="0"/>
        <v>97</v>
      </c>
      <c r="D33" s="161">
        <f t="shared" si="0"/>
        <v>95.06</v>
      </c>
      <c r="E33" s="147"/>
      <c r="F33" s="147"/>
      <c r="G33" s="685"/>
      <c r="H33" s="685"/>
      <c r="I33" s="685"/>
      <c r="J33" s="685"/>
      <c r="K33" s="147"/>
      <c r="L33" s="685"/>
      <c r="M33" s="685"/>
      <c r="N33" s="685"/>
      <c r="O33" s="701"/>
      <c r="P33" s="148"/>
      <c r="Q33" s="149"/>
    </row>
    <row r="34" spans="1:17" s="127" customFormat="1" ht="15">
      <c r="A34" s="145" t="s">
        <v>102</v>
      </c>
      <c r="B34" s="161">
        <f>+K22</f>
        <v>0</v>
      </c>
      <c r="C34" s="161">
        <f t="shared" si="0"/>
        <v>97</v>
      </c>
      <c r="D34" s="161">
        <f t="shared" si="0"/>
        <v>95.06</v>
      </c>
      <c r="E34" s="147"/>
      <c r="F34" s="147"/>
      <c r="G34" s="685"/>
      <c r="H34" s="685"/>
      <c r="I34" s="685"/>
      <c r="J34" s="685"/>
      <c r="K34" s="147"/>
      <c r="L34" s="685"/>
      <c r="M34" s="685"/>
      <c r="N34" s="685"/>
      <c r="O34" s="701"/>
      <c r="P34" s="148"/>
      <c r="Q34" s="149"/>
    </row>
    <row r="35" spans="1:17" s="127" customFormat="1" ht="15">
      <c r="A35" s="145" t="s">
        <v>103</v>
      </c>
      <c r="B35" s="161">
        <f>+L22</f>
        <v>0</v>
      </c>
      <c r="C35" s="161">
        <f t="shared" si="0"/>
        <v>97</v>
      </c>
      <c r="D35" s="161">
        <f t="shared" si="0"/>
        <v>95.06</v>
      </c>
      <c r="E35" s="147"/>
      <c r="F35" s="147"/>
      <c r="G35" s="685"/>
      <c r="H35" s="685"/>
      <c r="I35" s="685"/>
      <c r="J35" s="685"/>
      <c r="K35" s="147"/>
      <c r="L35" s="685"/>
      <c r="M35" s="685"/>
      <c r="N35" s="685"/>
      <c r="O35" s="701"/>
      <c r="P35" s="148"/>
      <c r="Q35" s="149"/>
    </row>
    <row r="36" spans="1:17" s="127" customFormat="1" ht="15">
      <c r="A36" s="145" t="s">
        <v>104</v>
      </c>
      <c r="B36" s="161">
        <f>+M22</f>
        <v>32</v>
      </c>
      <c r="C36" s="161">
        <f t="shared" si="0"/>
        <v>97</v>
      </c>
      <c r="D36" s="161">
        <f t="shared" si="0"/>
        <v>95.06</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97</v>
      </c>
      <c r="D37" s="161">
        <f t="shared" si="0"/>
        <v>95.06</v>
      </c>
      <c r="E37" s="147"/>
      <c r="F37" s="147"/>
      <c r="G37" s="147"/>
      <c r="H37" s="147"/>
      <c r="I37" s="147"/>
      <c r="J37" s="147"/>
      <c r="K37" s="147"/>
      <c r="L37" s="685"/>
      <c r="M37" s="685"/>
      <c r="N37" s="685"/>
      <c r="O37" s="701"/>
      <c r="P37" s="148"/>
      <c r="Q37" s="149"/>
    </row>
    <row r="38" spans="1:17" s="127" customFormat="1" ht="15.75" thickBot="1">
      <c r="A38" s="152" t="s">
        <v>106</v>
      </c>
      <c r="B38" s="164">
        <f>+O22</f>
        <v>97</v>
      </c>
      <c r="C38" s="164">
        <f>+C37</f>
        <v>97</v>
      </c>
      <c r="D38" s="164">
        <f>+D37</f>
        <v>95.06</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 En cumplimiento de las metas programadas por la DOLTS_GF SNS en el cronograma de actividades del Plan Anual de Gestión - PAG del mes junio de 2025, donde se incluyeron sesenta y cinco (65) caracterizaciones individuales de los “nuevos” Gestores Farmacéuticos identificados por la Dirección de Innovación y Desarrollo de los años 2023 y 2024, se anaxan las evidencias documentales de las actuaciones adelantadas por el Grupo Interno Financiero de esta Delegatura. De esta manera se da cumpliemiento al 100% de lo propuesto para el mes de junio 2025.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 xml:space="preserve">​Se cumple con el indicador dado que se realiza la Caracterización individual de los Gestores Farmacéuticos respecto del componente financiero (32)
</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97 caracterizaciones a la fecha de Gestores farmacéuticos del componente financiero, con cumplimiento la meta de 100%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243ED-9845-4814-9A59-120436C6A507}">
  <sheetPr codeName="Hoja5"/>
  <dimension ref="A1:I25"/>
  <sheetViews>
    <sheetView zoomScaleNormal="100" zoomScaleSheetLayoutView="100" workbookViewId="0">
      <pane ySplit="9" topLeftCell="A10" activePane="bottomLeft" state="frozen"/>
      <selection activeCell="D16" sqref="D16"/>
      <selection pane="bottomLeft" activeCell="A10" sqref="A10"/>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51"/>
      <c r="D7" s="36"/>
      <c r="E7" s="42"/>
      <c r="F7" s="36"/>
      <c r="G7" s="36"/>
    </row>
    <row r="8" spans="1:7" ht="20.25">
      <c r="A8" s="36"/>
      <c r="B8" s="41"/>
      <c r="C8" s="53" t="s">
        <v>152</v>
      </c>
      <c r="D8" s="36"/>
      <c r="E8" s="42"/>
      <c r="F8" s="36"/>
      <c r="G8" s="36"/>
    </row>
    <row r="9" spans="1:7">
      <c r="A9" s="36"/>
      <c r="B9" s="41"/>
      <c r="C9" s="51"/>
      <c r="D9" s="36"/>
      <c r="E9" s="42"/>
      <c r="F9" s="36"/>
      <c r="G9" s="36"/>
    </row>
    <row r="10" spans="1:7" ht="28.5">
      <c r="A10" s="36"/>
      <c r="B10" s="41"/>
      <c r="C10" s="56" t="s">
        <v>534</v>
      </c>
      <c r="D10" s="60" t="s">
        <v>1153</v>
      </c>
      <c r="E10" s="42"/>
      <c r="F10" s="36"/>
      <c r="G10" s="36"/>
    </row>
    <row r="11" spans="1:7" ht="28.5">
      <c r="A11" s="36"/>
      <c r="B11" s="41"/>
      <c r="C11" s="56" t="s">
        <v>536</v>
      </c>
      <c r="D11" s="60" t="s">
        <v>1584</v>
      </c>
      <c r="E11" s="42"/>
      <c r="F11" s="36"/>
      <c r="G11" s="36"/>
    </row>
    <row r="12" spans="1:7" ht="28.5">
      <c r="A12" s="36"/>
      <c r="B12" s="41"/>
      <c r="C12" s="56" t="s">
        <v>174</v>
      </c>
      <c r="D12" s="60" t="s">
        <v>1165</v>
      </c>
      <c r="E12" s="42"/>
      <c r="F12" s="36"/>
      <c r="G12" s="36"/>
    </row>
    <row r="13" spans="1:7" ht="28.5">
      <c r="A13" s="36"/>
      <c r="B13" s="41"/>
      <c r="C13" s="56" t="s">
        <v>183</v>
      </c>
      <c r="D13" s="60" t="s">
        <v>1168</v>
      </c>
      <c r="E13" s="42"/>
      <c r="F13" s="36"/>
      <c r="G13" s="36"/>
    </row>
    <row r="14" spans="1:7" ht="28.5">
      <c r="A14" s="36"/>
      <c r="B14" s="41"/>
      <c r="C14" s="56" t="s">
        <v>153</v>
      </c>
      <c r="D14" s="60" t="s">
        <v>155</v>
      </c>
      <c r="E14" s="42"/>
      <c r="F14" s="36"/>
      <c r="G14" s="36"/>
    </row>
    <row r="15" spans="1:7" ht="28.5">
      <c r="A15" s="36"/>
      <c r="B15" s="41"/>
      <c r="C15" s="56" t="s">
        <v>165</v>
      </c>
      <c r="D15" s="60" t="s">
        <v>167</v>
      </c>
      <c r="E15" s="42"/>
      <c r="F15" s="36"/>
      <c r="G15" s="36"/>
    </row>
    <row r="16" spans="1:7" ht="57">
      <c r="A16" s="36"/>
      <c r="B16" s="41"/>
      <c r="C16" s="56" t="s">
        <v>551</v>
      </c>
      <c r="D16" s="61" t="s">
        <v>1585</v>
      </c>
      <c r="E16" s="42"/>
      <c r="F16" s="36"/>
      <c r="G16" s="36"/>
    </row>
    <row r="17" spans="1:7" ht="28.5">
      <c r="A17" s="36"/>
      <c r="B17" s="41"/>
      <c r="C17" s="56" t="s">
        <v>556</v>
      </c>
      <c r="D17" s="61" t="s">
        <v>669</v>
      </c>
      <c r="E17" s="42"/>
      <c r="F17" s="36"/>
      <c r="G17" s="36"/>
    </row>
    <row r="18" spans="1:7">
      <c r="A18" s="36"/>
      <c r="B18" s="41"/>
      <c r="C18" s="36"/>
      <c r="D18" s="36"/>
      <c r="E18" s="42"/>
      <c r="F18" s="36"/>
      <c r="G18" s="36"/>
    </row>
    <row r="19" spans="1:7" ht="15" thickBot="1">
      <c r="A19" s="36"/>
      <c r="B19" s="43"/>
      <c r="C19" s="44"/>
      <c r="D19" s="44"/>
      <c r="E19" s="45"/>
      <c r="F19" s="36"/>
      <c r="G19" s="36"/>
    </row>
    <row r="20" spans="1:7" s="36" customFormat="1">
      <c r="C20" s="51"/>
    </row>
    <row r="21" spans="1:7" ht="14.25" customHeight="1"/>
    <row r="22" spans="1:7" ht="14.25" customHeight="1"/>
    <row r="23" spans="1:7" ht="14.25" customHeight="1"/>
    <row r="24" spans="1:7" ht="14.25" customHeight="1"/>
    <row r="25" spans="1:7" ht="14.25" customHeight="1"/>
  </sheetData>
  <hyperlinks>
    <hyperlink ref="C10" location="'JC01'!Área_de_impresión" display="JC01" xr:uid="{41FDFCBE-709A-4DE2-8AC7-1C1481CA6CCE}"/>
    <hyperlink ref="C11" location="'JC02'!Área_de_impresión" display="JC02" xr:uid="{4DD8DC22-6E05-4710-B5EB-B2B4D8C02C50}"/>
    <hyperlink ref="C12" location="'JC03'!Área_de_impresión" display="JC03" xr:uid="{DBB6F580-2EB2-4288-B3A4-773BAE8CDCF4}"/>
    <hyperlink ref="C13" location="'JC04'!Área_de_impresión" display="JC04" xr:uid="{29CF650B-7DEE-438A-B846-EBFED7529F6B}"/>
    <hyperlink ref="C14" location="'JC05'!Área_de_impresión" display="JC05" xr:uid="{27E4FC45-583A-47C7-AE48-ACA3EC8074CC}"/>
    <hyperlink ref="C15" location="'JC06'!Área_de_impresión" display="JC06" xr:uid="{74B2E0D2-530E-4A26-89C7-4F6806067582}"/>
    <hyperlink ref="C16" location="'JC07'!Área_de_impresión" display="JC07" xr:uid="{312B6A02-5B33-4572-A6BC-0451E76E140B}"/>
    <hyperlink ref="C17" location="'JC08'!Área_de_impresión" display="JC08" xr:uid="{5166DB58-F529-4CF6-9EBD-7B0DC094054D}"/>
  </hyperlinks>
  <pageMargins left="0.7" right="0.7" top="0.75" bottom="0.75" header="0.3" footer="0.3"/>
  <pageSetup paperSize="9" scale="76" orientation="portrait"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4AB5A-A093-4459-B4CD-BE3D71E2EA2C}">
  <sheetPr codeName="Hoja59"/>
  <dimension ref="A1:Q67"/>
  <sheetViews>
    <sheetView view="pageBreakPreview" zoomScale="80" zoomScaleNormal="73" zoomScaleSheetLayoutView="80" zoomScalePageLayoutView="55" workbookViewId="0">
      <selection activeCell="R19" sqref="R19"/>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3" customHeight="1">
      <c r="A6" s="789" t="s">
        <v>8</v>
      </c>
      <c r="B6" s="790"/>
      <c r="C6" s="711" t="str">
        <f>VLOOKUP(L12,Reporte!$N$5:$BN$133,2,FALSE)</f>
        <v>Actividades de IVC a los OLTS y/o GF objeto de supervisión en el marco del proceso de operación inicial de la Supervisión Basada en Riesgos</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0.75" customHeight="1">
      <c r="A8" s="792" t="s">
        <v>1594</v>
      </c>
      <c r="B8" s="774"/>
      <c r="C8" s="711" t="str">
        <f>VLOOKUP(L12,Reporte!$A$5:$N$133,13,FALSE)</f>
        <v>Realizar actividades de IVC a los Operadores Logísticos de Tecnologías en Salud y/o Gestores Farmacéuticos objeto de supervisión en el marco del proceso de operación</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87" customHeight="1">
      <c r="A10" s="794"/>
      <c r="B10" s="795"/>
      <c r="C10" s="711" t="str">
        <f>VLOOKUP(L12,Reporte!$N$5:$BN$133,4,FALSE)</f>
        <v>Número de actividades de IVC a los OLTS y o GF objeto de supervisión en el marco del proceso de operación inicial de la Supervisión Basada en Riesgos</v>
      </c>
      <c r="D10" s="711"/>
      <c r="E10" s="711"/>
      <c r="F10" s="799" t="str">
        <f>VLOOKUP(L12,Reporte!$N$5:$BN$133,6,FALSE)</f>
        <v>Este indicador mide las activiadades de socialización a los operadores logisticos y gestores farmaceuticos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602</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1.75" customHeight="1">
      <c r="A15" s="728" t="str">
        <f>VLOOKUP(L12,Reporte!$N$5:$BN$133,8,FALSE)</f>
        <v>Numérica</v>
      </c>
      <c r="B15" s="729"/>
      <c r="C15" s="825">
        <f>VLOOKUP(L12,Reporte!$N$5:$BN$133,11,FALSE)</f>
        <v>5</v>
      </c>
      <c r="D15" s="826"/>
      <c r="E15" s="827"/>
      <c r="F15" s="740" t="str">
        <f>VLOOKUP(L12,Reporte!$N$5:$BN$133,9,FALSE)</f>
        <v>Mensual</v>
      </c>
      <c r="G15" s="741"/>
      <c r="H15" s="707" t="s">
        <v>37</v>
      </c>
      <c r="I15" s="707"/>
      <c r="J15" s="746" t="s">
        <v>1595</v>
      </c>
      <c r="K15" s="747"/>
      <c r="L15" s="748"/>
      <c r="M15" s="775" t="str">
        <f>VLOOKUP(L12,Reporte!$N$5:$BN$133,28,FALSE)</f>
        <v>Delegatura para Operadores Logísticos de Tecnologías en Salud y Gestores Farmacéuticos</v>
      </c>
      <c r="N15" s="776"/>
      <c r="O15" s="777"/>
      <c r="P15" s="128"/>
    </row>
    <row r="16" spans="1:17" ht="21.75" customHeight="1">
      <c r="A16" s="730"/>
      <c r="B16" s="731"/>
      <c r="C16" s="828"/>
      <c r="D16" s="829"/>
      <c r="E16" s="830"/>
      <c r="F16" s="742"/>
      <c r="G16" s="743"/>
      <c r="H16" s="707" t="s">
        <v>40</v>
      </c>
      <c r="I16" s="707"/>
      <c r="J16" s="746" t="s">
        <v>1596</v>
      </c>
      <c r="K16" s="747"/>
      <c r="L16" s="748"/>
      <c r="M16" s="778"/>
      <c r="N16" s="779"/>
      <c r="O16" s="780"/>
      <c r="P16" s="128"/>
    </row>
    <row r="17" spans="1:17" ht="21.75"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v>
      </c>
      <c r="I22" s="132">
        <f>VLOOKUP(L12,Reporte!$N$5:$BN$133,36,FALSE)</f>
        <v>1</v>
      </c>
      <c r="J22" s="139">
        <f>VLOOKUP(L12,Reporte!$N$5:$BN$133,37,FALSE)</f>
        <v>0</v>
      </c>
      <c r="K22" s="139">
        <f>VLOOKUP(L12,Reporte!$N$5:$BN$133,38,FALSE)</f>
        <v>0</v>
      </c>
      <c r="L22" s="139">
        <f>VLOOKUP(L12,Reporte!$N$5:$BN$133,39,FALSE)</f>
        <v>2</v>
      </c>
      <c r="M22" s="139">
        <f>VLOOKUP(L12,Reporte!$N$5:$BN$133,40,FALSE)</f>
        <v>0</v>
      </c>
      <c r="N22" s="133">
        <f>VLOOKUP(L12,Reporte!$N$5:$BN$133,41,FALSE)</f>
        <v>0</v>
      </c>
      <c r="O22" s="133">
        <f>SUM(C22:N22)</f>
        <v>4</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1</v>
      </c>
      <c r="H23" s="140">
        <f>VLOOKUP(L12,Reporte!$N$5:$BN$133,47,FALSE)</f>
        <v>1</v>
      </c>
      <c r="I23" s="140">
        <f>VLOOKUP(L12,Reporte!$N$5:$BN$133,48,FALSE)</f>
        <v>1</v>
      </c>
      <c r="J23" s="140">
        <f>VLOOKUP(L12,Reporte!$N$5:$BN$133,49,FALSE)</f>
        <v>0</v>
      </c>
      <c r="K23" s="140">
        <f>VLOOKUP(L12,Reporte!$N$5:$BN$133,50,FALSE)</f>
        <v>0</v>
      </c>
      <c r="L23" s="140">
        <f>VLOOKUP(L12,Reporte!$N$5:$BN$133,51,FALSE)</f>
        <v>2</v>
      </c>
      <c r="M23" s="140">
        <f>VLOOKUP(L12,Reporte!$N$5:$BN$133,52,FALSE)</f>
        <v>0</v>
      </c>
      <c r="N23" s="141">
        <f>VLOOKUP(L12,Reporte!$N$5:$BN$133,53,FALSE)</f>
        <v>0</v>
      </c>
      <c r="O23" s="133">
        <f>SUM(C23:N23)</f>
        <v>5</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5</v>
      </c>
      <c r="D26" s="161">
        <f>+C26*0.98</f>
        <v>4.9000000000000004</v>
      </c>
      <c r="E26" s="147"/>
      <c r="F26" s="147"/>
      <c r="G26" s="685"/>
      <c r="H26" s="685"/>
      <c r="I26" s="699"/>
      <c r="J26" s="699"/>
      <c r="K26" s="699"/>
      <c r="L26" s="685"/>
      <c r="M26" s="685"/>
      <c r="N26" s="685"/>
      <c r="O26" s="701"/>
      <c r="P26" s="148"/>
      <c r="Q26" s="149"/>
    </row>
    <row r="27" spans="1:17" s="127" customFormat="1" ht="15">
      <c r="A27" s="145" t="s">
        <v>95</v>
      </c>
      <c r="B27" s="161">
        <f>+D22</f>
        <v>0</v>
      </c>
      <c r="C27" s="161">
        <f>+C26</f>
        <v>5</v>
      </c>
      <c r="D27" s="161">
        <f>+D26</f>
        <v>4.9000000000000004</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5</v>
      </c>
      <c r="D28" s="161">
        <f t="shared" si="0"/>
        <v>4.9000000000000004</v>
      </c>
      <c r="E28" s="147"/>
      <c r="F28" s="147"/>
      <c r="G28" s="685"/>
      <c r="H28" s="685"/>
      <c r="I28" s="685"/>
      <c r="J28" s="685"/>
      <c r="K28" s="147"/>
      <c r="L28" s="685"/>
      <c r="M28" s="685"/>
      <c r="N28" s="685"/>
      <c r="O28" s="701"/>
      <c r="P28" s="148"/>
      <c r="Q28" s="149"/>
    </row>
    <row r="29" spans="1:17" s="127" customFormat="1" ht="15">
      <c r="A29" s="145" t="s">
        <v>97</v>
      </c>
      <c r="B29" s="161">
        <f>+F22</f>
        <v>0</v>
      </c>
      <c r="C29" s="161">
        <f t="shared" si="0"/>
        <v>5</v>
      </c>
      <c r="D29" s="161">
        <f t="shared" si="0"/>
        <v>4.9000000000000004</v>
      </c>
      <c r="E29" s="147"/>
      <c r="F29" s="147"/>
      <c r="G29" s="685"/>
      <c r="H29" s="685"/>
      <c r="I29" s="685"/>
      <c r="J29" s="685"/>
      <c r="K29" s="147"/>
      <c r="L29" s="685"/>
      <c r="M29" s="685"/>
      <c r="N29" s="685"/>
      <c r="O29" s="701"/>
      <c r="P29" s="148"/>
      <c r="Q29" s="149"/>
    </row>
    <row r="30" spans="1:17" s="127" customFormat="1" ht="15">
      <c r="A30" s="145" t="s">
        <v>98</v>
      </c>
      <c r="B30" s="161">
        <f>+G22</f>
        <v>0</v>
      </c>
      <c r="C30" s="161">
        <f t="shared" si="0"/>
        <v>5</v>
      </c>
      <c r="D30" s="161">
        <f t="shared" si="0"/>
        <v>4.9000000000000004</v>
      </c>
      <c r="E30" s="147"/>
      <c r="F30" s="147"/>
      <c r="G30" s="685"/>
      <c r="H30" s="685"/>
      <c r="I30" s="685"/>
      <c r="J30" s="685"/>
      <c r="K30" s="147"/>
      <c r="L30" s="685"/>
      <c r="M30" s="685"/>
      <c r="N30" s="685"/>
      <c r="O30" s="701"/>
      <c r="P30" s="148"/>
      <c r="Q30" s="149"/>
    </row>
    <row r="31" spans="1:17" s="127" customFormat="1" ht="15">
      <c r="A31" s="145" t="s">
        <v>99</v>
      </c>
      <c r="B31" s="161">
        <f>+H22</f>
        <v>1</v>
      </c>
      <c r="C31" s="161">
        <f t="shared" si="0"/>
        <v>5</v>
      </c>
      <c r="D31" s="161">
        <f t="shared" si="0"/>
        <v>4.9000000000000004</v>
      </c>
      <c r="E31" s="147"/>
      <c r="F31" s="147"/>
      <c r="G31" s="685"/>
      <c r="H31" s="685"/>
      <c r="I31" s="685"/>
      <c r="J31" s="685"/>
      <c r="K31" s="147"/>
      <c r="L31" s="685"/>
      <c r="M31" s="685"/>
      <c r="N31" s="685"/>
      <c r="O31" s="701"/>
      <c r="P31" s="148"/>
      <c r="Q31" s="149"/>
    </row>
    <row r="32" spans="1:17" s="127" customFormat="1" ht="15">
      <c r="A32" s="145" t="s">
        <v>100</v>
      </c>
      <c r="B32" s="161">
        <f>+I22</f>
        <v>1</v>
      </c>
      <c r="C32" s="161">
        <f t="shared" si="0"/>
        <v>5</v>
      </c>
      <c r="D32" s="161">
        <f t="shared" si="0"/>
        <v>4.9000000000000004</v>
      </c>
      <c r="E32" s="147"/>
      <c r="F32" s="147"/>
      <c r="G32" s="685"/>
      <c r="H32" s="685"/>
      <c r="I32" s="685"/>
      <c r="J32" s="685"/>
      <c r="K32" s="147"/>
      <c r="L32" s="685"/>
      <c r="M32" s="685"/>
      <c r="N32" s="685"/>
      <c r="O32" s="701"/>
      <c r="P32" s="148"/>
      <c r="Q32" s="149"/>
    </row>
    <row r="33" spans="1:17" s="127" customFormat="1" ht="15">
      <c r="A33" s="145" t="s">
        <v>101</v>
      </c>
      <c r="B33" s="161">
        <f>+J22</f>
        <v>0</v>
      </c>
      <c r="C33" s="161">
        <f t="shared" si="0"/>
        <v>5</v>
      </c>
      <c r="D33" s="161">
        <f t="shared" si="0"/>
        <v>4.9000000000000004</v>
      </c>
      <c r="E33" s="147"/>
      <c r="F33" s="147"/>
      <c r="G33" s="685"/>
      <c r="H33" s="685"/>
      <c r="I33" s="685"/>
      <c r="J33" s="685"/>
      <c r="K33" s="147"/>
      <c r="L33" s="685"/>
      <c r="M33" s="685"/>
      <c r="N33" s="685"/>
      <c r="O33" s="701"/>
      <c r="P33" s="148"/>
      <c r="Q33" s="149"/>
    </row>
    <row r="34" spans="1:17" s="127" customFormat="1" ht="15">
      <c r="A34" s="145" t="s">
        <v>102</v>
      </c>
      <c r="B34" s="161">
        <f>+K22</f>
        <v>0</v>
      </c>
      <c r="C34" s="161">
        <f t="shared" si="0"/>
        <v>5</v>
      </c>
      <c r="D34" s="161">
        <f t="shared" si="0"/>
        <v>4.9000000000000004</v>
      </c>
      <c r="E34" s="147"/>
      <c r="F34" s="147"/>
      <c r="G34" s="685"/>
      <c r="H34" s="685"/>
      <c r="I34" s="685"/>
      <c r="J34" s="685"/>
      <c r="K34" s="147"/>
      <c r="L34" s="685"/>
      <c r="M34" s="685"/>
      <c r="N34" s="685"/>
      <c r="O34" s="701"/>
      <c r="P34" s="148"/>
      <c r="Q34" s="149"/>
    </row>
    <row r="35" spans="1:17" s="127" customFormat="1" ht="15">
      <c r="A35" s="145" t="s">
        <v>103</v>
      </c>
      <c r="B35" s="161">
        <f>+L22</f>
        <v>2</v>
      </c>
      <c r="C35" s="161">
        <f t="shared" si="0"/>
        <v>5</v>
      </c>
      <c r="D35" s="161">
        <f t="shared" si="0"/>
        <v>4.9000000000000004</v>
      </c>
      <c r="E35" s="147"/>
      <c r="F35" s="147"/>
      <c r="G35" s="685"/>
      <c r="H35" s="685"/>
      <c r="I35" s="685"/>
      <c r="J35" s="685"/>
      <c r="K35" s="147"/>
      <c r="L35" s="685"/>
      <c r="M35" s="685"/>
      <c r="N35" s="685"/>
      <c r="O35" s="701"/>
      <c r="P35" s="148"/>
      <c r="Q35" s="149"/>
    </row>
    <row r="36" spans="1:17" s="127" customFormat="1" ht="15">
      <c r="A36" s="145" t="s">
        <v>104</v>
      </c>
      <c r="B36" s="161">
        <f>+M22</f>
        <v>0</v>
      </c>
      <c r="C36" s="161">
        <f t="shared" si="0"/>
        <v>5</v>
      </c>
      <c r="D36" s="161">
        <f t="shared" si="0"/>
        <v>4.9000000000000004</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5</v>
      </c>
      <c r="D37" s="161">
        <f t="shared" si="0"/>
        <v>4.9000000000000004</v>
      </c>
      <c r="E37" s="147"/>
      <c r="F37" s="147"/>
      <c r="G37" s="147"/>
      <c r="H37" s="147"/>
      <c r="I37" s="147"/>
      <c r="J37" s="147"/>
      <c r="K37" s="147"/>
      <c r="L37" s="685"/>
      <c r="M37" s="685"/>
      <c r="N37" s="685"/>
      <c r="O37" s="701"/>
      <c r="P37" s="148"/>
      <c r="Q37" s="149"/>
    </row>
    <row r="38" spans="1:17" s="127" customFormat="1" ht="15.75" thickBot="1">
      <c r="A38" s="152" t="s">
        <v>106</v>
      </c>
      <c r="B38" s="164">
        <f>+O22</f>
        <v>4</v>
      </c>
      <c r="C38" s="164">
        <f>+C37</f>
        <v>5</v>
      </c>
      <c r="D38" s="164">
        <f>+D37</f>
        <v>4.9000000000000004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 Para dar cumplimiento a la Actividades de IVC a Gestores Farmacéuticos objeto de supervisión en el marco del proceso de operación inicial de la Supervisión Basada en Riesgos se programó para los días 28 y 29 de mayo en la ciudad de Bucaramanga, en el contexto de la Mesa Técnica para los departamentos de Santander y Norte de Santander. Teniendo en cuenta la convocatoria de Paro Nacional anunciada por las Centrales Obreras para los días 28 y 29 de mayo, esta actividad será reprogramada.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​Se realizó actividad de IV con el Gestor Farmacéutico COHAN y  representantes de FOMAG en la ciudad de Quibdo  la cual tuvo como objetivos fundamental:Presentación de la información por parte del Gestor Farmacéutico.Presentación de la información por parte de la EAPB.Lo cual es fundamental para el cumplimiento de las acciones de IV de la DOLTS-GF, de esta manera se da cumplimiento al 100% de lo propuesto en el PAG para mayo 2025.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 xml:space="preserve">​​Se cumple con la programación de la actividad dado que se realizan actividades de IVC al gestor farmacéutico CAJA COLOMBIANA DE SUBSIDIO FAMILIAR - COLSUBSIDIO objeto de supervisión en el marco del proceso de operación inicial de la Supervisión Basada en Riesgos.
</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 xml:space="preserve">​​​Se cumple con la programación de la actividad dado que se realizan (2) actividades de socialización y acompañamiento a las entidades vigiladas como punto de partida para la implementación de los sistemas de gestión de riesgos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4 actividades de IVC a los OLTS y/o GF objeto de supervisión de los 5 programados es decir 80%, es decir un incumplimiento la meta de establecida para 2025. Se recomienda al área que se tomen medidas para la vigencia 2026 que permitan cumplir con la meta.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D3E25-36D3-4D05-9944-3A7E1E1B3F3E}">
  <sheetPr codeName="Hoja6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30" customHeight="1">
      <c r="A6" s="789" t="s">
        <v>8</v>
      </c>
      <c r="B6" s="790"/>
      <c r="C6" s="711" t="str">
        <f>VLOOKUP(L12,Reporte!$N$5:$BN$133,2,FALSE)</f>
        <v>Porcentaje de solicitudes de información y/ reclamos en salud gestionados finalizados tramitados a los grupos de valor o de interés de la SNS presentados a la DOLTS-GF</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32.25" customHeight="1">
      <c r="A8" s="792" t="s">
        <v>1594</v>
      </c>
      <c r="B8" s="774"/>
      <c r="C8" s="711" t="str">
        <f>VLOOKUP(L12,Reporte!$A$5:$N$133,13,FALSE)</f>
        <v>Gestionar las solicitudes de información y/ reclamos en salud presentados por los grupos de valor o de interés a la Delegada para Operadores Logísticos de Tecnologías en Salud y Gestores Farmacéuticos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Sumatoria del número de solicitudes de información y  reclamos en salud finalizados </v>
      </c>
      <c r="D10" s="711"/>
      <c r="E10" s="711"/>
      <c r="F10" s="799" t="str">
        <f>VLOOKUP(L12,Reporte!$N$5:$BN$133,6,FALSE)</f>
        <v>Este indicador mide el porcentaje de solicitudes de iformación de raclamos de los grupos de valor.</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6.25" customHeight="1" thickBot="1">
      <c r="A12" s="796"/>
      <c r="B12" s="768"/>
      <c r="C12" s="710" t="str">
        <f>VLOOKUP(L12,Reporte!$N$5:$BN$133,5,FALSE)</f>
        <v xml:space="preserve"> Número de solicitudes de información y  reclamos en salud interpuestos por los grupos de valor o de interés) * 100</v>
      </c>
      <c r="D12" s="711"/>
      <c r="E12" s="711"/>
      <c r="F12" s="799"/>
      <c r="G12" s="799"/>
      <c r="H12" s="799"/>
      <c r="I12" s="799"/>
      <c r="J12" s="712" t="str">
        <f>VLOOKUP(L12,Reporte!$N$5:$BN$133,7,FALSE)</f>
        <v>Eficiencia</v>
      </c>
      <c r="K12" s="712"/>
      <c r="L12" s="713" t="s">
        <v>575</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1" customHeight="1">
      <c r="A15" s="728" t="str">
        <f>VLOOKUP(L12,Reporte!$N$5:$BN$133,8,FALSE)</f>
        <v xml:space="preserve">Porcentual </v>
      </c>
      <c r="B15" s="729"/>
      <c r="C15" s="734">
        <f>VLOOKUP(L12,Reporte!$N$5:$BN$133,11,FALSE)</f>
        <v>0.96</v>
      </c>
      <c r="D15" s="735"/>
      <c r="E15" s="729"/>
      <c r="F15" s="740" t="str">
        <f>VLOOKUP(L12,Reporte!$N$5:$BN$133,9,FALSE)</f>
        <v>Cuatrimestral</v>
      </c>
      <c r="G15" s="741"/>
      <c r="H15" s="707" t="s">
        <v>37</v>
      </c>
      <c r="I15" s="707"/>
      <c r="J15" s="746" t="s">
        <v>1595</v>
      </c>
      <c r="K15" s="747"/>
      <c r="L15" s="748"/>
      <c r="M15" s="775" t="str">
        <f>VLOOKUP(L12,Reporte!$N$5:$BN$133,28,FALSE)</f>
        <v>Delegatura para Operadores Logísticos de Tecnologías en Salud y Gestores Farmacéuticos</v>
      </c>
      <c r="N15" s="776"/>
      <c r="O15" s="777"/>
      <c r="P15" s="128"/>
    </row>
    <row r="16" spans="1:17" ht="21" customHeight="1">
      <c r="A16" s="730"/>
      <c r="B16" s="731"/>
      <c r="C16" s="736"/>
      <c r="D16" s="737"/>
      <c r="E16" s="731"/>
      <c r="F16" s="742"/>
      <c r="G16" s="743"/>
      <c r="H16" s="707" t="s">
        <v>40</v>
      </c>
      <c r="I16" s="707"/>
      <c r="J16" s="746" t="s">
        <v>1596</v>
      </c>
      <c r="K16" s="747"/>
      <c r="L16" s="748"/>
      <c r="M16" s="778"/>
      <c r="N16" s="779"/>
      <c r="O16" s="780"/>
      <c r="P16" s="128"/>
    </row>
    <row r="17" spans="1:17" ht="21" customHeight="1"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828</v>
      </c>
      <c r="G22" s="132">
        <f>VLOOKUP(L12,Reporte!$N$5:$BN$133,34,FALSE)</f>
        <v>0</v>
      </c>
      <c r="H22" s="139">
        <f>VLOOKUP(L12,Reporte!$N$5:$BN$133,35,FALSE)</f>
        <v>0</v>
      </c>
      <c r="I22" s="132">
        <f>VLOOKUP(L12,Reporte!$N$5:$BN$133,36,FALSE)</f>
        <v>0</v>
      </c>
      <c r="J22" s="139">
        <f>VLOOKUP(L12,Reporte!$N$5:$BN$133,37,FALSE)</f>
        <v>211</v>
      </c>
      <c r="K22" s="139">
        <f>VLOOKUP(L12,Reporte!$N$5:$BN$133,38,FALSE)</f>
        <v>0</v>
      </c>
      <c r="L22" s="139">
        <f>VLOOKUP(L12,Reporte!$N$5:$BN$133,39,FALSE)</f>
        <v>0</v>
      </c>
      <c r="M22" s="139">
        <f>VLOOKUP(L12,Reporte!$N$5:$BN$133,40,FALSE)</f>
        <v>0</v>
      </c>
      <c r="N22" s="133">
        <f>VLOOKUP(L12,Reporte!$N$5:$BN$133,41,FALSE)</f>
        <v>513</v>
      </c>
      <c r="O22" s="133">
        <f>SUM(C22:N22)</f>
        <v>1552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919</v>
      </c>
      <c r="G23" s="140">
        <f>VLOOKUP(L12,Reporte!$N$5:$BN$133,46,FALSE)</f>
        <v>0</v>
      </c>
      <c r="H23" s="140">
        <f>VLOOKUP(L12,Reporte!$N$5:$BN$133,47,FALSE)</f>
        <v>0</v>
      </c>
      <c r="I23" s="140">
        <f>VLOOKUP(L12,Reporte!$N$5:$BN$133,48,FALSE)</f>
        <v>0</v>
      </c>
      <c r="J23" s="140">
        <f>VLOOKUP(L12,Reporte!$N$5:$BN$133,49,FALSE)</f>
        <v>276</v>
      </c>
      <c r="K23" s="140">
        <f>VLOOKUP(L12,Reporte!$N$5:$BN$133,50,FALSE)</f>
        <v>0</v>
      </c>
      <c r="L23" s="140">
        <f>VLOOKUP(L12,Reporte!$N$5:$BN$133,51,FALSE)</f>
        <v>0</v>
      </c>
      <c r="M23" s="140">
        <f>VLOOKUP(L12,Reporte!$N$5:$BN$133,52,FALSE)</f>
        <v>0</v>
      </c>
      <c r="N23" s="141">
        <f>VLOOKUP(L12,Reporte!$N$5:$BN$133,53,FALSE)</f>
        <v>645</v>
      </c>
      <c r="O23" s="133">
        <f>SUM(C23:N23)</f>
        <v>1840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0.96</v>
      </c>
      <c r="D26" s="146">
        <f>+C26*0.98</f>
        <v>0.94079999999999997</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0.96</v>
      </c>
      <c r="D27" s="146">
        <f>+D26</f>
        <v>0.94079999999999997</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0.96</v>
      </c>
      <c r="D28" s="146">
        <f t="shared" si="0"/>
        <v>0.94079999999999997</v>
      </c>
      <c r="E28" s="147"/>
      <c r="F28" s="147"/>
      <c r="G28" s="685"/>
      <c r="H28" s="685"/>
      <c r="I28" s="685"/>
      <c r="J28" s="685"/>
      <c r="K28" s="147"/>
      <c r="L28" s="685"/>
      <c r="M28" s="685"/>
      <c r="N28" s="685"/>
      <c r="O28" s="701"/>
      <c r="P28" s="148"/>
      <c r="Q28" s="149"/>
    </row>
    <row r="29" spans="1:17" s="127" customFormat="1" ht="15">
      <c r="A29" s="145" t="s">
        <v>97</v>
      </c>
      <c r="B29" s="146">
        <f>IF(ISERROR($F$22/$F$23),0,$F$22/$F$23)</f>
        <v>0.90097932535364522</v>
      </c>
      <c r="C29" s="146">
        <f t="shared" si="0"/>
        <v>0.96</v>
      </c>
      <c r="D29" s="146">
        <f t="shared" si="0"/>
        <v>0.94079999999999997</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0.96</v>
      </c>
      <c r="D30" s="146">
        <f t="shared" si="0"/>
        <v>0.94079999999999997</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0.96</v>
      </c>
      <c r="D31" s="146">
        <f t="shared" si="0"/>
        <v>0.94079999999999997</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0.96</v>
      </c>
      <c r="D32" s="146">
        <f t="shared" si="0"/>
        <v>0.94079999999999997</v>
      </c>
      <c r="E32" s="147"/>
      <c r="F32" s="147"/>
      <c r="G32" s="685"/>
      <c r="H32" s="685"/>
      <c r="I32" s="685"/>
      <c r="J32" s="685"/>
      <c r="K32" s="147"/>
      <c r="L32" s="685"/>
      <c r="M32" s="685"/>
      <c r="N32" s="685"/>
      <c r="O32" s="701"/>
      <c r="P32" s="148"/>
      <c r="Q32" s="149"/>
    </row>
    <row r="33" spans="1:17" s="127" customFormat="1" ht="15">
      <c r="A33" s="145" t="s">
        <v>101</v>
      </c>
      <c r="B33" s="146">
        <f>IF(ISERROR($J$22/$J$23),0,$J$22/$J$23)</f>
        <v>0.76449275362318836</v>
      </c>
      <c r="C33" s="146">
        <f t="shared" si="0"/>
        <v>0.96</v>
      </c>
      <c r="D33" s="146">
        <f t="shared" si="0"/>
        <v>0.94079999999999997</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0.96</v>
      </c>
      <c r="D34" s="146">
        <f t="shared" si="0"/>
        <v>0.94079999999999997</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0.96</v>
      </c>
      <c r="D35" s="146">
        <f t="shared" si="0"/>
        <v>0.94079999999999997</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0.96</v>
      </c>
      <c r="D36" s="146">
        <f t="shared" si="0"/>
        <v>0.94079999999999997</v>
      </c>
      <c r="E36" s="147"/>
      <c r="F36" s="147"/>
      <c r="G36" s="685"/>
      <c r="H36" s="685"/>
      <c r="I36" s="685"/>
      <c r="J36" s="685"/>
      <c r="K36" s="147"/>
      <c r="L36" s="685"/>
      <c r="M36" s="685"/>
      <c r="N36" s="685"/>
      <c r="O36" s="701"/>
      <c r="P36" s="148"/>
      <c r="Q36" s="149"/>
    </row>
    <row r="37" spans="1:17" s="127" customFormat="1" ht="15.75" thickBot="1">
      <c r="A37" s="150" t="s">
        <v>105</v>
      </c>
      <c r="B37" s="151">
        <f>IF(ISERROR($N$22/$N$23),0,$N$22/$N$23)</f>
        <v>0.79534883720930227</v>
      </c>
      <c r="C37" s="146">
        <f t="shared" si="0"/>
        <v>0.96</v>
      </c>
      <c r="D37" s="146">
        <f t="shared" si="0"/>
        <v>0.94079999999999997</v>
      </c>
      <c r="E37" s="147"/>
      <c r="F37" s="147"/>
      <c r="G37" s="147"/>
      <c r="H37" s="147"/>
      <c r="I37" s="147"/>
      <c r="J37" s="147"/>
      <c r="K37" s="147"/>
      <c r="L37" s="685"/>
      <c r="M37" s="685"/>
      <c r="N37" s="685"/>
      <c r="O37" s="701"/>
      <c r="P37" s="148"/>
      <c r="Q37" s="149"/>
    </row>
    <row r="38" spans="1:17" s="127" customFormat="1" ht="15.75" thickBot="1">
      <c r="A38" s="152" t="s">
        <v>106</v>
      </c>
      <c r="B38" s="153">
        <f>IF(ISERROR($O$22/$O$23),0,$O$22/$O$23)</f>
        <v>0.84347826086956523</v>
      </c>
      <c r="C38" s="153">
        <f>+C37</f>
        <v>0.96</v>
      </c>
      <c r="D38" s="153">
        <f>+D37</f>
        <v>0.94079999999999997</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55.5" customHeight="1" thickBot="1">
      <c r="A47" s="670" t="str">
        <f>VLOOKUP(L12,Reporte!$N$5:$BZ$133,57,FALSE)</f>
        <v xml:space="preserve">En  el periodo de enero a   abril del 2025, el  90,10% (828)  de los tramites presentados por los grupos   de valor o de interés a la Delegada para Operadores Logísticos de Tecnologías   en Salud y Gestores Farmacéuticos    fueron tramitados  y  finalizados y  el    9,9 % (91)  se encuentran en   desarrollo.
Es importante indicar que aunque no se cumplio con el objetivo, la   DOLTS_GF, para el primer cuatrimestres del 2025 presento un incremento de 439   reclamos en comparación con el año anterior    y  asi mismo el número de   funcioarios se encuentra disminuido con respecto al año anterior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7" customHeight="1" thickBot="1">
      <c r="A63" s="673" t="str">
        <f>VLOOKUP(L12,Reporte!$N$5:$BZ$133,65,FALSE)</f>
        <v xml:space="preserve">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De los 1840 reclamos de salud radicados se gestionaron 1552, es decir el 84% lo que equivale a un incumplimiento de la meta establecida de 96% para 2025. Se deben tomar medidas para en 2026 aumentar la eficiencia en esta gestión.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89752-3365-414D-B70B-6A330D37D410}">
  <sheetPr codeName="Hoja61"/>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solicitudes de información y/ reclamos en salud finalizados por falta de oportunidad en la entrega o entrega incompleta de tecnologías en salud tramitados a los grupos de valor o interés de la SNS presentados a la DOLTS-GF</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44.25" customHeight="1">
      <c r="A8" s="792" t="s">
        <v>1594</v>
      </c>
      <c r="B8" s="774"/>
      <c r="C8" s="711" t="str">
        <f>VLOOKUP(L12,Reporte!$A$5:$N$133,13,FALSE)</f>
        <v>Gestionar solicitudes de información y/ reclamos en salud presentados por falta de oportunidad en la entrega o entrega incompleta de Tecnologías en salud presentados por los grupos de valor o interés a la Delegada para Operadores Logísticos de Tecnologías en Salud y Gestores Farmacéuticos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103.5" customHeight="1">
      <c r="A10" s="794"/>
      <c r="B10" s="795"/>
      <c r="C10" s="711" t="str">
        <f>VLOOKUP(L12,Reporte!$N$5:$BN$133,4,FALSE)</f>
        <v>Sumatoria del número de solicitudes de información y  reclamos en salud finalizados por falta de oportunidad en la entrega o entrega incompleta de tecnologías en salud en el periodo</v>
      </c>
      <c r="D10" s="711"/>
      <c r="E10" s="711"/>
      <c r="F10" s="799" t="str">
        <f>VLOOKUP(L12,Reporte!$N$5:$BN$133,6,FALSE)</f>
        <v>Mide las solicitudes de información y/ reclamos en salud finalizados por falta de oportunidad en la entrega o entrega incompleta de tecnologías en salud tramitados a los grupos de valor o interés de la SNS presentados a la DOLTS-GF</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96.75" customHeight="1" thickBot="1">
      <c r="A12" s="796"/>
      <c r="B12" s="768"/>
      <c r="C12" s="710" t="str">
        <f>VLOOKUP(L12,Reporte!$N$5:$BN$133,5,FALSE)</f>
        <v xml:space="preserve"> Número de solicitudes de información y  reclamos en salud interpuestos por los grupos de valor o interés por falta de oportunidad en la entrega o entrega incompleta de tecnologías en salud) * 100</v>
      </c>
      <c r="D12" s="711"/>
      <c r="E12" s="711"/>
      <c r="F12" s="799"/>
      <c r="G12" s="799"/>
      <c r="H12" s="799"/>
      <c r="I12" s="799"/>
      <c r="J12" s="712" t="str">
        <f>VLOOKUP(L12,Reporte!$N$5:$BN$133,7,FALSE)</f>
        <v>Eficiencia</v>
      </c>
      <c r="K12" s="712"/>
      <c r="L12" s="713" t="s">
        <v>579</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9.5" customHeight="1">
      <c r="A15" s="728" t="str">
        <f>VLOOKUP(L12,Reporte!$N$5:$BN$133,8,FALSE)</f>
        <v xml:space="preserve">Porcentual </v>
      </c>
      <c r="B15" s="729"/>
      <c r="C15" s="734">
        <f>VLOOKUP(L12,Reporte!$N$5:$BN$133,11,FALSE)</f>
        <v>0.96</v>
      </c>
      <c r="D15" s="735"/>
      <c r="E15" s="729"/>
      <c r="F15" s="740" t="str">
        <f>VLOOKUP(L12,Reporte!$N$5:$BN$133,9,FALSE)</f>
        <v>Cuatrimestral</v>
      </c>
      <c r="G15" s="741"/>
      <c r="H15" s="707" t="s">
        <v>37</v>
      </c>
      <c r="I15" s="707"/>
      <c r="J15" s="746" t="s">
        <v>1595</v>
      </c>
      <c r="K15" s="747"/>
      <c r="L15" s="748"/>
      <c r="M15" s="775" t="str">
        <f>VLOOKUP(L12,Reporte!$N$5:$BN$133,28,FALSE)</f>
        <v>Delegatura para Operadores Logísticos de Tecnologías en Salud y Gestores Farmacéuticos</v>
      </c>
      <c r="N15" s="776"/>
      <c r="O15" s="777"/>
      <c r="P15" s="128"/>
    </row>
    <row r="16" spans="1:17" ht="19.5" customHeight="1">
      <c r="A16" s="730"/>
      <c r="B16" s="731"/>
      <c r="C16" s="736"/>
      <c r="D16" s="737"/>
      <c r="E16" s="731"/>
      <c r="F16" s="742"/>
      <c r="G16" s="743"/>
      <c r="H16" s="707" t="s">
        <v>40</v>
      </c>
      <c r="I16" s="707"/>
      <c r="J16" s="746" t="s">
        <v>1596</v>
      </c>
      <c r="K16" s="747"/>
      <c r="L16" s="748"/>
      <c r="M16" s="778"/>
      <c r="N16" s="779"/>
      <c r="O16" s="780"/>
      <c r="P16" s="128"/>
    </row>
    <row r="17" spans="1:17" ht="19.5" customHeight="1"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102</v>
      </c>
      <c r="G22" s="132">
        <f>VLOOKUP(L12,Reporte!$N$5:$BN$133,34,FALSE)</f>
        <v>0</v>
      </c>
      <c r="H22" s="139">
        <f>VLOOKUP(L12,Reporte!$N$5:$BN$133,35,FALSE)</f>
        <v>0</v>
      </c>
      <c r="I22" s="132">
        <f>VLOOKUP(L12,Reporte!$N$5:$BN$133,36,FALSE)</f>
        <v>0</v>
      </c>
      <c r="J22" s="139">
        <f>VLOOKUP(L12,Reporte!$N$5:$BN$133,37,FALSE)</f>
        <v>151</v>
      </c>
      <c r="K22" s="139">
        <f>VLOOKUP(L12,Reporte!$N$5:$BN$133,38,FALSE)</f>
        <v>0</v>
      </c>
      <c r="L22" s="139">
        <f>VLOOKUP(L12,Reporte!$N$5:$BN$133,39,FALSE)</f>
        <v>0</v>
      </c>
      <c r="M22" s="139">
        <f>VLOOKUP(L12,Reporte!$N$5:$BN$133,40,FALSE)</f>
        <v>0</v>
      </c>
      <c r="N22" s="133">
        <f>VLOOKUP(L12,Reporte!$N$5:$BN$133,41,FALSE)</f>
        <v>114</v>
      </c>
      <c r="O22" s="133">
        <f>SUM(C22:N22)</f>
        <v>367</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106</v>
      </c>
      <c r="G23" s="140">
        <f>VLOOKUP(L12,Reporte!$N$5:$BN$133,46,FALSE)</f>
        <v>0</v>
      </c>
      <c r="H23" s="140">
        <f>VLOOKUP(L12,Reporte!$N$5:$BN$133,47,FALSE)</f>
        <v>0</v>
      </c>
      <c r="I23" s="140">
        <f>VLOOKUP(L12,Reporte!$N$5:$BN$133,48,FALSE)</f>
        <v>0</v>
      </c>
      <c r="J23" s="140">
        <f>VLOOKUP(L12,Reporte!$N$5:$BN$133,49,FALSE)</f>
        <v>196</v>
      </c>
      <c r="K23" s="140">
        <f>VLOOKUP(L12,Reporte!$N$5:$BN$133,50,FALSE)</f>
        <v>0</v>
      </c>
      <c r="L23" s="140">
        <f>VLOOKUP(L12,Reporte!$N$5:$BN$133,51,FALSE)</f>
        <v>0</v>
      </c>
      <c r="M23" s="140">
        <f>VLOOKUP(L12,Reporte!$N$5:$BN$133,52,FALSE)</f>
        <v>0</v>
      </c>
      <c r="N23" s="141">
        <f>VLOOKUP(L12,Reporte!$N$5:$BN$133,53,FALSE)</f>
        <v>126</v>
      </c>
      <c r="O23" s="133">
        <f>SUM(C23:N23)</f>
        <v>428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0.96</v>
      </c>
      <c r="D26" s="146">
        <f>+C26*0.98</f>
        <v>0.94079999999999997</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0.96</v>
      </c>
      <c r="D27" s="146">
        <f>+D26</f>
        <v>0.94079999999999997</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0.96</v>
      </c>
      <c r="D28" s="146">
        <f t="shared" si="0"/>
        <v>0.94079999999999997</v>
      </c>
      <c r="E28" s="147"/>
      <c r="F28" s="147"/>
      <c r="G28" s="685"/>
      <c r="H28" s="685"/>
      <c r="I28" s="685"/>
      <c r="J28" s="685"/>
      <c r="K28" s="147"/>
      <c r="L28" s="685"/>
      <c r="M28" s="685"/>
      <c r="N28" s="685"/>
      <c r="O28" s="701"/>
      <c r="P28" s="148"/>
      <c r="Q28" s="149"/>
    </row>
    <row r="29" spans="1:17" s="127" customFormat="1" ht="15">
      <c r="A29" s="145" t="s">
        <v>97</v>
      </c>
      <c r="B29" s="146">
        <f>IF(ISERROR($F$22/$F$23),0,$F$22/$F$23)</f>
        <v>0.96226415094339623</v>
      </c>
      <c r="C29" s="146">
        <f t="shared" si="0"/>
        <v>0.96</v>
      </c>
      <c r="D29" s="146">
        <f t="shared" si="0"/>
        <v>0.94079999999999997</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0.96</v>
      </c>
      <c r="D30" s="146">
        <f t="shared" si="0"/>
        <v>0.94079999999999997</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0.96</v>
      </c>
      <c r="D31" s="146">
        <f t="shared" si="0"/>
        <v>0.94079999999999997</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0.96</v>
      </c>
      <c r="D32" s="146">
        <f t="shared" si="0"/>
        <v>0.94079999999999997</v>
      </c>
      <c r="E32" s="147"/>
      <c r="F32" s="147"/>
      <c r="G32" s="685"/>
      <c r="H32" s="685"/>
      <c r="I32" s="685"/>
      <c r="J32" s="685"/>
      <c r="K32" s="147"/>
      <c r="L32" s="685"/>
      <c r="M32" s="685"/>
      <c r="N32" s="685"/>
      <c r="O32" s="701"/>
      <c r="P32" s="148"/>
      <c r="Q32" s="149"/>
    </row>
    <row r="33" spans="1:17" s="127" customFormat="1" ht="15">
      <c r="A33" s="145" t="s">
        <v>101</v>
      </c>
      <c r="B33" s="146">
        <f>IF(ISERROR($J$22/$J$23),0,$J$22/$J$23)</f>
        <v>0.77040816326530615</v>
      </c>
      <c r="C33" s="146">
        <f t="shared" si="0"/>
        <v>0.96</v>
      </c>
      <c r="D33" s="146">
        <f t="shared" si="0"/>
        <v>0.94079999999999997</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0.96</v>
      </c>
      <c r="D34" s="146">
        <f t="shared" si="0"/>
        <v>0.94079999999999997</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0.96</v>
      </c>
      <c r="D35" s="146">
        <f t="shared" si="0"/>
        <v>0.94079999999999997</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0.96</v>
      </c>
      <c r="D36" s="146">
        <f t="shared" si="0"/>
        <v>0.94079999999999997</v>
      </c>
      <c r="E36" s="147"/>
      <c r="F36" s="147"/>
      <c r="G36" s="685"/>
      <c r="H36" s="685"/>
      <c r="I36" s="685"/>
      <c r="J36" s="685"/>
      <c r="K36" s="147"/>
      <c r="L36" s="685"/>
      <c r="M36" s="685"/>
      <c r="N36" s="685"/>
      <c r="O36" s="701"/>
      <c r="P36" s="148"/>
      <c r="Q36" s="149"/>
    </row>
    <row r="37" spans="1:17" s="127" customFormat="1" ht="15.75" thickBot="1">
      <c r="A37" s="150" t="s">
        <v>105</v>
      </c>
      <c r="B37" s="151">
        <f>IF(ISERROR($N$22/$N$23),0,$N$22/$N$23)</f>
        <v>0.90476190476190477</v>
      </c>
      <c r="C37" s="146">
        <f t="shared" si="0"/>
        <v>0.96</v>
      </c>
      <c r="D37" s="146">
        <f t="shared" si="0"/>
        <v>0.94079999999999997</v>
      </c>
      <c r="E37" s="147"/>
      <c r="F37" s="147"/>
      <c r="G37" s="147"/>
      <c r="H37" s="147"/>
      <c r="I37" s="147"/>
      <c r="J37" s="147"/>
      <c r="K37" s="147"/>
      <c r="L37" s="685"/>
      <c r="M37" s="685"/>
      <c r="N37" s="685"/>
      <c r="O37" s="701"/>
      <c r="P37" s="148"/>
      <c r="Q37" s="149"/>
    </row>
    <row r="38" spans="1:17" s="127" customFormat="1" ht="15.75" thickBot="1">
      <c r="A38" s="152" t="s">
        <v>106</v>
      </c>
      <c r="B38" s="153">
        <f>IF(ISERROR($O$22/$O$23),0,$O$22/$O$23)</f>
        <v>0.85747663551401865</v>
      </c>
      <c r="C38" s="153">
        <f>+C37</f>
        <v>0.96</v>
      </c>
      <c r="D38" s="153">
        <f>+D37</f>
        <v>0.94079999999999997</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​En  el periodo de enero a   abril del 2025,  el 96,23% (102) de   los   reclamos en salud relacionados   con  falta de oportunidad en la entrega   o entrega incompleta de Tecnologías en salud    fueron  tramitados y  finalizados y el 3,77% (4)  se encuentran en desarrollo.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7.75" customHeight="1" thickBot="1">
      <c r="A63" s="673" t="str">
        <f>VLOOKUP(L12,Reporte!$N$5:$BZ$133,65,FALSE)</f>
        <v xml:space="preserve">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De los 428 solicitudes y reclamos relacionados con tecnologías en salud radicados se gestionaron 367, es decir el 86% lo que equivale a un incumplimiento de la meta establecida de 96% para2025. Se deben tomar medidas para en 2026 aumentar la eficiencia en esta gestión.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77364-C3C5-4ADF-925B-9E69B957F1A4}">
  <sheetPr codeName="Hoja62"/>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RELACIONAMIENTO CON LA CIUDADANÍA Y GRUPOS DE VALOR</v>
      </c>
      <c r="D5" s="787"/>
      <c r="E5" s="787"/>
      <c r="F5" s="787"/>
      <c r="G5" s="787"/>
      <c r="H5" s="787"/>
      <c r="I5" s="787"/>
      <c r="J5" s="787"/>
      <c r="K5" s="787"/>
      <c r="L5" s="787"/>
      <c r="M5" s="787"/>
      <c r="N5" s="787"/>
      <c r="O5" s="788"/>
      <c r="P5" s="130"/>
      <c r="Q5" s="131"/>
    </row>
    <row r="6" spans="1:17" ht="30" customHeight="1">
      <c r="A6" s="789" t="s">
        <v>8</v>
      </c>
      <c r="B6" s="790"/>
      <c r="C6" s="711" t="str">
        <f>VLOOKUP(L12,Reporte!$N$5:$BN$133,2,FALSE)</f>
        <v>Porcentaje de reclamos en salud trasladados por la Delegada para la Protección al Usuario a la DOLTS-GF finalizados tramitados</v>
      </c>
      <c r="D6" s="711"/>
      <c r="E6" s="711"/>
      <c r="F6" s="711"/>
      <c r="G6" s="711"/>
      <c r="H6" s="711"/>
      <c r="I6" s="711"/>
      <c r="J6" s="711"/>
      <c r="K6" s="711"/>
      <c r="L6" s="711"/>
      <c r="M6" s="711"/>
      <c r="N6" s="711"/>
      <c r="O6" s="791"/>
      <c r="P6" s="128"/>
    </row>
    <row r="7" spans="1:17" ht="58.5" customHeight="1">
      <c r="A7" s="789" t="s">
        <v>10</v>
      </c>
      <c r="B7" s="790"/>
      <c r="C7" s="711" t="str">
        <f>VLOOKUP(L12,Reporte!A5:M133,10,FALSE)</f>
        <v>Coordinar la interacción con la ciudadanía, los usuarios y grupos de valor para el acceso a la oferta institucional y a sus derechos fundamentales mediante la articulación de lineamientos, estrategias e implementación de acciones con el propósito de optimizar los escenarios de relacionamiento, prestar un servicio de excelencia y realizar la entrega efectiva de productos, servicios e información con calidad y oportunidad.</v>
      </c>
      <c r="D7" s="711"/>
      <c r="E7" s="711"/>
      <c r="F7" s="711"/>
      <c r="G7" s="711"/>
      <c r="H7" s="711"/>
      <c r="I7" s="711"/>
      <c r="J7" s="711"/>
      <c r="K7" s="711"/>
      <c r="L7" s="711"/>
      <c r="M7" s="711"/>
      <c r="N7" s="711"/>
      <c r="O7" s="791"/>
      <c r="P7" s="128"/>
    </row>
    <row r="8" spans="1:17" ht="30" customHeight="1">
      <c r="A8" s="792" t="s">
        <v>1594</v>
      </c>
      <c r="B8" s="774"/>
      <c r="C8" s="711" t="str">
        <f>VLOOKUP(L12,Reporte!$A$5:$N$133,13,FALSE)</f>
        <v>Tramitar los reclamos en salud trasladados por la Delegada de Protección al Usuario a la Delegada para Operadores Logísticos de Tecnologías en Salud y Gestores Farmacéuticos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Sumatoria del número de reclamos en salud trasladados por DPU finalizados </v>
      </c>
      <c r="D10" s="711"/>
      <c r="E10" s="711"/>
      <c r="F10" s="799" t="str">
        <f>VLOOKUP(L12,Reporte!$N$5:$BN$133,6,FALSE)</f>
        <v>Este indicador mide el porcentaje de reclamos por la delegada de protección al usuario.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reclamos en salud trasladados por DPU * 100</v>
      </c>
      <c r="D12" s="711"/>
      <c r="E12" s="711"/>
      <c r="F12" s="799"/>
      <c r="G12" s="799"/>
      <c r="H12" s="799"/>
      <c r="I12" s="799"/>
      <c r="J12" s="712" t="str">
        <f>VLOOKUP(L12,Reporte!$N$5:$BN$133,7,FALSE)</f>
        <v>Eficiencia</v>
      </c>
      <c r="K12" s="712"/>
      <c r="L12" s="713" t="s">
        <v>584</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1.75" customHeight="1">
      <c r="A15" s="728" t="str">
        <f>VLOOKUP(L12,Reporte!$N$5:$BN$133,8,FALSE)</f>
        <v xml:space="preserve">Porcentual </v>
      </c>
      <c r="B15" s="729"/>
      <c r="C15" s="734">
        <f>VLOOKUP(L12,Reporte!$N$5:$BN$133,11,FALSE)</f>
        <v>0.96</v>
      </c>
      <c r="D15" s="735"/>
      <c r="E15" s="729"/>
      <c r="F15" s="740" t="str">
        <f>VLOOKUP(L12,Reporte!$N$5:$BN$133,9,FALSE)</f>
        <v>Cuatrimestral</v>
      </c>
      <c r="G15" s="741"/>
      <c r="H15" s="707" t="s">
        <v>37</v>
      </c>
      <c r="I15" s="707"/>
      <c r="J15" s="746" t="s">
        <v>1595</v>
      </c>
      <c r="K15" s="747"/>
      <c r="L15" s="748"/>
      <c r="M15" s="775" t="str">
        <f>VLOOKUP(L12,Reporte!$N$5:$BN$133,28,FALSE)</f>
        <v>Delegatura para Operadores Logísticos de Tecnologías en Salud y Gestores Farmacéuticos</v>
      </c>
      <c r="N15" s="776"/>
      <c r="O15" s="777"/>
      <c r="P15" s="128"/>
    </row>
    <row r="16" spans="1:17" ht="21.75" customHeight="1">
      <c r="A16" s="730"/>
      <c r="B16" s="731"/>
      <c r="C16" s="736"/>
      <c r="D16" s="737"/>
      <c r="E16" s="731"/>
      <c r="F16" s="742"/>
      <c r="G16" s="743"/>
      <c r="H16" s="707" t="s">
        <v>40</v>
      </c>
      <c r="I16" s="707"/>
      <c r="J16" s="746" t="s">
        <v>1596</v>
      </c>
      <c r="K16" s="747"/>
      <c r="L16" s="748"/>
      <c r="M16" s="778"/>
      <c r="N16" s="779"/>
      <c r="O16" s="780"/>
      <c r="P16" s="128"/>
    </row>
    <row r="17" spans="1:17" ht="21.75" customHeight="1"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155</v>
      </c>
      <c r="G22" s="132">
        <f>VLOOKUP(L12,Reporte!$N$5:$BN$133,34,FALSE)</f>
        <v>0</v>
      </c>
      <c r="H22" s="139">
        <f>VLOOKUP(L12,Reporte!$N$5:$BN$133,35,FALSE)</f>
        <v>0</v>
      </c>
      <c r="I22" s="132">
        <f>VLOOKUP(L12,Reporte!$N$5:$BN$133,36,FALSE)</f>
        <v>0</v>
      </c>
      <c r="J22" s="139">
        <f>VLOOKUP(L12,Reporte!$N$5:$BN$133,37,FALSE)</f>
        <v>60</v>
      </c>
      <c r="K22" s="139">
        <f>VLOOKUP(L12,Reporte!$N$5:$BN$133,38,FALSE)</f>
        <v>0</v>
      </c>
      <c r="L22" s="139">
        <f>VLOOKUP(L12,Reporte!$N$5:$BN$133,39,FALSE)</f>
        <v>0</v>
      </c>
      <c r="M22" s="139">
        <f>VLOOKUP(L12,Reporte!$N$5:$BN$133,40,FALSE)</f>
        <v>0</v>
      </c>
      <c r="N22" s="133">
        <f>VLOOKUP(L12,Reporte!$N$5:$BN$133,41,FALSE)</f>
        <v>131</v>
      </c>
      <c r="O22" s="133">
        <f>SUM(C22:N22)</f>
        <v>346</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160</v>
      </c>
      <c r="G23" s="140">
        <f>VLOOKUP(L12,Reporte!$N$5:$BN$133,46,FALSE)</f>
        <v>0</v>
      </c>
      <c r="H23" s="140">
        <f>VLOOKUP(L12,Reporte!$N$5:$BN$133,47,FALSE)</f>
        <v>0</v>
      </c>
      <c r="I23" s="140">
        <f>VLOOKUP(L12,Reporte!$N$5:$BN$133,48,FALSE)</f>
        <v>0</v>
      </c>
      <c r="J23" s="140">
        <f>VLOOKUP(L12,Reporte!$N$5:$BN$133,49,FALSE)</f>
        <v>82</v>
      </c>
      <c r="K23" s="140">
        <f>VLOOKUP(L12,Reporte!$N$5:$BN$133,50,FALSE)</f>
        <v>0</v>
      </c>
      <c r="L23" s="140">
        <f>VLOOKUP(L12,Reporte!$N$5:$BN$133,51,FALSE)</f>
        <v>0</v>
      </c>
      <c r="M23" s="140">
        <f>VLOOKUP(L12,Reporte!$N$5:$BN$133,52,FALSE)</f>
        <v>0</v>
      </c>
      <c r="N23" s="141">
        <f>VLOOKUP(L12,Reporte!$N$5:$BN$133,53,FALSE)</f>
        <v>173</v>
      </c>
      <c r="O23" s="133">
        <f>SUM(C23:N23)</f>
        <v>415</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0.96</v>
      </c>
      <c r="D26" s="146">
        <f>+C26*0.98</f>
        <v>0.94079999999999997</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0.96</v>
      </c>
      <c r="D27" s="146">
        <f>+D26</f>
        <v>0.94079999999999997</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0.96</v>
      </c>
      <c r="D28" s="146">
        <f t="shared" si="0"/>
        <v>0.94079999999999997</v>
      </c>
      <c r="E28" s="147"/>
      <c r="F28" s="147"/>
      <c r="G28" s="685"/>
      <c r="H28" s="685"/>
      <c r="I28" s="685"/>
      <c r="J28" s="685"/>
      <c r="K28" s="147"/>
      <c r="L28" s="685"/>
      <c r="M28" s="685"/>
      <c r="N28" s="685"/>
      <c r="O28" s="701"/>
      <c r="P28" s="148"/>
      <c r="Q28" s="149"/>
    </row>
    <row r="29" spans="1:17" s="127" customFormat="1" ht="15">
      <c r="A29" s="145" t="s">
        <v>97</v>
      </c>
      <c r="B29" s="146">
        <f>IF(ISERROR($F$22/$F$23),0,$F$22/$F$23)</f>
        <v>0.96875</v>
      </c>
      <c r="C29" s="146">
        <f t="shared" si="0"/>
        <v>0.96</v>
      </c>
      <c r="D29" s="146">
        <f t="shared" si="0"/>
        <v>0.94079999999999997</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0.96</v>
      </c>
      <c r="D30" s="146">
        <f t="shared" si="0"/>
        <v>0.94079999999999997</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0.96</v>
      </c>
      <c r="D31" s="146">
        <f t="shared" si="0"/>
        <v>0.94079999999999997</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0.96</v>
      </c>
      <c r="D32" s="146">
        <f t="shared" si="0"/>
        <v>0.94079999999999997</v>
      </c>
      <c r="E32" s="147"/>
      <c r="F32" s="147"/>
      <c r="G32" s="685"/>
      <c r="H32" s="685"/>
      <c r="I32" s="685"/>
      <c r="J32" s="685"/>
      <c r="K32" s="147"/>
      <c r="L32" s="685"/>
      <c r="M32" s="685"/>
      <c r="N32" s="685"/>
      <c r="O32" s="701"/>
      <c r="P32" s="148"/>
      <c r="Q32" s="149"/>
    </row>
    <row r="33" spans="1:17" s="127" customFormat="1" ht="15">
      <c r="A33" s="145" t="s">
        <v>101</v>
      </c>
      <c r="B33" s="146">
        <f>IF(ISERROR($J$22/$J$23),0,$J$22/$J$23)</f>
        <v>0.73170731707317072</v>
      </c>
      <c r="C33" s="146">
        <f t="shared" si="0"/>
        <v>0.96</v>
      </c>
      <c r="D33" s="146">
        <f t="shared" si="0"/>
        <v>0.94079999999999997</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0.96</v>
      </c>
      <c r="D34" s="146">
        <f t="shared" si="0"/>
        <v>0.94079999999999997</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0.96</v>
      </c>
      <c r="D35" s="146">
        <f t="shared" si="0"/>
        <v>0.94079999999999997</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0.96</v>
      </c>
      <c r="D36" s="146">
        <f t="shared" si="0"/>
        <v>0.94079999999999997</v>
      </c>
      <c r="E36" s="147"/>
      <c r="F36" s="147"/>
      <c r="G36" s="685"/>
      <c r="H36" s="685"/>
      <c r="I36" s="685"/>
      <c r="J36" s="685"/>
      <c r="K36" s="147"/>
      <c r="L36" s="685"/>
      <c r="M36" s="685"/>
      <c r="N36" s="685"/>
      <c r="O36" s="701"/>
      <c r="P36" s="148"/>
      <c r="Q36" s="149"/>
    </row>
    <row r="37" spans="1:17" s="127" customFormat="1" ht="15.75" thickBot="1">
      <c r="A37" s="150" t="s">
        <v>105</v>
      </c>
      <c r="B37" s="151">
        <f>IF(ISERROR($N$22/$N$23),0,$N$22/$N$23)</f>
        <v>0.75722543352601157</v>
      </c>
      <c r="C37" s="146">
        <f t="shared" si="0"/>
        <v>0.96</v>
      </c>
      <c r="D37" s="146">
        <f t="shared" si="0"/>
        <v>0.94079999999999997</v>
      </c>
      <c r="E37" s="147"/>
      <c r="F37" s="147"/>
      <c r="G37" s="147"/>
      <c r="H37" s="147"/>
      <c r="I37" s="147"/>
      <c r="J37" s="147"/>
      <c r="K37" s="147"/>
      <c r="L37" s="685"/>
      <c r="M37" s="685"/>
      <c r="N37" s="685"/>
      <c r="O37" s="701"/>
      <c r="P37" s="148"/>
      <c r="Q37" s="149"/>
    </row>
    <row r="38" spans="1:17" s="127" customFormat="1" ht="15.75" thickBot="1">
      <c r="A38" s="152" t="s">
        <v>106</v>
      </c>
      <c r="B38" s="153">
        <f>IF(ISERROR($O$22/$O$23),0,$O$22/$O$23)</f>
        <v>0.83373493975903612</v>
      </c>
      <c r="C38" s="153">
        <f>+C37</f>
        <v>0.96</v>
      </c>
      <c r="D38" s="153">
        <f>+D37</f>
        <v>0.94079999999999997</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​En  el periodo de enero a   abril del 2025, el 96,88% (155) de los     reclamos en salud que fueron trasladados por la Delegada de Protección   al Usuario a la Delegada para Operadores Logísticos de Tecnologías en Salud y   Gestores Farmacéuticos  fueron   tramitados y finalizados y el 3,12% (5)    se encuentran en desarrollo.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​​Debido a la transición de personal y cambios directivos, se evidencia una desviación con relación al meta establecida para dar cumplimiento al indicador. Actualmente se trabaja internamente para  fortalecer al nuevo equipo asignado y dar trámite y cumplimimiento a lo pendiente, además de trabajar estratégicamente y mantener mayor seguimiento y control con el fin de cumplir con las metas de eficiencia.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7" customHeight="1" thickBot="1">
      <c r="A63" s="673" t="str">
        <f>VLOOKUP(L12,Reporte!$N$5:$BZ$133,65,FALSE)</f>
        <v xml:space="preserve">​Se evidencia una desviación respecto a la meta establecida para el indicador, derivada principalmente de la etapa de transición de personal y directivos, así como del ajuste y consolidación del nuevo equipo responsable. En respuesta, se adelantan acciones internas orientadas a fortalecer sus capacidades operativas, dar trámite oportuno a los pendientes y establecer mecanismos estratégicos de seguimiento y control. Estas medidas buscan garantizar mayor eficiencia en la gestión y asegurar que, en el corto plazo, se retome la senda de cumplimiento prevista, mitigando el riesgo de reincidencia y promoviendo la mejora continua en los procesos institucionales.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De los 415 reclamos de salud a DOLTS-GF se trasladaron 346, es decir el 83% lo que equivale a un incumplimiento de la meta establecida de 96% para 2025. Se deben tomar medidas para en 2026 aumentar la eficiencia en esta gestión.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2CE78-2C59-4EF9-B1CA-EDA4C0ABE90B}">
  <sheetPr codeName="Hoja6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3" customHeight="1">
      <c r="A6" s="789" t="s">
        <v>8</v>
      </c>
      <c r="B6" s="790"/>
      <c r="C6" s="711" t="str">
        <f>VLOOKUP(L12,Reporte!$N$5:$BN$133,2,FALSE)</f>
        <v>Actividades de socialización, asistencia técnica, mesas de trabajo o acompañamiento a los actores del SGSSS respecto a la operación de los GF y/u OLTS</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6" customHeight="1">
      <c r="A8" s="792" t="s">
        <v>1594</v>
      </c>
      <c r="B8" s="774"/>
      <c r="C8" s="711" t="str">
        <f>VLOOKUP(L12,Reporte!$A$5:$N$133,13,FALSE)</f>
        <v>Realizar actividades de socialización, asistencia técnica, mesas de trabajo o acompañamiento a los actores del SGSSS respecto a la operación de los Gestores Farmacéuticos Gestores Farmacéuticos y/u Operadores Logísticos de Tecnologías en Salud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83.25" customHeight="1">
      <c r="A10" s="794"/>
      <c r="B10" s="795"/>
      <c r="C10" s="711" t="str">
        <f>VLOOKUP(L12,Reporte!$N$5:$BN$133,4,FALSE)</f>
        <v>Número de actividades de socialización, asistencia técnica, mesas de trabajo o acompañamiento a los actores del SGSSS respecto a la operación de los GF y u OLTS</v>
      </c>
      <c r="D10" s="711"/>
      <c r="E10" s="711"/>
      <c r="F10" s="799" t="str">
        <f>VLOOKUP(L12,Reporte!$N$5:$BN$133,6,FALSE)</f>
        <v>Este indicador mide los insumos tecnicos relacionados con la identficación de opreradores logisticos.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460</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0.25" customHeight="1">
      <c r="A15" s="728" t="str">
        <f>VLOOKUP(L12,Reporte!$N$5:$BN$133,8,FALSE)</f>
        <v>Numérica</v>
      </c>
      <c r="B15" s="729"/>
      <c r="C15" s="825">
        <f>VLOOKUP(L12,Reporte!$N$5:$BN$133,11,FALSE)</f>
        <v>8</v>
      </c>
      <c r="D15" s="826"/>
      <c r="E15" s="827"/>
      <c r="F15" s="740" t="str">
        <f>VLOOKUP(L12,Reporte!$N$5:$BN$133,9,FALSE)</f>
        <v>Mensual</v>
      </c>
      <c r="G15" s="741"/>
      <c r="H15" s="707" t="s">
        <v>37</v>
      </c>
      <c r="I15" s="707"/>
      <c r="J15" s="746" t="s">
        <v>1595</v>
      </c>
      <c r="K15" s="747"/>
      <c r="L15" s="748"/>
      <c r="M15" s="775" t="str">
        <f>VLOOKUP(L12,Reporte!$N$5:$BN$133,28,FALSE)</f>
        <v>Delegatura para Operadores Logísticos de Tecnologías en Salud y Gestores Farmacéuticos</v>
      </c>
      <c r="N15" s="776"/>
      <c r="O15" s="777"/>
      <c r="P15" s="128"/>
    </row>
    <row r="16" spans="1:17" ht="20.25" customHeight="1">
      <c r="A16" s="730"/>
      <c r="B16" s="731"/>
      <c r="C16" s="828"/>
      <c r="D16" s="829"/>
      <c r="E16" s="830"/>
      <c r="F16" s="742"/>
      <c r="G16" s="743"/>
      <c r="H16" s="707" t="s">
        <v>40</v>
      </c>
      <c r="I16" s="707"/>
      <c r="J16" s="746" t="s">
        <v>1596</v>
      </c>
      <c r="K16" s="747"/>
      <c r="L16" s="748"/>
      <c r="M16" s="778"/>
      <c r="N16" s="779"/>
      <c r="O16" s="780"/>
      <c r="P16" s="128"/>
    </row>
    <row r="17" spans="1:17" ht="20.25"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v>
      </c>
      <c r="F22" s="139">
        <f>VLOOKUP(L12,Reporte!$N$5:$BN$133,33,FALSE)</f>
        <v>1</v>
      </c>
      <c r="G22" s="132">
        <f>VLOOKUP(L12,Reporte!$N$5:$BN$133,34,FALSE)</f>
        <v>1</v>
      </c>
      <c r="H22" s="139">
        <f>VLOOKUP(L12,Reporte!$N$5:$BN$133,35,FALSE)</f>
        <v>0</v>
      </c>
      <c r="I22" s="132">
        <f>VLOOKUP(L12,Reporte!$N$5:$BN$133,36,FALSE)</f>
        <v>1</v>
      </c>
      <c r="J22" s="139">
        <f>VLOOKUP(L12,Reporte!$N$5:$BN$133,37,FALSE)</f>
        <v>1</v>
      </c>
      <c r="K22" s="139">
        <f>VLOOKUP(L12,Reporte!$N$5:$BN$133,38,FALSE)</f>
        <v>1</v>
      </c>
      <c r="L22" s="139">
        <f>VLOOKUP(L12,Reporte!$N$5:$BN$133,39,FALSE)</f>
        <v>1</v>
      </c>
      <c r="M22" s="139">
        <f>VLOOKUP(L12,Reporte!$N$5:$BN$133,40,FALSE)</f>
        <v>1</v>
      </c>
      <c r="N22" s="133">
        <f>VLOOKUP(L12,Reporte!$N$5:$BN$133,41,FALSE)</f>
        <v>0</v>
      </c>
      <c r="O22" s="133">
        <f>SUM(C22:N22)</f>
        <v>8</v>
      </c>
      <c r="P22" s="128"/>
    </row>
    <row r="23" spans="1:17" ht="16.5" thickBot="1">
      <c r="A23" s="690" t="s">
        <v>76</v>
      </c>
      <c r="B23" s="691"/>
      <c r="C23" s="140">
        <f>VLOOKUP(L12,Reporte!$N$5:$BN$133,42,FALSE)</f>
        <v>0</v>
      </c>
      <c r="D23" s="140">
        <f>VLOOKUP(L12,Reporte!$N$5:$BN$133,43,FALSE)</f>
        <v>0</v>
      </c>
      <c r="E23" s="140">
        <f>VLOOKUP(L12,Reporte!$N$5:$BN$133,44,FALSE)</f>
        <v>1</v>
      </c>
      <c r="F23" s="140">
        <f>VLOOKUP(L12,Reporte!$N$5:$BN$133,45,FALSE)</f>
        <v>1</v>
      </c>
      <c r="G23" s="140">
        <f>VLOOKUP(L12,Reporte!$N$5:$BN$133,46,FALSE)</f>
        <v>1</v>
      </c>
      <c r="H23" s="140">
        <f>VLOOKUP(L12,Reporte!$N$5:$BN$133,47,FALSE)</f>
        <v>0</v>
      </c>
      <c r="I23" s="140">
        <f>VLOOKUP(L12,Reporte!$N$5:$BN$133,48,FALSE)</f>
        <v>1</v>
      </c>
      <c r="J23" s="140">
        <f>VLOOKUP(L12,Reporte!$N$5:$BN$133,49,FALSE)</f>
        <v>1</v>
      </c>
      <c r="K23" s="140">
        <f>VLOOKUP(L12,Reporte!$N$5:$BN$133,50,FALSE)</f>
        <v>1</v>
      </c>
      <c r="L23" s="140">
        <f>VLOOKUP(L12,Reporte!$N$5:$BN$133,51,FALSE)</f>
        <v>1</v>
      </c>
      <c r="M23" s="140">
        <f>VLOOKUP(L12,Reporte!$N$5:$BN$133,52,FALSE)</f>
        <v>1</v>
      </c>
      <c r="N23" s="141">
        <f>VLOOKUP(L12,Reporte!$N$5:$BN$133,53,FALSE)</f>
        <v>0</v>
      </c>
      <c r="O23" s="133">
        <f>SUM(C23:N23)</f>
        <v>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8</v>
      </c>
      <c r="D26" s="161">
        <f>+C26*0.98</f>
        <v>7.84</v>
      </c>
      <c r="E26" s="147"/>
      <c r="F26" s="147"/>
      <c r="G26" s="685"/>
      <c r="H26" s="685"/>
      <c r="I26" s="699"/>
      <c r="J26" s="699"/>
      <c r="K26" s="699"/>
      <c r="L26" s="685"/>
      <c r="M26" s="685"/>
      <c r="N26" s="685"/>
      <c r="O26" s="701"/>
      <c r="P26" s="148"/>
      <c r="Q26" s="149"/>
    </row>
    <row r="27" spans="1:17" s="127" customFormat="1" ht="15">
      <c r="A27" s="145" t="s">
        <v>95</v>
      </c>
      <c r="B27" s="161">
        <f>+D22</f>
        <v>0</v>
      </c>
      <c r="C27" s="161">
        <f>+C26</f>
        <v>8</v>
      </c>
      <c r="D27" s="161">
        <f>+D26</f>
        <v>7.84</v>
      </c>
      <c r="E27" s="147"/>
      <c r="F27" s="147"/>
      <c r="G27" s="685"/>
      <c r="H27" s="685"/>
      <c r="I27" s="685"/>
      <c r="J27" s="685"/>
      <c r="K27" s="147"/>
      <c r="L27" s="685"/>
      <c r="M27" s="685"/>
      <c r="N27" s="685"/>
      <c r="O27" s="701"/>
      <c r="P27" s="148"/>
      <c r="Q27" s="149"/>
    </row>
    <row r="28" spans="1:17" s="127" customFormat="1" ht="15">
      <c r="A28" s="145" t="s">
        <v>96</v>
      </c>
      <c r="B28" s="161">
        <f>+E22</f>
        <v>1</v>
      </c>
      <c r="C28" s="161">
        <f t="shared" ref="C28:D37" si="0">+C27</f>
        <v>8</v>
      </c>
      <c r="D28" s="161">
        <f t="shared" si="0"/>
        <v>7.84</v>
      </c>
      <c r="E28" s="147"/>
      <c r="F28" s="147"/>
      <c r="G28" s="685"/>
      <c r="H28" s="685"/>
      <c r="I28" s="685"/>
      <c r="J28" s="685"/>
      <c r="K28" s="147"/>
      <c r="L28" s="685"/>
      <c r="M28" s="685"/>
      <c r="N28" s="685"/>
      <c r="O28" s="701"/>
      <c r="P28" s="148"/>
      <c r="Q28" s="149"/>
    </row>
    <row r="29" spans="1:17" s="127" customFormat="1" ht="15">
      <c r="A29" s="145" t="s">
        <v>97</v>
      </c>
      <c r="B29" s="161">
        <f>+F22</f>
        <v>1</v>
      </c>
      <c r="C29" s="161">
        <f t="shared" si="0"/>
        <v>8</v>
      </c>
      <c r="D29" s="161">
        <f t="shared" si="0"/>
        <v>7.84</v>
      </c>
      <c r="E29" s="147"/>
      <c r="F29" s="147"/>
      <c r="G29" s="685"/>
      <c r="H29" s="685"/>
      <c r="I29" s="685"/>
      <c r="J29" s="685"/>
      <c r="K29" s="147"/>
      <c r="L29" s="685"/>
      <c r="M29" s="685"/>
      <c r="N29" s="685"/>
      <c r="O29" s="701"/>
      <c r="P29" s="148"/>
      <c r="Q29" s="149"/>
    </row>
    <row r="30" spans="1:17" s="127" customFormat="1" ht="15">
      <c r="A30" s="145" t="s">
        <v>98</v>
      </c>
      <c r="B30" s="161">
        <f>+G22</f>
        <v>1</v>
      </c>
      <c r="C30" s="161">
        <f t="shared" si="0"/>
        <v>8</v>
      </c>
      <c r="D30" s="161">
        <f t="shared" si="0"/>
        <v>7.84</v>
      </c>
      <c r="E30" s="147"/>
      <c r="F30" s="147"/>
      <c r="G30" s="685"/>
      <c r="H30" s="685"/>
      <c r="I30" s="685"/>
      <c r="J30" s="685"/>
      <c r="K30" s="147"/>
      <c r="L30" s="685"/>
      <c r="M30" s="685"/>
      <c r="N30" s="685"/>
      <c r="O30" s="701"/>
      <c r="P30" s="148"/>
      <c r="Q30" s="149"/>
    </row>
    <row r="31" spans="1:17" s="127" customFormat="1" ht="15">
      <c r="A31" s="145" t="s">
        <v>99</v>
      </c>
      <c r="B31" s="161">
        <f>+H22</f>
        <v>0</v>
      </c>
      <c r="C31" s="161">
        <f t="shared" si="0"/>
        <v>8</v>
      </c>
      <c r="D31" s="161">
        <f t="shared" si="0"/>
        <v>7.84</v>
      </c>
      <c r="E31" s="147"/>
      <c r="F31" s="147"/>
      <c r="G31" s="685"/>
      <c r="H31" s="685"/>
      <c r="I31" s="685"/>
      <c r="J31" s="685"/>
      <c r="K31" s="147"/>
      <c r="L31" s="685"/>
      <c r="M31" s="685"/>
      <c r="N31" s="685"/>
      <c r="O31" s="701"/>
      <c r="P31" s="148"/>
      <c r="Q31" s="149"/>
    </row>
    <row r="32" spans="1:17" s="127" customFormat="1" ht="15">
      <c r="A32" s="145" t="s">
        <v>100</v>
      </c>
      <c r="B32" s="161">
        <f>+I22</f>
        <v>1</v>
      </c>
      <c r="C32" s="161">
        <f t="shared" si="0"/>
        <v>8</v>
      </c>
      <c r="D32" s="161">
        <f t="shared" si="0"/>
        <v>7.84</v>
      </c>
      <c r="E32" s="147"/>
      <c r="F32" s="147"/>
      <c r="G32" s="685"/>
      <c r="H32" s="685"/>
      <c r="I32" s="685"/>
      <c r="J32" s="685"/>
      <c r="K32" s="147"/>
      <c r="L32" s="685"/>
      <c r="M32" s="685"/>
      <c r="N32" s="685"/>
      <c r="O32" s="701"/>
      <c r="P32" s="148"/>
      <c r="Q32" s="149"/>
    </row>
    <row r="33" spans="1:17" s="127" customFormat="1" ht="15">
      <c r="A33" s="145" t="s">
        <v>101</v>
      </c>
      <c r="B33" s="161">
        <f>+J22</f>
        <v>1</v>
      </c>
      <c r="C33" s="161">
        <f t="shared" si="0"/>
        <v>8</v>
      </c>
      <c r="D33" s="161">
        <f t="shared" si="0"/>
        <v>7.84</v>
      </c>
      <c r="E33" s="147"/>
      <c r="F33" s="147"/>
      <c r="G33" s="685"/>
      <c r="H33" s="685"/>
      <c r="I33" s="685"/>
      <c r="J33" s="685"/>
      <c r="K33" s="147"/>
      <c r="L33" s="685"/>
      <c r="M33" s="685"/>
      <c r="N33" s="685"/>
      <c r="O33" s="701"/>
      <c r="P33" s="148"/>
      <c r="Q33" s="149"/>
    </row>
    <row r="34" spans="1:17" s="127" customFormat="1" ht="15">
      <c r="A34" s="145" t="s">
        <v>102</v>
      </c>
      <c r="B34" s="161">
        <f>+K22</f>
        <v>1</v>
      </c>
      <c r="C34" s="161">
        <f t="shared" si="0"/>
        <v>8</v>
      </c>
      <c r="D34" s="161">
        <f t="shared" si="0"/>
        <v>7.84</v>
      </c>
      <c r="E34" s="147"/>
      <c r="F34" s="147"/>
      <c r="G34" s="685"/>
      <c r="H34" s="685"/>
      <c r="I34" s="685"/>
      <c r="J34" s="685"/>
      <c r="K34" s="147"/>
      <c r="L34" s="685"/>
      <c r="M34" s="685"/>
      <c r="N34" s="685"/>
      <c r="O34" s="701"/>
      <c r="P34" s="148"/>
      <c r="Q34" s="149"/>
    </row>
    <row r="35" spans="1:17" s="127" customFormat="1" ht="15">
      <c r="A35" s="145" t="s">
        <v>103</v>
      </c>
      <c r="B35" s="161">
        <f>+L22</f>
        <v>1</v>
      </c>
      <c r="C35" s="161">
        <f t="shared" si="0"/>
        <v>8</v>
      </c>
      <c r="D35" s="161">
        <f t="shared" si="0"/>
        <v>7.84</v>
      </c>
      <c r="E35" s="147"/>
      <c r="F35" s="147"/>
      <c r="G35" s="685"/>
      <c r="H35" s="685"/>
      <c r="I35" s="685"/>
      <c r="J35" s="685"/>
      <c r="K35" s="147"/>
      <c r="L35" s="685"/>
      <c r="M35" s="685"/>
      <c r="N35" s="685"/>
      <c r="O35" s="701"/>
      <c r="P35" s="148"/>
      <c r="Q35" s="149"/>
    </row>
    <row r="36" spans="1:17" s="127" customFormat="1" ht="15">
      <c r="A36" s="145" t="s">
        <v>104</v>
      </c>
      <c r="B36" s="161">
        <f>+M22</f>
        <v>1</v>
      </c>
      <c r="C36" s="161">
        <f t="shared" si="0"/>
        <v>8</v>
      </c>
      <c r="D36" s="161">
        <f t="shared" si="0"/>
        <v>7.84</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8</v>
      </c>
      <c r="D37" s="161">
        <f t="shared" si="0"/>
        <v>7.84</v>
      </c>
      <c r="E37" s="147"/>
      <c r="F37" s="147"/>
      <c r="G37" s="147"/>
      <c r="H37" s="147"/>
      <c r="I37" s="147"/>
      <c r="J37" s="147"/>
      <c r="K37" s="147"/>
      <c r="L37" s="685"/>
      <c r="M37" s="685"/>
      <c r="N37" s="685"/>
      <c r="O37" s="701"/>
      <c r="P37" s="148"/>
      <c r="Q37" s="149"/>
    </row>
    <row r="38" spans="1:17" s="127" customFormat="1" ht="15.75" thickBot="1">
      <c r="A38" s="152" t="s">
        <v>106</v>
      </c>
      <c r="B38" s="164">
        <f>+O22</f>
        <v>8</v>
      </c>
      <c r="C38" s="164">
        <f>+C37</f>
        <v>8</v>
      </c>
      <c r="D38" s="164">
        <f>+D37</f>
        <v>7.84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​Se ralizó asistencia tecnica con el Gestor Farmaceutico Pharmaasan, la cual  fue fundamenta para el cumplimiento del reporte financiero por parte de los vigilados. De esta manera se da cumplimiento al 100% de lo propuesto en el PAG para Marzo 2025.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​En el marco  PMU sobre medicamentos que lidera la Defensoria del Pueblo para el Departamento de Caldas, se desarrollo socialización y participación por parte del Grupo Tecnico cientifico de la Delegada para Operadores Logisticos de Tecnologias en Salud y Gestores Farmaceuticos, en la actividad participaron 15 asistentes y se desarrollo en la ciudad de Manizalez, de esta manera se da cumplimiento al 100% de lo propuesto en el PAG para el mes de abril 2025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 xml:space="preserve">​Se realizó mesa de trabajo con el Gestor Farmacéutico Colsubsidio y la EPS Sura en la ciudad de Medellín ,la cual tuvo como objetivos fundamentales:Presentación de la información por parte del Gestor Farmacéutico.Presentación de la información por parte de la EAPB.Acuerdo y suscripción de los compromisos en el acta acta.
Lo cual es fundamental para el cumplimiento de las acciones de IV de la DOLTS-GF, de esta manera se da cumplimiento al 100% de lo propuesto en el PAG para Mayo 2025.
</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 xml:space="preserve">​Se cumple con la programación de la actividad dado que se realizan actividades de socialización, asistencia técnica, mesas de trabajo o acompañamiento a los actores del SGSSS, en la regional Nororiental, departamento de Santander (Disfarma, Pharmasan, Colsubsidio, Discolmets, Foscal y Cafam) con las EPS, los días 03 y 04 de julio de 2025.
</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​​Se cumple con la programación dado que se realizan actividades de socialización, asistencia técnica, mesas de trabajo o acompañamiento a los actores del SGSSS, en la Regional Orinoquia, Gestores Farmacéuticos con las EPS, los días 21 y 22 de agosto de 2025.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 Se cumple con la programación dado que se realizan actividades de socialización y acompañamiento a los actores del SGSSS, en el marco de RELACIONAMIENTO CON LA  CIUDADANÍA Y GRUPOS DE VALOR, en la Regional Andina, con los usuarios en salud, líderes de control social, entidades Territoriales y Empresas Promotoras de Salud EPS, los días 18 y 19 de septiembre de 2025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 xml:space="preserve">Se cumple con la programación dado que se realiza (1) actividade de socialización sobre las funciones de la DOLTS-GF  y acompañamiento a los actores del SGSSS en la ciudad de Tunja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8 actividades de socialización, dando 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5A11-1ACD-4735-A7DF-F219FBDBF4E0}">
  <sheetPr codeName="Hoja6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28.5" customHeight="1">
      <c r="A6" s="789" t="s">
        <v>8</v>
      </c>
      <c r="B6" s="790"/>
      <c r="C6" s="711" t="str">
        <f>VLOOKUP(L12,Reporte!$N$5:$BN$133,2,FALSE)</f>
        <v>Actividades de acompañamiento a las Direcciones Regionales en actividades de IVC a los Operadores Logísticos de Tecnologías en Salud y/o Gestores Farmacéuticos de su jurisdicción</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3" customHeight="1">
      <c r="A8" s="792" t="s">
        <v>1594</v>
      </c>
      <c r="B8" s="774"/>
      <c r="C8" s="711" t="str">
        <f>VLOOKUP(L12,Reporte!$A$5:$N$133,13,FALSE)</f>
        <v>Realizar acompañamiento a las Direcciones Regionales en actividades de IVC a los Operadores Logísticos de Tecnologías en Salud y/o Gestores Farmacéuticos de su jurisdicción</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121.5" customHeight="1">
      <c r="A10" s="794"/>
      <c r="B10" s="795"/>
      <c r="C10" s="711" t="str">
        <f>VLOOKUP(L12,Reporte!$N$5:$BN$133,4,FALSE)</f>
        <v>Número de actividades de acompañamiento a las Direcciones Regionales en actividades de IVC a los Operadores Logísticos de Tecnologías en Salud y o Gestores Farmacéuticos de su jurisdicción</v>
      </c>
      <c r="D10" s="711"/>
      <c r="E10" s="711"/>
      <c r="F10" s="799" t="str">
        <f>VLOOKUP(L12,Reporte!$N$5:$BN$133,6,FALSE)</f>
        <v>Este indicador mide los insumos tecnicos relacionados con la identficación de opreradores logisticos.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466</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21" customHeight="1">
      <c r="A15" s="728" t="str">
        <f>VLOOKUP(L12,Reporte!$N$5:$BN$133,8,FALSE)</f>
        <v>Numérica</v>
      </c>
      <c r="B15" s="729"/>
      <c r="C15" s="825">
        <f>VLOOKUP(L12,Reporte!$N$5:$BN$133,11,FALSE)</f>
        <v>14</v>
      </c>
      <c r="D15" s="826"/>
      <c r="E15" s="827"/>
      <c r="F15" s="740" t="str">
        <f>VLOOKUP(L12,Reporte!$N$5:$BN$133,9,FALSE)</f>
        <v>Mensual</v>
      </c>
      <c r="G15" s="741"/>
      <c r="H15" s="707" t="s">
        <v>37</v>
      </c>
      <c r="I15" s="707"/>
      <c r="J15" s="746" t="s">
        <v>1595</v>
      </c>
      <c r="K15" s="747"/>
      <c r="L15" s="748"/>
      <c r="M15" s="775" t="str">
        <f>VLOOKUP(L12,Reporte!$N$5:$BN$133,28,FALSE)</f>
        <v>Delegatura para Operadores Logísticos de Tecnologías en Salud y Gestores Farmacéuticos</v>
      </c>
      <c r="N15" s="776"/>
      <c r="O15" s="777"/>
      <c r="P15" s="128"/>
    </row>
    <row r="16" spans="1:17" ht="21" customHeight="1">
      <c r="A16" s="730"/>
      <c r="B16" s="731"/>
      <c r="C16" s="828"/>
      <c r="D16" s="829"/>
      <c r="E16" s="830"/>
      <c r="F16" s="742"/>
      <c r="G16" s="743"/>
      <c r="H16" s="707" t="s">
        <v>40</v>
      </c>
      <c r="I16" s="707"/>
      <c r="J16" s="746" t="s">
        <v>1596</v>
      </c>
      <c r="K16" s="747"/>
      <c r="L16" s="748"/>
      <c r="M16" s="778"/>
      <c r="N16" s="779"/>
      <c r="O16" s="780"/>
      <c r="P16" s="128"/>
    </row>
    <row r="17" spans="1:17" ht="21"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2</v>
      </c>
      <c r="F22" s="139">
        <f>VLOOKUP(L12,Reporte!$N$5:$BN$133,33,FALSE)</f>
        <v>2</v>
      </c>
      <c r="G22" s="132">
        <f>VLOOKUP(L12,Reporte!$N$5:$BN$133,34,FALSE)</f>
        <v>2</v>
      </c>
      <c r="H22" s="139">
        <f>VLOOKUP(L12,Reporte!$N$5:$BN$133,35,FALSE)</f>
        <v>0</v>
      </c>
      <c r="I22" s="132">
        <f>VLOOKUP(L12,Reporte!$N$5:$BN$133,36,FALSE)</f>
        <v>0</v>
      </c>
      <c r="J22" s="139">
        <f>VLOOKUP(L12,Reporte!$N$5:$BN$133,37,FALSE)</f>
        <v>2</v>
      </c>
      <c r="K22" s="139">
        <f>VLOOKUP(L12,Reporte!$N$5:$BN$133,38,FALSE)</f>
        <v>2</v>
      </c>
      <c r="L22" s="139">
        <f>VLOOKUP(L12,Reporte!$N$5:$BN$133,39,FALSE)</f>
        <v>2</v>
      </c>
      <c r="M22" s="139">
        <f>VLOOKUP(L12,Reporte!$N$5:$BN$133,40,FALSE)</f>
        <v>2</v>
      </c>
      <c r="N22" s="133">
        <f>VLOOKUP(L12,Reporte!$N$5:$BN$133,41,FALSE)</f>
        <v>0</v>
      </c>
      <c r="O22" s="133">
        <f>SUM(C22:N22)</f>
        <v>14</v>
      </c>
      <c r="P22" s="128"/>
    </row>
    <row r="23" spans="1:17" ht="16.5" thickBot="1">
      <c r="A23" s="690" t="s">
        <v>76</v>
      </c>
      <c r="B23" s="691"/>
      <c r="C23" s="140">
        <f>VLOOKUP(L12,Reporte!$N$5:$BN$133,42,FALSE)</f>
        <v>0</v>
      </c>
      <c r="D23" s="140">
        <f>VLOOKUP(L12,Reporte!$N$5:$BN$133,43,FALSE)</f>
        <v>0</v>
      </c>
      <c r="E23" s="140">
        <f>VLOOKUP(L12,Reporte!$N$5:$BN$133,44,FALSE)</f>
        <v>2</v>
      </c>
      <c r="F23" s="140">
        <f>VLOOKUP(L12,Reporte!$N$5:$BN$133,45,FALSE)</f>
        <v>2</v>
      </c>
      <c r="G23" s="140">
        <f>VLOOKUP(L12,Reporte!$N$5:$BN$133,46,FALSE)</f>
        <v>2</v>
      </c>
      <c r="H23" s="140">
        <f>VLOOKUP(L12,Reporte!$N$5:$BN$133,47,FALSE)</f>
        <v>0</v>
      </c>
      <c r="I23" s="140">
        <f>VLOOKUP(L12,Reporte!$N$5:$BN$133,48,FALSE)</f>
        <v>0</v>
      </c>
      <c r="J23" s="140">
        <f>VLOOKUP(L12,Reporte!$N$5:$BN$133,49,FALSE)</f>
        <v>2</v>
      </c>
      <c r="K23" s="140">
        <f>VLOOKUP(L12,Reporte!$N$5:$BN$133,50,FALSE)</f>
        <v>2</v>
      </c>
      <c r="L23" s="140">
        <f>VLOOKUP(L12,Reporte!$N$5:$BN$133,51,FALSE)</f>
        <v>2</v>
      </c>
      <c r="M23" s="140">
        <f>VLOOKUP(L12,Reporte!$N$5:$BN$133,52,FALSE)</f>
        <v>2</v>
      </c>
      <c r="N23" s="141">
        <f>VLOOKUP(L12,Reporte!$N$5:$BN$133,53,FALSE)</f>
        <v>0</v>
      </c>
      <c r="O23" s="133">
        <f>SUM(C23:N23)</f>
        <v>14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14</v>
      </c>
      <c r="D26" s="161">
        <f>+C26*0.98</f>
        <v>13.719999999999999</v>
      </c>
      <c r="E26" s="147"/>
      <c r="F26" s="147"/>
      <c r="G26" s="685"/>
      <c r="H26" s="685"/>
      <c r="I26" s="699"/>
      <c r="J26" s="699"/>
      <c r="K26" s="699"/>
      <c r="L26" s="685"/>
      <c r="M26" s="685"/>
      <c r="N26" s="685"/>
      <c r="O26" s="701"/>
      <c r="P26" s="148"/>
      <c r="Q26" s="149"/>
    </row>
    <row r="27" spans="1:17" s="127" customFormat="1" ht="15">
      <c r="A27" s="145" t="s">
        <v>95</v>
      </c>
      <c r="B27" s="161">
        <f>+D22</f>
        <v>0</v>
      </c>
      <c r="C27" s="161">
        <f>+C26</f>
        <v>14</v>
      </c>
      <c r="D27" s="161">
        <f>+D26</f>
        <v>13.719999999999999</v>
      </c>
      <c r="E27" s="147"/>
      <c r="F27" s="147"/>
      <c r="G27" s="685"/>
      <c r="H27" s="685"/>
      <c r="I27" s="685"/>
      <c r="J27" s="685"/>
      <c r="K27" s="147"/>
      <c r="L27" s="685"/>
      <c r="M27" s="685"/>
      <c r="N27" s="685"/>
      <c r="O27" s="701"/>
      <c r="P27" s="148"/>
      <c r="Q27" s="149"/>
    </row>
    <row r="28" spans="1:17" s="127" customFormat="1" ht="15">
      <c r="A28" s="145" t="s">
        <v>96</v>
      </c>
      <c r="B28" s="161">
        <f>+E22</f>
        <v>2</v>
      </c>
      <c r="C28" s="161">
        <f t="shared" ref="C28:D37" si="0">+C27</f>
        <v>14</v>
      </c>
      <c r="D28" s="161">
        <f t="shared" si="0"/>
        <v>13.719999999999999</v>
      </c>
      <c r="E28" s="147"/>
      <c r="F28" s="147"/>
      <c r="G28" s="685"/>
      <c r="H28" s="685"/>
      <c r="I28" s="685"/>
      <c r="J28" s="685"/>
      <c r="K28" s="147"/>
      <c r="L28" s="685"/>
      <c r="M28" s="685"/>
      <c r="N28" s="685"/>
      <c r="O28" s="701"/>
      <c r="P28" s="148"/>
      <c r="Q28" s="149"/>
    </row>
    <row r="29" spans="1:17" s="127" customFormat="1" ht="15">
      <c r="A29" s="145" t="s">
        <v>97</v>
      </c>
      <c r="B29" s="161">
        <f>+F22</f>
        <v>2</v>
      </c>
      <c r="C29" s="161">
        <f t="shared" si="0"/>
        <v>14</v>
      </c>
      <c r="D29" s="161">
        <f t="shared" si="0"/>
        <v>13.719999999999999</v>
      </c>
      <c r="E29" s="147"/>
      <c r="F29" s="147"/>
      <c r="G29" s="685"/>
      <c r="H29" s="685"/>
      <c r="I29" s="685"/>
      <c r="J29" s="685"/>
      <c r="K29" s="147"/>
      <c r="L29" s="685"/>
      <c r="M29" s="685"/>
      <c r="N29" s="685"/>
      <c r="O29" s="701"/>
      <c r="P29" s="148"/>
      <c r="Q29" s="149"/>
    </row>
    <row r="30" spans="1:17" s="127" customFormat="1" ht="15">
      <c r="A30" s="145" t="s">
        <v>98</v>
      </c>
      <c r="B30" s="161">
        <f>+G22</f>
        <v>2</v>
      </c>
      <c r="C30" s="161">
        <f t="shared" si="0"/>
        <v>14</v>
      </c>
      <c r="D30" s="161">
        <f t="shared" si="0"/>
        <v>13.719999999999999</v>
      </c>
      <c r="E30" s="147"/>
      <c r="F30" s="147"/>
      <c r="G30" s="685"/>
      <c r="H30" s="685"/>
      <c r="I30" s="685"/>
      <c r="J30" s="685"/>
      <c r="K30" s="147"/>
      <c r="L30" s="685"/>
      <c r="M30" s="685"/>
      <c r="N30" s="685"/>
      <c r="O30" s="701"/>
      <c r="P30" s="148"/>
      <c r="Q30" s="149"/>
    </row>
    <row r="31" spans="1:17" s="127" customFormat="1" ht="15">
      <c r="A31" s="145" t="s">
        <v>99</v>
      </c>
      <c r="B31" s="161">
        <f>+H22</f>
        <v>0</v>
      </c>
      <c r="C31" s="161">
        <f t="shared" si="0"/>
        <v>14</v>
      </c>
      <c r="D31" s="161">
        <f t="shared" si="0"/>
        <v>13.719999999999999</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14</v>
      </c>
      <c r="D32" s="161">
        <f t="shared" si="0"/>
        <v>13.719999999999999</v>
      </c>
      <c r="E32" s="147"/>
      <c r="F32" s="147"/>
      <c r="G32" s="685"/>
      <c r="H32" s="685"/>
      <c r="I32" s="685"/>
      <c r="J32" s="685"/>
      <c r="K32" s="147"/>
      <c r="L32" s="685"/>
      <c r="M32" s="685"/>
      <c r="N32" s="685"/>
      <c r="O32" s="701"/>
      <c r="P32" s="148"/>
      <c r="Q32" s="149"/>
    </row>
    <row r="33" spans="1:17" s="127" customFormat="1" ht="15">
      <c r="A33" s="145" t="s">
        <v>101</v>
      </c>
      <c r="B33" s="161">
        <f>+J22</f>
        <v>2</v>
      </c>
      <c r="C33" s="161">
        <f t="shared" si="0"/>
        <v>14</v>
      </c>
      <c r="D33" s="161">
        <f t="shared" si="0"/>
        <v>13.719999999999999</v>
      </c>
      <c r="E33" s="147"/>
      <c r="F33" s="147"/>
      <c r="G33" s="685"/>
      <c r="H33" s="685"/>
      <c r="I33" s="685"/>
      <c r="J33" s="685"/>
      <c r="K33" s="147"/>
      <c r="L33" s="685"/>
      <c r="M33" s="685"/>
      <c r="N33" s="685"/>
      <c r="O33" s="701"/>
      <c r="P33" s="148"/>
      <c r="Q33" s="149"/>
    </row>
    <row r="34" spans="1:17" s="127" customFormat="1" ht="15">
      <c r="A34" s="145" t="s">
        <v>102</v>
      </c>
      <c r="B34" s="161">
        <f>+K22</f>
        <v>2</v>
      </c>
      <c r="C34" s="161">
        <f t="shared" si="0"/>
        <v>14</v>
      </c>
      <c r="D34" s="161">
        <f t="shared" si="0"/>
        <v>13.719999999999999</v>
      </c>
      <c r="E34" s="147"/>
      <c r="F34" s="147"/>
      <c r="G34" s="685"/>
      <c r="H34" s="685"/>
      <c r="I34" s="685"/>
      <c r="J34" s="685"/>
      <c r="K34" s="147"/>
      <c r="L34" s="685"/>
      <c r="M34" s="685"/>
      <c r="N34" s="685"/>
      <c r="O34" s="701"/>
      <c r="P34" s="148"/>
      <c r="Q34" s="149"/>
    </row>
    <row r="35" spans="1:17" s="127" customFormat="1" ht="15">
      <c r="A35" s="145" t="s">
        <v>103</v>
      </c>
      <c r="B35" s="161">
        <f>+L22</f>
        <v>2</v>
      </c>
      <c r="C35" s="161">
        <f t="shared" si="0"/>
        <v>14</v>
      </c>
      <c r="D35" s="161">
        <f t="shared" si="0"/>
        <v>13.719999999999999</v>
      </c>
      <c r="E35" s="147"/>
      <c r="F35" s="147"/>
      <c r="G35" s="685"/>
      <c r="H35" s="685"/>
      <c r="I35" s="685"/>
      <c r="J35" s="685"/>
      <c r="K35" s="147"/>
      <c r="L35" s="685"/>
      <c r="M35" s="685"/>
      <c r="N35" s="685"/>
      <c r="O35" s="701"/>
      <c r="P35" s="148"/>
      <c r="Q35" s="149"/>
    </row>
    <row r="36" spans="1:17" s="127" customFormat="1" ht="15">
      <c r="A36" s="145" t="s">
        <v>104</v>
      </c>
      <c r="B36" s="161">
        <f>+M22</f>
        <v>2</v>
      </c>
      <c r="C36" s="161">
        <f t="shared" si="0"/>
        <v>14</v>
      </c>
      <c r="D36" s="161">
        <f t="shared" si="0"/>
        <v>13.719999999999999</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14</v>
      </c>
      <c r="D37" s="161">
        <f t="shared" si="0"/>
        <v>13.719999999999999</v>
      </c>
      <c r="E37" s="147"/>
      <c r="F37" s="147"/>
      <c r="G37" s="147"/>
      <c r="H37" s="147"/>
      <c r="I37" s="147"/>
      <c r="J37" s="147"/>
      <c r="K37" s="147"/>
      <c r="L37" s="685"/>
      <c r="M37" s="685"/>
      <c r="N37" s="685"/>
      <c r="O37" s="701"/>
      <c r="P37" s="148"/>
      <c r="Q37" s="149"/>
    </row>
    <row r="38" spans="1:17" s="127" customFormat="1" ht="15.75" thickBot="1">
      <c r="A38" s="152" t="s">
        <v>106</v>
      </c>
      <c r="B38" s="164">
        <f>+O22</f>
        <v>14</v>
      </c>
      <c r="C38" s="164">
        <f>+C37</f>
        <v>14</v>
      </c>
      <c r="D38" s="164">
        <f>+D37</f>
        <v>13.719999999999999</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​Se realizaron 2 actividades de acompañamiento a las Direcciones Regionales en actividades de IVC a los Gestores Farmaceutocos ,  Santa Sofia de Asis en la ciudad y Ramedicas en Quido Choco estas acciones son fundamentales en el cumplimiento de las funiones de IVC de nuestra Delegada, se da cumplimiento al 100% de lo planteado en el PAG para marzo 2025.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​Se realizaron 2 actividades de acompañamiento a las Direcciones Regionales en actividades de IVC a los Gestores Farmacéuticos  Discolmets y Audifarma en la ciudad de Duitama, perteneciente a la regional Nororiental   estas acciones son fundamentales en el cumplimiento de las funciones de IVC de nuestra Delegada, se da cumplimiento al 100% de lo planteado en el PAG para abril 2025.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​Se realizaron 2 actividades de acompañamiento a las Direcciones Regionales en actividades de IVC a los Gestores Farmacéuticos ,  COHAN Y CAFAM, en la regional Andina de la ciudad de Medellín  estas acciones son fundamentales en el cumplimiento de las funciones de IVC de nuestra Delegada, se da cumplimiento al 100% de lo planteado en el PAG para mayo de 2025.</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​​Se cumple con la programación de las actividades de acompañamiento a las Direcicones Regionales dado que se realizan actividades de IVC a los Gestores  DISCOLMETS y DISFARMA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​​Se cumple con la programación de las actividades de acompañamiento a las Direcicones Regionales dado que se realizan actividades de IVC a los Gestores  ETICOS y LOGIFARMA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 xml:space="preserve">​Se cumple con la programación dado que se realizan (2) actividades de socialización y acompañamiento a las Direcciones Regionales en la ciudad de Bucaramanga y Santa Marta sobre las  funciones de la DOLTS-GF para efectos de supervisión de los GF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14 actividades de acompañamiento en actividades IVC, con 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0A3A-3BC7-4951-878E-7E82E7976263}">
  <sheetPr codeName="Hoja6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AUDITORÍAS</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Auditorías realizadas a los Operadores Logísticos de Tecnologías en Salud y/o Gestores Farmacéuticos</v>
      </c>
      <c r="D6" s="711"/>
      <c r="E6" s="711"/>
      <c r="F6" s="711"/>
      <c r="G6" s="711"/>
      <c r="H6" s="711"/>
      <c r="I6" s="711"/>
      <c r="J6" s="711"/>
      <c r="K6" s="711"/>
      <c r="L6" s="711"/>
      <c r="M6" s="711"/>
      <c r="N6" s="711"/>
      <c r="O6" s="791"/>
      <c r="P6" s="128"/>
    </row>
    <row r="7" spans="1:17" ht="58.5" customHeight="1">
      <c r="A7" s="789" t="s">
        <v>10</v>
      </c>
      <c r="B7" s="790"/>
      <c r="C7" s="711" t="str">
        <f>VLOOKUP(L12,Reporte!A5:M133,10,FALSE)</f>
        <v>Desarrollar acciones de inspección a través de análisis específicos y requerimientos, con el fin de identificar las brechas existentes entre lo establecido por la ley y lo que realmente están desarrollando nuestros grupos de valor y de esta manera poder identificar acciones para reducir estas brechas, buscando la protección de los derechos de los usuarios del Sistema General de Seguridad Social en Salud- SGSSS. </v>
      </c>
      <c r="D7" s="711"/>
      <c r="E7" s="711"/>
      <c r="F7" s="711"/>
      <c r="G7" s="711"/>
      <c r="H7" s="711"/>
      <c r="I7" s="711"/>
      <c r="J7" s="711"/>
      <c r="K7" s="711"/>
      <c r="L7" s="711"/>
      <c r="M7" s="711"/>
      <c r="N7" s="711"/>
      <c r="O7" s="791"/>
      <c r="P7" s="128"/>
    </row>
    <row r="8" spans="1:17" ht="15.75">
      <c r="A8" s="792" t="s">
        <v>1594</v>
      </c>
      <c r="B8" s="774"/>
      <c r="C8" s="711" t="str">
        <f>VLOOKUP(L12,Reporte!$A$5:$N$133,13,FALSE)</f>
        <v>Realizar auditorías a los Operadores Logísticos de Tecnologías en Salud y/o Gestores Farmacéuticos objeto de supervisión</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4.75" customHeight="1">
      <c r="A10" s="794"/>
      <c r="B10" s="795"/>
      <c r="C10" s="711" t="str">
        <f>VLOOKUP(L12,Reporte!$N$5:$BN$133,4,FALSE)</f>
        <v>Número de auditorías realizadas a los Operadores Logísticos de Tecnologías en Salud y o Gestores Farmacéuticos</v>
      </c>
      <c r="D10" s="711"/>
      <c r="E10" s="711"/>
      <c r="F10" s="799" t="str">
        <f>VLOOKUP(L12,Reporte!$N$5:$BN$133,6,FALSE)</f>
        <v>Este indicador mide el número de auditorías realziadas a los operadores logisticos.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223</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8.75" customHeight="1">
      <c r="A15" s="728" t="str">
        <f>VLOOKUP(L12,Reporte!$N$5:$BN$133,8,FALSE)</f>
        <v>Numérica</v>
      </c>
      <c r="B15" s="729"/>
      <c r="C15" s="825">
        <f>VLOOKUP(L12,Reporte!$N$5:$BN$133,11,FALSE)</f>
        <v>8</v>
      </c>
      <c r="D15" s="826"/>
      <c r="E15" s="827"/>
      <c r="F15" s="740" t="str">
        <f>VLOOKUP(L12,Reporte!$N$5:$BN$133,9,FALSE)</f>
        <v>Mensual</v>
      </c>
      <c r="G15" s="741"/>
      <c r="H15" s="707" t="s">
        <v>37</v>
      </c>
      <c r="I15" s="707"/>
      <c r="J15" s="746" t="s">
        <v>1595</v>
      </c>
      <c r="K15" s="747"/>
      <c r="L15" s="748"/>
      <c r="M15" s="775" t="str">
        <f>VLOOKUP(L12,Reporte!$N$5:$BN$133,28,FALSE)</f>
        <v>Delegatura para Operadores Logísticos de Tecnologías en Salud y Gestores Farmacéuticos</v>
      </c>
      <c r="N15" s="776"/>
      <c r="O15" s="777"/>
      <c r="P15" s="128"/>
    </row>
    <row r="16" spans="1:17" ht="18.75" customHeight="1">
      <c r="A16" s="730"/>
      <c r="B16" s="731"/>
      <c r="C16" s="828"/>
      <c r="D16" s="829"/>
      <c r="E16" s="830"/>
      <c r="F16" s="742"/>
      <c r="G16" s="743"/>
      <c r="H16" s="707" t="s">
        <v>40</v>
      </c>
      <c r="I16" s="707"/>
      <c r="J16" s="746" t="s">
        <v>1596</v>
      </c>
      <c r="K16" s="747"/>
      <c r="L16" s="748"/>
      <c r="M16" s="778"/>
      <c r="N16" s="779"/>
      <c r="O16" s="780"/>
      <c r="P16" s="128"/>
    </row>
    <row r="17" spans="1:17" ht="18.75" customHeight="1"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1</v>
      </c>
      <c r="E22" s="132">
        <f>VLOOKUP(L12,Reporte!$N$5:$BN$133,32,FALSE)</f>
        <v>1</v>
      </c>
      <c r="F22" s="139">
        <f>VLOOKUP(L12,Reporte!$N$5:$BN$133,33,FALSE)</f>
        <v>0</v>
      </c>
      <c r="G22" s="132">
        <f>VLOOKUP(L12,Reporte!$N$5:$BN$133,34,FALSE)</f>
        <v>1</v>
      </c>
      <c r="H22" s="139">
        <f>VLOOKUP(L12,Reporte!$N$5:$BN$133,35,FALSE)</f>
        <v>0</v>
      </c>
      <c r="I22" s="132">
        <f>VLOOKUP(L12,Reporte!$N$5:$BN$133,36,FALSE)</f>
        <v>1</v>
      </c>
      <c r="J22" s="139">
        <f>VLOOKUP(L12,Reporte!$N$5:$BN$133,37,FALSE)</f>
        <v>1</v>
      </c>
      <c r="K22" s="139">
        <f>VLOOKUP(L12,Reporte!$N$5:$BN$133,38,FALSE)</f>
        <v>1</v>
      </c>
      <c r="L22" s="139">
        <f>VLOOKUP(L12,Reporte!$N$5:$BN$133,39,FALSE)</f>
        <v>1</v>
      </c>
      <c r="M22" s="139">
        <f>VLOOKUP(L12,Reporte!$N$5:$BN$133,40,FALSE)</f>
        <v>1</v>
      </c>
      <c r="N22" s="133">
        <f>VLOOKUP(L12,Reporte!$N$5:$BN$133,41,FALSE)</f>
        <v>0</v>
      </c>
      <c r="O22" s="133">
        <f>SUM(C22:N22)</f>
        <v>8</v>
      </c>
      <c r="P22" s="128"/>
    </row>
    <row r="23" spans="1:17" ht="16.5" thickBot="1">
      <c r="A23" s="690" t="s">
        <v>76</v>
      </c>
      <c r="B23" s="691"/>
      <c r="C23" s="140">
        <f>VLOOKUP(L12,Reporte!$N$5:$BN$133,42,FALSE)</f>
        <v>0</v>
      </c>
      <c r="D23" s="140">
        <f>VLOOKUP(L12,Reporte!$N$5:$BN$133,43,FALSE)</f>
        <v>1</v>
      </c>
      <c r="E23" s="140">
        <f>VLOOKUP(L12,Reporte!$N$5:$BN$133,44,FALSE)</f>
        <v>1</v>
      </c>
      <c r="F23" s="140">
        <f>VLOOKUP(L12,Reporte!$N$5:$BN$133,45,FALSE)</f>
        <v>0</v>
      </c>
      <c r="G23" s="140">
        <f>VLOOKUP(L12,Reporte!$N$5:$BN$133,46,FALSE)</f>
        <v>1</v>
      </c>
      <c r="H23" s="140">
        <f>VLOOKUP(L12,Reporte!$N$5:$BN$133,47,FALSE)</f>
        <v>0</v>
      </c>
      <c r="I23" s="140">
        <f>VLOOKUP(L12,Reporte!$N$5:$BN$133,48,FALSE)</f>
        <v>1</v>
      </c>
      <c r="J23" s="140">
        <f>VLOOKUP(L12,Reporte!$N$5:$BN$133,49,FALSE)</f>
        <v>1</v>
      </c>
      <c r="K23" s="140">
        <f>VLOOKUP(L12,Reporte!$N$5:$BN$133,50,FALSE)</f>
        <v>1</v>
      </c>
      <c r="L23" s="140">
        <f>VLOOKUP(L12,Reporte!$N$5:$BN$133,51,FALSE)</f>
        <v>1</v>
      </c>
      <c r="M23" s="140">
        <f>VLOOKUP(L12,Reporte!$N$5:$BN$133,52,FALSE)</f>
        <v>1</v>
      </c>
      <c r="N23" s="141">
        <f>VLOOKUP(L12,Reporte!$N$5:$BN$133,53,FALSE)</f>
        <v>0</v>
      </c>
      <c r="O23" s="133">
        <f>SUM(C23:N23)</f>
        <v>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8</v>
      </c>
      <c r="D26" s="161">
        <f>+C26*0.98</f>
        <v>7.84</v>
      </c>
      <c r="E26" s="147"/>
      <c r="F26" s="147"/>
      <c r="G26" s="685"/>
      <c r="H26" s="685"/>
      <c r="I26" s="699"/>
      <c r="J26" s="699"/>
      <c r="K26" s="699"/>
      <c r="L26" s="685"/>
      <c r="M26" s="685"/>
      <c r="N26" s="685"/>
      <c r="O26" s="701"/>
      <c r="P26" s="148"/>
      <c r="Q26" s="149"/>
    </row>
    <row r="27" spans="1:17" s="127" customFormat="1" ht="15">
      <c r="A27" s="145" t="s">
        <v>95</v>
      </c>
      <c r="B27" s="161">
        <f>+D22</f>
        <v>1</v>
      </c>
      <c r="C27" s="161">
        <f>+C26</f>
        <v>8</v>
      </c>
      <c r="D27" s="161">
        <f>+D26</f>
        <v>7.84</v>
      </c>
      <c r="E27" s="147"/>
      <c r="F27" s="147"/>
      <c r="G27" s="685"/>
      <c r="H27" s="685"/>
      <c r="I27" s="685"/>
      <c r="J27" s="685"/>
      <c r="K27" s="147"/>
      <c r="L27" s="685"/>
      <c r="M27" s="685"/>
      <c r="N27" s="685"/>
      <c r="O27" s="701"/>
      <c r="P27" s="148"/>
      <c r="Q27" s="149"/>
    </row>
    <row r="28" spans="1:17" s="127" customFormat="1" ht="15">
      <c r="A28" s="145" t="s">
        <v>96</v>
      </c>
      <c r="B28" s="161">
        <f>+E22</f>
        <v>1</v>
      </c>
      <c r="C28" s="161">
        <f t="shared" ref="C28:D37" si="0">+C27</f>
        <v>8</v>
      </c>
      <c r="D28" s="161">
        <f t="shared" si="0"/>
        <v>7.84</v>
      </c>
      <c r="E28" s="147"/>
      <c r="F28" s="147"/>
      <c r="G28" s="685"/>
      <c r="H28" s="685"/>
      <c r="I28" s="685"/>
      <c r="J28" s="685"/>
      <c r="K28" s="147"/>
      <c r="L28" s="685"/>
      <c r="M28" s="685"/>
      <c r="N28" s="685"/>
      <c r="O28" s="701"/>
      <c r="P28" s="148"/>
      <c r="Q28" s="149"/>
    </row>
    <row r="29" spans="1:17" s="127" customFormat="1" ht="15">
      <c r="A29" s="145" t="s">
        <v>97</v>
      </c>
      <c r="B29" s="161">
        <f>+F22</f>
        <v>0</v>
      </c>
      <c r="C29" s="161">
        <f t="shared" si="0"/>
        <v>8</v>
      </c>
      <c r="D29" s="161">
        <f t="shared" si="0"/>
        <v>7.84</v>
      </c>
      <c r="E29" s="147"/>
      <c r="F29" s="147"/>
      <c r="G29" s="685"/>
      <c r="H29" s="685"/>
      <c r="I29" s="685"/>
      <c r="J29" s="685"/>
      <c r="K29" s="147"/>
      <c r="L29" s="685"/>
      <c r="M29" s="685"/>
      <c r="N29" s="685"/>
      <c r="O29" s="701"/>
      <c r="P29" s="148"/>
      <c r="Q29" s="149"/>
    </row>
    <row r="30" spans="1:17" s="127" customFormat="1" ht="15">
      <c r="A30" s="145" t="s">
        <v>98</v>
      </c>
      <c r="B30" s="161">
        <f>+G22</f>
        <v>1</v>
      </c>
      <c r="C30" s="161">
        <f t="shared" si="0"/>
        <v>8</v>
      </c>
      <c r="D30" s="161">
        <f t="shared" si="0"/>
        <v>7.84</v>
      </c>
      <c r="E30" s="147"/>
      <c r="F30" s="147"/>
      <c r="G30" s="685"/>
      <c r="H30" s="685"/>
      <c r="I30" s="685"/>
      <c r="J30" s="685"/>
      <c r="K30" s="147"/>
      <c r="L30" s="685"/>
      <c r="M30" s="685"/>
      <c r="N30" s="685"/>
      <c r="O30" s="701"/>
      <c r="P30" s="148"/>
      <c r="Q30" s="149"/>
    </row>
    <row r="31" spans="1:17" s="127" customFormat="1" ht="15">
      <c r="A31" s="145" t="s">
        <v>99</v>
      </c>
      <c r="B31" s="161">
        <f>+H22</f>
        <v>0</v>
      </c>
      <c r="C31" s="161">
        <f t="shared" si="0"/>
        <v>8</v>
      </c>
      <c r="D31" s="161">
        <f t="shared" si="0"/>
        <v>7.84</v>
      </c>
      <c r="E31" s="147"/>
      <c r="F31" s="147"/>
      <c r="G31" s="685"/>
      <c r="H31" s="685"/>
      <c r="I31" s="685"/>
      <c r="J31" s="685"/>
      <c r="K31" s="147"/>
      <c r="L31" s="685"/>
      <c r="M31" s="685"/>
      <c r="N31" s="685"/>
      <c r="O31" s="701"/>
      <c r="P31" s="148"/>
      <c r="Q31" s="149"/>
    </row>
    <row r="32" spans="1:17" s="127" customFormat="1" ht="15">
      <c r="A32" s="145" t="s">
        <v>100</v>
      </c>
      <c r="B32" s="161">
        <f>+I22</f>
        <v>1</v>
      </c>
      <c r="C32" s="161">
        <f t="shared" si="0"/>
        <v>8</v>
      </c>
      <c r="D32" s="161">
        <f t="shared" si="0"/>
        <v>7.84</v>
      </c>
      <c r="E32" s="147"/>
      <c r="F32" s="147"/>
      <c r="G32" s="685"/>
      <c r="H32" s="685"/>
      <c r="I32" s="685"/>
      <c r="J32" s="685"/>
      <c r="K32" s="147"/>
      <c r="L32" s="685"/>
      <c r="M32" s="685"/>
      <c r="N32" s="685"/>
      <c r="O32" s="701"/>
      <c r="P32" s="148"/>
      <c r="Q32" s="149"/>
    </row>
    <row r="33" spans="1:17" s="127" customFormat="1" ht="15">
      <c r="A33" s="145" t="s">
        <v>101</v>
      </c>
      <c r="B33" s="161">
        <f>+J22</f>
        <v>1</v>
      </c>
      <c r="C33" s="161">
        <f t="shared" si="0"/>
        <v>8</v>
      </c>
      <c r="D33" s="161">
        <f t="shared" si="0"/>
        <v>7.84</v>
      </c>
      <c r="E33" s="147"/>
      <c r="F33" s="147"/>
      <c r="G33" s="685"/>
      <c r="H33" s="685"/>
      <c r="I33" s="685"/>
      <c r="J33" s="685"/>
      <c r="K33" s="147"/>
      <c r="L33" s="685"/>
      <c r="M33" s="685"/>
      <c r="N33" s="685"/>
      <c r="O33" s="701"/>
      <c r="P33" s="148"/>
      <c r="Q33" s="149"/>
    </row>
    <row r="34" spans="1:17" s="127" customFormat="1" ht="15">
      <c r="A34" s="145" t="s">
        <v>102</v>
      </c>
      <c r="B34" s="161">
        <f>+K22</f>
        <v>1</v>
      </c>
      <c r="C34" s="161">
        <f t="shared" si="0"/>
        <v>8</v>
      </c>
      <c r="D34" s="161">
        <f t="shared" si="0"/>
        <v>7.84</v>
      </c>
      <c r="E34" s="147"/>
      <c r="F34" s="147"/>
      <c r="G34" s="685"/>
      <c r="H34" s="685"/>
      <c r="I34" s="685"/>
      <c r="J34" s="685"/>
      <c r="K34" s="147"/>
      <c r="L34" s="685"/>
      <c r="M34" s="685"/>
      <c r="N34" s="685"/>
      <c r="O34" s="701"/>
      <c r="P34" s="148"/>
      <c r="Q34" s="149"/>
    </row>
    <row r="35" spans="1:17" s="127" customFormat="1" ht="15">
      <c r="A35" s="145" t="s">
        <v>103</v>
      </c>
      <c r="B35" s="161">
        <f>+L22</f>
        <v>1</v>
      </c>
      <c r="C35" s="161">
        <f t="shared" si="0"/>
        <v>8</v>
      </c>
      <c r="D35" s="161">
        <f t="shared" si="0"/>
        <v>7.84</v>
      </c>
      <c r="E35" s="147"/>
      <c r="F35" s="147"/>
      <c r="G35" s="685"/>
      <c r="H35" s="685"/>
      <c r="I35" s="685"/>
      <c r="J35" s="685"/>
      <c r="K35" s="147"/>
      <c r="L35" s="685"/>
      <c r="M35" s="685"/>
      <c r="N35" s="685"/>
      <c r="O35" s="701"/>
      <c r="P35" s="148"/>
      <c r="Q35" s="149"/>
    </row>
    <row r="36" spans="1:17" s="127" customFormat="1" ht="15">
      <c r="A36" s="145" t="s">
        <v>104</v>
      </c>
      <c r="B36" s="161">
        <f>+M22</f>
        <v>1</v>
      </c>
      <c r="C36" s="161">
        <f t="shared" si="0"/>
        <v>8</v>
      </c>
      <c r="D36" s="161">
        <f t="shared" si="0"/>
        <v>7.84</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8</v>
      </c>
      <c r="D37" s="161">
        <f t="shared" si="0"/>
        <v>7.84</v>
      </c>
      <c r="E37" s="147"/>
      <c r="F37" s="147"/>
      <c r="G37" s="147"/>
      <c r="H37" s="147"/>
      <c r="I37" s="147"/>
      <c r="J37" s="147"/>
      <c r="K37" s="147"/>
      <c r="L37" s="685"/>
      <c r="M37" s="685"/>
      <c r="N37" s="685"/>
      <c r="O37" s="701"/>
      <c r="P37" s="148"/>
      <c r="Q37" s="149"/>
    </row>
    <row r="38" spans="1:17" s="127" customFormat="1" ht="15.75" thickBot="1">
      <c r="A38" s="152" t="s">
        <v>106</v>
      </c>
      <c r="B38" s="164">
        <f>+O22</f>
        <v>8</v>
      </c>
      <c r="C38" s="164">
        <f>+C37</f>
        <v>8</v>
      </c>
      <c r="D38" s="164">
        <f>+D37</f>
        <v>7.84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 xml:space="preserve">​Se realizó auditoria integral  en al Gestor Farmaceutico Pharmasan en el departamento de Santander, del 10 al 14 de febrero ordenada a través de Auto 202500000000134-7, las auditorias son fundamentales en el desarrollo de las acciones de IVC a nuestros vigilados y el cumplimiento al Programa de Auditorias. Se da cumplimiento al 100% de lo propuesto para el mes de febrero.
</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​Se realizó auditoria integral  en al Gestor Farmaceutico CAFAM en Manizalez y Bogotá, ordenada a través de Auto2025600000000428- 7, las auditorias son fundamentales en el desarrollo de las acciones de IVC a nuestros vigilados y el cumplimiento al Programa de Auditorias. Se da cumplimiento al 100% de lo propuesto para el mes de Marzo.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​Se realizó auditoria integral  en al Gestor Farmacéutico  GENHOSPI SAS en el departamento de Nariño , del 28 al 30 de mayo  ordenada a través de Auto 2025600030000695-7, las auditorias son fundamentales en el desarrollo de las acciones de IVC a nuestros vigilados y el cumplimiento al Programa de Auditorias. Se da cumplimiento al 100% de lo propuesto para el mes de mayo.</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 xml:space="preserve">​Se cumple con la programación de la actividad, dado que se realiza auditoría al gestor farmacéutico CAJA COLOMBIANA DE SUBSIDIO FAMILIAR COLSUBSIDIO ordenada mediante Auto No  2025600010000909-7 el día 14 de julio de 2025
</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​​Se cumple con la programación de la actividad, dado que se realiza auditoría al Gestor Farmacéutico DISCOLMETS ordenada mediante Auto No  2025600020001212-7 del 26 de agosto de 2025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​​Se cumple con la programación de la actividad, dado que se realiza auditoría al Gestor Farmacéutico MENNAR SAS ordenada mediante Auto No  2025600020001375-7 del 18 de septiembre de 2025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 xml:space="preserve">​​Se cumple con la programación de la actividad, dado que se realiza auditoría al Gestor Farmacéutico MARCAZSALUD ordenada mediante Auto No  2025600020001573-7 del 27 de octubre de 2025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8 auditorias, con 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BE262-E634-4827-B9D0-CEEBB400301E}">
  <sheetPr codeName="Hoja66"/>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AUDITORÍAS</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Auditorías realizadas a los Prestadores de Servicios en Salud (PSS) en cumplimiento del Programa Anual de Auditoría de la Delegada</v>
      </c>
      <c r="D6" s="711"/>
      <c r="E6" s="711"/>
      <c r="F6" s="711"/>
      <c r="G6" s="711"/>
      <c r="H6" s="711"/>
      <c r="I6" s="711"/>
      <c r="J6" s="711"/>
      <c r="K6" s="711"/>
      <c r="L6" s="711"/>
      <c r="M6" s="711"/>
      <c r="N6" s="711"/>
      <c r="O6" s="791"/>
      <c r="P6" s="128"/>
    </row>
    <row r="7" spans="1:17" ht="53.25" customHeight="1">
      <c r="A7" s="789" t="s">
        <v>10</v>
      </c>
      <c r="B7" s="790"/>
      <c r="C7" s="711" t="str">
        <f>VLOOKUP(L12,Reporte!A5:M133,10,FALSE)</f>
        <v>Desarrollar acciones de inspección a través de análisis específicos y requerimientos, con el fin de identificar las brechas existentes entre lo establecido por la ley y lo que realmente están desarrollando nuestros grupos de valor y de esta manera poder identificar acciones para reducir estas brechas, buscando la protección de los derechos de los usuarios del Sistema General de Seguridad Social en Salud- SGSSS. </v>
      </c>
      <c r="D7" s="711"/>
      <c r="E7" s="711"/>
      <c r="F7" s="711"/>
      <c r="G7" s="711"/>
      <c r="H7" s="711"/>
      <c r="I7" s="711"/>
      <c r="J7" s="711"/>
      <c r="K7" s="711"/>
      <c r="L7" s="711"/>
      <c r="M7" s="711"/>
      <c r="N7" s="711"/>
      <c r="O7" s="791"/>
      <c r="P7" s="128"/>
    </row>
    <row r="8" spans="1:17" ht="28.5" customHeight="1">
      <c r="A8" s="792" t="s">
        <v>1594</v>
      </c>
      <c r="B8" s="774"/>
      <c r="C8" s="711" t="str">
        <f>VLOOKUP(L12,Reporte!$A$5:$N$133,13,FALSE)</f>
        <v>Realizar auditorías a los Prestadores de Servicios en Salud (PSS) para verificar el cumplimiento de las normas que regulan el Sistema de Salud y la gestión de los riesgos inherentes del sistema.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auditorías realizadas a los Prestadores de Servicios en Salud PSS </v>
      </c>
      <c r="D10" s="711"/>
      <c r="E10" s="711"/>
      <c r="F10" s="799" t="str">
        <f>VLOOKUP(L12,Reporte!$N$5:$BN$133,6,FALSE)</f>
        <v>Este indicador mide el número de auditorías realiZadas a los prestadores de servicios de salud.</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200</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64</v>
      </c>
      <c r="D15" s="826"/>
      <c r="E15" s="827"/>
      <c r="F15" s="740" t="str">
        <f>VLOOKUP(L12,Reporte!$N$5:$BN$133,9,FALSE)</f>
        <v>Trimestral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19</v>
      </c>
      <c r="F22" s="139">
        <f>VLOOKUP(L12,Reporte!$N$5:$BN$133,33,FALSE)</f>
        <v>0</v>
      </c>
      <c r="G22" s="132">
        <f>VLOOKUP(L12,Reporte!$N$5:$BN$133,34,FALSE)</f>
        <v>0</v>
      </c>
      <c r="H22" s="139">
        <f>VLOOKUP(L12,Reporte!$N$5:$BN$133,35,FALSE)</f>
        <v>17</v>
      </c>
      <c r="I22" s="132">
        <f>VLOOKUP(L12,Reporte!$N$5:$BN$133,36,FALSE)</f>
        <v>0</v>
      </c>
      <c r="J22" s="139">
        <f>VLOOKUP(L12,Reporte!$N$5:$BN$133,37,FALSE)</f>
        <v>0</v>
      </c>
      <c r="K22" s="139">
        <f>VLOOKUP(L12,Reporte!$N$5:$BN$133,38,FALSE)</f>
        <v>12</v>
      </c>
      <c r="L22" s="139">
        <f>VLOOKUP(L12,Reporte!$N$5:$BN$133,39,FALSE)</f>
        <v>0</v>
      </c>
      <c r="M22" s="139">
        <f>VLOOKUP(L12,Reporte!$N$5:$BN$133,40,FALSE)</f>
        <v>0</v>
      </c>
      <c r="N22" s="133">
        <f>VLOOKUP(L12,Reporte!$N$5:$BN$133,41,FALSE)</f>
        <v>16</v>
      </c>
      <c r="O22" s="133">
        <f>SUM(C22:N22)</f>
        <v>64</v>
      </c>
      <c r="P22" s="128"/>
    </row>
    <row r="23" spans="1:17" ht="16.5" thickBot="1">
      <c r="A23" s="690" t="s">
        <v>76</v>
      </c>
      <c r="B23" s="691"/>
      <c r="C23" s="140">
        <f>VLOOKUP(L12,Reporte!$N$5:$BN$133,42,FALSE)</f>
        <v>0</v>
      </c>
      <c r="D23" s="140">
        <f>VLOOKUP(L12,Reporte!$N$5:$BN$133,43,FALSE)</f>
        <v>0</v>
      </c>
      <c r="E23" s="140">
        <f>VLOOKUP(L12,Reporte!$N$5:$BN$133,44,FALSE)</f>
        <v>19</v>
      </c>
      <c r="F23" s="140">
        <f>VLOOKUP(L12,Reporte!$N$5:$BN$133,45,FALSE)</f>
        <v>0</v>
      </c>
      <c r="G23" s="140">
        <f>VLOOKUP(L12,Reporte!$N$5:$BN$133,46,FALSE)</f>
        <v>0</v>
      </c>
      <c r="H23" s="140">
        <f>VLOOKUP(L12,Reporte!$N$5:$BN$133,47,FALSE)</f>
        <v>17</v>
      </c>
      <c r="I23" s="140">
        <f>VLOOKUP(L12,Reporte!$N$5:$BN$133,48,FALSE)</f>
        <v>0</v>
      </c>
      <c r="J23" s="140">
        <f>VLOOKUP(L12,Reporte!$N$5:$BN$133,49,FALSE)</f>
        <v>0</v>
      </c>
      <c r="K23" s="140">
        <f>VLOOKUP(L12,Reporte!$N$5:$BN$133,50,FALSE)</f>
        <v>12</v>
      </c>
      <c r="L23" s="140">
        <f>VLOOKUP(L12,Reporte!$N$5:$BN$133,51,FALSE)</f>
        <v>0</v>
      </c>
      <c r="M23" s="140">
        <f>VLOOKUP(L12,Reporte!$N$5:$BN$133,52,FALSE)</f>
        <v>0</v>
      </c>
      <c r="N23" s="141">
        <f>VLOOKUP(L12,Reporte!$N$5:$BN$133,53,FALSE)</f>
        <v>16</v>
      </c>
      <c r="O23" s="133">
        <f>SUM(C23:N23)</f>
        <v>64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64</v>
      </c>
      <c r="D26" s="161">
        <f>+C26*0.98</f>
        <v>62.72</v>
      </c>
      <c r="E26" s="147"/>
      <c r="F26" s="147"/>
      <c r="G26" s="685"/>
      <c r="H26" s="685"/>
      <c r="I26" s="699"/>
      <c r="J26" s="699"/>
      <c r="K26" s="699"/>
      <c r="L26" s="685"/>
      <c r="M26" s="685"/>
      <c r="N26" s="685"/>
      <c r="O26" s="701"/>
      <c r="P26" s="148"/>
      <c r="Q26" s="149"/>
    </row>
    <row r="27" spans="1:17" s="127" customFormat="1" ht="15">
      <c r="A27" s="145" t="s">
        <v>95</v>
      </c>
      <c r="B27" s="161">
        <f>+D22</f>
        <v>0</v>
      </c>
      <c r="C27" s="161">
        <f>+C26</f>
        <v>64</v>
      </c>
      <c r="D27" s="161">
        <f>+D26</f>
        <v>62.72</v>
      </c>
      <c r="E27" s="147"/>
      <c r="F27" s="147"/>
      <c r="G27" s="685"/>
      <c r="H27" s="685"/>
      <c r="I27" s="685"/>
      <c r="J27" s="685"/>
      <c r="K27" s="147"/>
      <c r="L27" s="685"/>
      <c r="M27" s="685"/>
      <c r="N27" s="685"/>
      <c r="O27" s="701"/>
      <c r="P27" s="148"/>
      <c r="Q27" s="149"/>
    </row>
    <row r="28" spans="1:17" s="127" customFormat="1" ht="15">
      <c r="A28" s="145" t="s">
        <v>96</v>
      </c>
      <c r="B28" s="161">
        <f>+E22</f>
        <v>19</v>
      </c>
      <c r="C28" s="161">
        <f t="shared" ref="C28:D37" si="0">+C27</f>
        <v>64</v>
      </c>
      <c r="D28" s="161">
        <f t="shared" si="0"/>
        <v>62.72</v>
      </c>
      <c r="E28" s="147"/>
      <c r="F28" s="147"/>
      <c r="G28" s="685"/>
      <c r="H28" s="685"/>
      <c r="I28" s="685"/>
      <c r="J28" s="685"/>
      <c r="K28" s="147"/>
      <c r="L28" s="685"/>
      <c r="M28" s="685"/>
      <c r="N28" s="685"/>
      <c r="O28" s="701"/>
      <c r="P28" s="148"/>
      <c r="Q28" s="149"/>
    </row>
    <row r="29" spans="1:17" s="127" customFormat="1" ht="15">
      <c r="A29" s="145" t="s">
        <v>97</v>
      </c>
      <c r="B29" s="161">
        <f>+F22</f>
        <v>0</v>
      </c>
      <c r="C29" s="161">
        <f t="shared" si="0"/>
        <v>64</v>
      </c>
      <c r="D29" s="161">
        <f t="shared" si="0"/>
        <v>62.72</v>
      </c>
      <c r="E29" s="147"/>
      <c r="F29" s="147"/>
      <c r="G29" s="685"/>
      <c r="H29" s="685"/>
      <c r="I29" s="685"/>
      <c r="J29" s="685"/>
      <c r="K29" s="147"/>
      <c r="L29" s="685"/>
      <c r="M29" s="685"/>
      <c r="N29" s="685"/>
      <c r="O29" s="701"/>
      <c r="P29" s="148"/>
      <c r="Q29" s="149"/>
    </row>
    <row r="30" spans="1:17" s="127" customFormat="1" ht="15">
      <c r="A30" s="145" t="s">
        <v>98</v>
      </c>
      <c r="B30" s="161">
        <f>+G22</f>
        <v>0</v>
      </c>
      <c r="C30" s="161">
        <f t="shared" si="0"/>
        <v>64</v>
      </c>
      <c r="D30" s="161">
        <f t="shared" si="0"/>
        <v>62.72</v>
      </c>
      <c r="E30" s="147"/>
      <c r="F30" s="147"/>
      <c r="G30" s="685"/>
      <c r="H30" s="685"/>
      <c r="I30" s="685"/>
      <c r="J30" s="685"/>
      <c r="K30" s="147"/>
      <c r="L30" s="685"/>
      <c r="M30" s="685"/>
      <c r="N30" s="685"/>
      <c r="O30" s="701"/>
      <c r="P30" s="148"/>
      <c r="Q30" s="149"/>
    </row>
    <row r="31" spans="1:17" s="127" customFormat="1" ht="15">
      <c r="A31" s="145" t="s">
        <v>99</v>
      </c>
      <c r="B31" s="161">
        <f>+H22</f>
        <v>17</v>
      </c>
      <c r="C31" s="161">
        <f t="shared" si="0"/>
        <v>64</v>
      </c>
      <c r="D31" s="161">
        <f t="shared" si="0"/>
        <v>62.72</v>
      </c>
      <c r="E31" s="147"/>
      <c r="F31" s="147"/>
      <c r="G31" s="685"/>
      <c r="H31" s="685"/>
      <c r="I31" s="685"/>
      <c r="J31" s="685"/>
      <c r="K31" s="147"/>
      <c r="L31" s="685"/>
      <c r="M31" s="685"/>
      <c r="N31" s="685"/>
      <c r="O31" s="701"/>
      <c r="P31" s="148"/>
      <c r="Q31" s="149"/>
    </row>
    <row r="32" spans="1:17" s="127" customFormat="1" ht="15">
      <c r="A32" s="145" t="s">
        <v>100</v>
      </c>
      <c r="B32" s="161">
        <f>+I22</f>
        <v>0</v>
      </c>
      <c r="C32" s="161">
        <f t="shared" si="0"/>
        <v>64</v>
      </c>
      <c r="D32" s="161">
        <f t="shared" si="0"/>
        <v>62.72</v>
      </c>
      <c r="E32" s="147"/>
      <c r="F32" s="147"/>
      <c r="G32" s="685"/>
      <c r="H32" s="685"/>
      <c r="I32" s="685"/>
      <c r="J32" s="685"/>
      <c r="K32" s="147"/>
      <c r="L32" s="685"/>
      <c r="M32" s="685"/>
      <c r="N32" s="685"/>
      <c r="O32" s="701"/>
      <c r="P32" s="148"/>
      <c r="Q32" s="149"/>
    </row>
    <row r="33" spans="1:17" s="127" customFormat="1" ht="15">
      <c r="A33" s="145" t="s">
        <v>101</v>
      </c>
      <c r="B33" s="161">
        <f>+J22</f>
        <v>0</v>
      </c>
      <c r="C33" s="161">
        <f t="shared" si="0"/>
        <v>64</v>
      </c>
      <c r="D33" s="161">
        <f t="shared" si="0"/>
        <v>62.72</v>
      </c>
      <c r="E33" s="147"/>
      <c r="F33" s="147"/>
      <c r="G33" s="685"/>
      <c r="H33" s="685"/>
      <c r="I33" s="685"/>
      <c r="J33" s="685"/>
      <c r="K33" s="147"/>
      <c r="L33" s="685"/>
      <c r="M33" s="685"/>
      <c r="N33" s="685"/>
      <c r="O33" s="701"/>
      <c r="P33" s="148"/>
      <c r="Q33" s="149"/>
    </row>
    <row r="34" spans="1:17" s="127" customFormat="1" ht="15">
      <c r="A34" s="145" t="s">
        <v>102</v>
      </c>
      <c r="B34" s="161">
        <f>+K22</f>
        <v>12</v>
      </c>
      <c r="C34" s="161">
        <f t="shared" si="0"/>
        <v>64</v>
      </c>
      <c r="D34" s="161">
        <f t="shared" si="0"/>
        <v>62.72</v>
      </c>
      <c r="E34" s="147"/>
      <c r="F34" s="147"/>
      <c r="G34" s="685"/>
      <c r="H34" s="685"/>
      <c r="I34" s="685"/>
      <c r="J34" s="685"/>
      <c r="K34" s="147"/>
      <c r="L34" s="685"/>
      <c r="M34" s="685"/>
      <c r="N34" s="685"/>
      <c r="O34" s="701"/>
      <c r="P34" s="148"/>
      <c r="Q34" s="149"/>
    </row>
    <row r="35" spans="1:17" s="127" customFormat="1" ht="15">
      <c r="A35" s="145" t="s">
        <v>103</v>
      </c>
      <c r="B35" s="161">
        <f>+L22</f>
        <v>0</v>
      </c>
      <c r="C35" s="161">
        <f t="shared" si="0"/>
        <v>64</v>
      </c>
      <c r="D35" s="161">
        <f t="shared" si="0"/>
        <v>62.72</v>
      </c>
      <c r="E35" s="147"/>
      <c r="F35" s="147"/>
      <c r="G35" s="685"/>
      <c r="H35" s="685"/>
      <c r="I35" s="685"/>
      <c r="J35" s="685"/>
      <c r="K35" s="147"/>
      <c r="L35" s="685"/>
      <c r="M35" s="685"/>
      <c r="N35" s="685"/>
      <c r="O35" s="701"/>
      <c r="P35" s="148"/>
      <c r="Q35" s="149"/>
    </row>
    <row r="36" spans="1:17" s="127" customFormat="1" ht="15">
      <c r="A36" s="145" t="s">
        <v>104</v>
      </c>
      <c r="B36" s="161">
        <f>+M22</f>
        <v>0</v>
      </c>
      <c r="C36" s="161">
        <f t="shared" si="0"/>
        <v>64</v>
      </c>
      <c r="D36" s="161">
        <f t="shared" si="0"/>
        <v>62.72</v>
      </c>
      <c r="E36" s="147"/>
      <c r="F36" s="147"/>
      <c r="G36" s="685"/>
      <c r="H36" s="685"/>
      <c r="I36" s="685"/>
      <c r="J36" s="685"/>
      <c r="K36" s="147"/>
      <c r="L36" s="685"/>
      <c r="M36" s="685"/>
      <c r="N36" s="685"/>
      <c r="O36" s="701"/>
      <c r="P36" s="148"/>
      <c r="Q36" s="149"/>
    </row>
    <row r="37" spans="1:17" s="127" customFormat="1" ht="15.75" thickBot="1">
      <c r="A37" s="150" t="s">
        <v>105</v>
      </c>
      <c r="B37" s="162">
        <f>+N22</f>
        <v>16</v>
      </c>
      <c r="C37" s="161">
        <f t="shared" si="0"/>
        <v>64</v>
      </c>
      <c r="D37" s="161">
        <f t="shared" si="0"/>
        <v>62.72</v>
      </c>
      <c r="E37" s="147"/>
      <c r="F37" s="147"/>
      <c r="G37" s="147"/>
      <c r="H37" s="147"/>
      <c r="I37" s="147"/>
      <c r="J37" s="147"/>
      <c r="K37" s="147"/>
      <c r="L37" s="685"/>
      <c r="M37" s="685"/>
      <c r="N37" s="685"/>
      <c r="O37" s="701"/>
      <c r="P37" s="148"/>
      <c r="Q37" s="149"/>
    </row>
    <row r="38" spans="1:17" s="127" customFormat="1" ht="15.75" thickBot="1">
      <c r="A38" s="152" t="s">
        <v>106</v>
      </c>
      <c r="B38" s="164">
        <f>+O22</f>
        <v>64</v>
      </c>
      <c r="C38" s="164">
        <f>+C37</f>
        <v>64</v>
      </c>
      <c r="D38" s="164">
        <f>+D37</f>
        <v>62.72</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​Para el primer trimestre de 2025 se programó la realización de 19 auditorias. 
Durante el mes de enero, se realizaron 3 auditorias, en el mes de febrero 8 auditorias y en el mes de marzo 8 auditorias, para un total de 19 auditorias, dando cumplimiento en el numero de auditorias realizadas, versus las auditorias programadas para el I trimestre de la vigencia 2025.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89.25" customHeight="1" thickBot="1">
      <c r="A51" s="673" t="str">
        <f>VLOOKUP(L12,Reporte!$N$5:$BZ$133,59,FALSE)</f>
        <v xml:space="preserve">Para el segundo trimestre de 2025, la Dirección de Inspección y Vigilancia para Prestadores de Servicios de Salud, programó 17 auditorias, de la siguiente manera:
En el mes de abril, se programaron 10 auditorias de las cuales se ejecutaron 10.
En el mes de mayo se programaron 2 auditorias de las cuales se ejecutaron 2.
En el mes de junio, aunque, se programaron 5 auditorias, se ejecutaron 6. Esta auditoria adicional, tuvo alcance específico, debido a situaciones presentadas en el sistema, que requirieron atención inmediata del Equipo IV de Salud.
Por lo anterior, para el II trimestre de 2025, se presenta una ejecución del 105%, correspondiente a la ejecución de 18 auditorías, de 17 programadas para dicho periodo.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Para el tercer trimestre de 2025, la Dirección de Inspección y Vigilancia para Prestadores de Servicios de Salud, programó 12 auditorias, de la siguiente manera:
En el mes de julio, se programaron 2 auditorias de las cuales se ejecutaron 2.
En el mes de agosto se programaron 5 auditorias de las cuales se ejecutaron 5.
En el mes de septiembre, se programaron 5 auditorias, de las cuales se ejecutaron 5. 
Por lo anterior, para el III trimestre de 2025, se presenta un cumplimiento del 100%, correspondiente a la ejecución de 12 auditorías, de 12 programadas para dicho periodo, lo que permite garantizar el cumplimiento del Programa Anual de Auditoría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Para el cuarto trimestre de la vigencia 2025, la Dirección de Inspección y Vigilancia para Prestadores de Servicios de Salud programó un total de dieciséis (16) auditorías, cuya ejecución se desarrolló de la siguiente manera:   
• Octubre: se programaron cinco (5) auditorías, de las cuales se ejecutaron la totalidad.
• Noviembre: se programaron nueve (9) auditorías, ejecutándose igualmente la totalidad.
• Diciembre: se programaron dos (2) auditorías; no obstante, se ejecutaron diez (10) auditorías en total.
Las ocho (8) auditorías adicionales realizadas durante el mes de diciembre obedecieron a necesidades del servicio, orientadas a verificar el cumplimiento de las responsabilidades de diversos prestadores de servicios de salud, particularmente en lo relacionado con la garantía de la prestación efectiva de los servicios y el acatamiento de los principios del Sistema General de Seguridad Social en Salud (SGSSS), asegurando condiciones de accesibilidad, oportunidad, continuidad y seguridad en el proceso de atención, con el fin de prevenir la generación de barreras que afecten el goce efectivo del derecho fundamental a la salud.
En consecuencia, para el IV trimestre de 2025 se alcanzó una ejecución del 150%, correspondiente a la realización de veinticuatro (24) auditorías, frente a las dieciséis (16) programadas para el periodo evaluado.
Cabe señalar que, en el desarrollo de las auditorías integrales, se verificó el cumplimiento de las responsabilidades de los prestadores de servicios de salud en los ejes financiero, administrativo y legal, así como en la prestación de servicios de salud. Por su parte, en las auditorías con alcance específico se evaluaron, entre otros aspectos, los siguientes temas: el manejo integral de la desnutrición aguda, moderada y severa en niños y niñas de 0 a 59 meses de edad; el cumplimiento de los lineamientos establecidos en la Ruta Integral de Atención en Salud para la Promoción y Mantenimiento de la Salud y en la Ruta Integral de Atención en Salud para la Población Materno Perinatal; la adecuada prestación de los servicios de salud; el incumplimiento en el reporte de información financiera exigida por esta Superintendencia a través de la Circular Única y su incidencia en la Contribución de Vigilancia; así como la atención de reclamaciones SOAT.</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 xml:space="preserve">OBSERVACIONES: Se han realizado 64 auditorías, con sobrecumplimiento de 107% con respecto de la meta  establecida para 2025.
Se presentan inconsistencias en el reporte de datos en el SharePoint de PAG 2025, sin embargo a partir del análisis cualitativo permite la extracción del dato.
</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D1234-C3CE-48DA-8EEC-1AE3B8951130}">
  <sheetPr codeName="Hoja6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AUDITORÍAS</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Porcentaje de Planes de Mejoramiento evaluados</v>
      </c>
      <c r="D6" s="711"/>
      <c r="E6" s="711"/>
      <c r="F6" s="711"/>
      <c r="G6" s="711"/>
      <c r="H6" s="711"/>
      <c r="I6" s="711"/>
      <c r="J6" s="711"/>
      <c r="K6" s="711"/>
      <c r="L6" s="711"/>
      <c r="M6" s="711"/>
      <c r="N6" s="711"/>
      <c r="O6" s="791"/>
      <c r="P6" s="128"/>
    </row>
    <row r="7" spans="1:17" ht="58.5" customHeight="1">
      <c r="A7" s="789" t="s">
        <v>10</v>
      </c>
      <c r="B7" s="790"/>
      <c r="C7" s="711" t="str">
        <f>VLOOKUP(L12,Reporte!A5:M133,10,FALSE)</f>
        <v>Desarrollar acciones de inspección a través de análisis específicos y requerimientos, con el fin de identificar las brechas existentes entre lo establecido por la ley y lo que realmente están desarrollando nuestros grupos de valor y de esta manera poder identificar acciones para reducir estas brechas, buscando la protección de los derechos de los usuarios del Sistema General de Seguridad Social en Salud- SGSSS. </v>
      </c>
      <c r="D7" s="711"/>
      <c r="E7" s="711"/>
      <c r="F7" s="711"/>
      <c r="G7" s="711"/>
      <c r="H7" s="711"/>
      <c r="I7" s="711"/>
      <c r="J7" s="711"/>
      <c r="K7" s="711"/>
      <c r="L7" s="711"/>
      <c r="M7" s="711"/>
      <c r="N7" s="711"/>
      <c r="O7" s="791"/>
      <c r="P7" s="128"/>
    </row>
    <row r="8" spans="1:17" ht="15.75">
      <c r="A8" s="792" t="s">
        <v>1594</v>
      </c>
      <c r="B8" s="774"/>
      <c r="C8" s="711" t="str">
        <f>VLOOKUP(L12,Reporte!$A$5:$N$133,13,FALSE)</f>
        <v>Realizar análisis a los Planes de Mejoramiento suscritos por los Prestadores de Servicios de Salud durante el periodo de evaluación.</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Planes de Mejoramiento evaluados al corte </v>
      </c>
      <c r="D10" s="711"/>
      <c r="E10" s="711"/>
      <c r="F10" s="799" t="str">
        <f>VLOOKUP(L12,Reporte!$N$5:$BN$133,6,FALSE)</f>
        <v>Este indicador mide el número de Planes de Mejoramiento evaluados y gestionados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Planes de Mejoramiento gestionados en el periodo</v>
      </c>
      <c r="D12" s="711"/>
      <c r="E12" s="711"/>
      <c r="F12" s="799"/>
      <c r="G12" s="799"/>
      <c r="H12" s="799"/>
      <c r="I12" s="799"/>
      <c r="J12" s="712" t="str">
        <f>VLOOKUP(L12,Reporte!$N$5:$BN$133,7,FALSE)</f>
        <v>Eficiencia</v>
      </c>
      <c r="K12" s="712"/>
      <c r="L12" s="713" t="s">
        <v>204</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88</v>
      </c>
      <c r="F22" s="139">
        <f>VLOOKUP(L12,Reporte!$N$5:$BN$133,33,FALSE)</f>
        <v>0</v>
      </c>
      <c r="G22" s="132">
        <f>VLOOKUP(L12,Reporte!$N$5:$BN$133,34,FALSE)</f>
        <v>0</v>
      </c>
      <c r="H22" s="139">
        <f>VLOOKUP(L12,Reporte!$N$5:$BN$133,35,FALSE)</f>
        <v>75</v>
      </c>
      <c r="I22" s="132">
        <f>VLOOKUP(L12,Reporte!$N$5:$BN$133,36,FALSE)</f>
        <v>0</v>
      </c>
      <c r="J22" s="139">
        <f>VLOOKUP(L12,Reporte!$N$5:$BN$133,37,FALSE)</f>
        <v>0</v>
      </c>
      <c r="K22" s="139">
        <f>VLOOKUP(L12,Reporte!$N$5:$BN$133,38,FALSE)</f>
        <v>73</v>
      </c>
      <c r="L22" s="139">
        <f>VLOOKUP(L12,Reporte!$N$5:$BN$133,39,FALSE)</f>
        <v>0</v>
      </c>
      <c r="M22" s="139">
        <f>VLOOKUP(L12,Reporte!$N$5:$BN$133,40,FALSE)</f>
        <v>0</v>
      </c>
      <c r="N22" s="133">
        <f>VLOOKUP(L12,Reporte!$N$5:$BN$133,41,FALSE)</f>
        <v>50</v>
      </c>
      <c r="O22" s="133">
        <f>SUM(C22:N22)</f>
        <v>286</v>
      </c>
      <c r="P22" s="128"/>
    </row>
    <row r="23" spans="1:17" ht="16.5" thickBot="1">
      <c r="A23" s="690" t="s">
        <v>76</v>
      </c>
      <c r="B23" s="691"/>
      <c r="C23" s="140">
        <f>VLOOKUP(L12,Reporte!$N$5:$BN$133,42,FALSE)</f>
        <v>0</v>
      </c>
      <c r="D23" s="140">
        <f>VLOOKUP(L12,Reporte!$N$5:$BN$133,43,FALSE)</f>
        <v>0</v>
      </c>
      <c r="E23" s="140">
        <f>VLOOKUP(L12,Reporte!$N$5:$BN$133,44,FALSE)</f>
        <v>88</v>
      </c>
      <c r="F23" s="140">
        <f>VLOOKUP(L12,Reporte!$N$5:$BN$133,45,FALSE)</f>
        <v>0</v>
      </c>
      <c r="G23" s="140">
        <f>VLOOKUP(L12,Reporte!$N$5:$BN$133,46,FALSE)</f>
        <v>0</v>
      </c>
      <c r="H23" s="140">
        <f>VLOOKUP(L12,Reporte!$N$5:$BN$133,47,FALSE)</f>
        <v>77</v>
      </c>
      <c r="I23" s="140">
        <f>VLOOKUP(L12,Reporte!$N$5:$BN$133,48,FALSE)</f>
        <v>0</v>
      </c>
      <c r="J23" s="140">
        <f>VLOOKUP(L12,Reporte!$N$5:$BN$133,49,FALSE)</f>
        <v>0</v>
      </c>
      <c r="K23" s="140">
        <f>VLOOKUP(L12,Reporte!$N$5:$BN$133,50,FALSE)</f>
        <v>73</v>
      </c>
      <c r="L23" s="140">
        <f>VLOOKUP(L12,Reporte!$N$5:$BN$133,51,FALSE)</f>
        <v>0</v>
      </c>
      <c r="M23" s="140">
        <f>VLOOKUP(L12,Reporte!$N$5:$BN$133,52,FALSE)</f>
        <v>0</v>
      </c>
      <c r="N23" s="141">
        <f>VLOOKUP(L12,Reporte!$N$5:$BN$133,53,FALSE)</f>
        <v>50</v>
      </c>
      <c r="O23" s="133">
        <f>SUM(C23:N23)</f>
        <v>288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0.97402597402597402</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0.99305555555555558</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​La Dirección de Inspección y Vigilancia para los Prestadores de Servicios de Salud recibió diecinueve (19) planes de mejoramiento para primera revisión, treinta y uno (31) para segunda y treinta y ocho (38) soportes de ejecución para evaluación de cumplimiento de los planes. La totalidad de los planes de mejoramiento y soportes de ejecución fueron evaluados y analizados por esta dirección durante el primer semestre de 2025.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En el segundo trimestre de 2025 se evaluaron 24 planes de mejoramiento en su primera revisión y 8 en su segunda revisión para aprobación. Asimismo, se llevó a cabo el análisis y la evaluación de los soportes y evidencias de ejecución de 43 planes de mejoramiento, para un total de 75 planes de mejoramiento evaluados de 77 gestionados en el periodo, lo cual corresponde al 97% de ejecución.
Cabe señalar que dos (2) planes radicados para primera revisión fueron evaluados posterior al plazo establecido.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En el tercer trimestre de 2025, la Dirección de Inspección y Vigilancia para Prestadores de Servicios de Salud, evaluó oportunamente 73 planes de mejoramiento de 73 recibidos para trámite en el mismo periodo, de los cuales 8 correspondían a primera revisión de plan de mejoramiento, 16 a segunda revisión y 49 a soportes de ejecución. La totalidad de los radicados recibidos fueron tramitados de manera oportuna, por lo cual el cumplimiento es del 100% respecto a la meta.
Lo anterior permite realiza seguimiento oportunamente a los planes de mejoramiento suscritos por los vigilados, derivados de las auditorías en las cuales se presentaron hallazgos, cuyo propósito es subsanar, corregir y/o prevenir sus causas y gestionar los riesgos  fundamentales sobre aquellas situaciones que afectan su desempeño y cometido institucional, con el fin de contribuir a la mejora de la calidad en la prestación de los servicios de salud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Durante el cuarto trimestre de la vigencia 2025, la Dirección de Inspección y Vigilancia para Prestadores de Servicios de Salud recibió un total de cincuenta (50) planes de mejoramiento, discriminados así: cinco (5) planes para primera revisión de aprobación, cinco (5) para segunda revisión, y cuarenta (40) planes radicados con soportes de ejecución. La totalidad de los planes fueron evaluados y gestionados dentro de los términos establecidos, alcanzando un cumplimiento del 100 % frente a la meta programada del 100 % para el periodo evaluado.   
La evaluación oportuna y efectiva de los planes de mejoramiento presentados por los prestadores vigilados permite subsanar, corregir y prevenir las causas que originan las situaciones identificadas, así como gestionar los riesgos críticos asociados a factores que afectan su desempeño y el cumplimiento de su cometido institucional. Lo anterior contribuye de manera directa al fortalecimiento de la calidad en la prestación de los servicios de salud y al mejoramiento continuo del Sistema.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evaluado 286 Planes de mejoramiento, con incumplimiento de la meta de 288 establecida para 2025. Por lo cual se deben adoptar medidas para garantizar la evaluación periódica de los planes de mejoramiento.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B7EE-2ED9-4F0A-8E53-98EE0077E94F}">
  <sheetPr codeName="Hoja6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0" customHeight="1">
      <c r="A6" s="789" t="s">
        <v>8</v>
      </c>
      <c r="B6" s="790"/>
      <c r="C6" s="711" t="str">
        <f>VLOOKUP(L12,Reporte!$N$5:$BN$133,2,FALSE)</f>
        <v>Porcentaje de seguimiento a los recursos asignados para la implementación de los equipos basicos en Salud en las ESE</v>
      </c>
      <c r="D6" s="711"/>
      <c r="E6" s="711"/>
      <c r="F6" s="711"/>
      <c r="G6" s="711"/>
      <c r="H6" s="711"/>
      <c r="I6" s="711"/>
      <c r="J6" s="711"/>
      <c r="K6" s="711"/>
      <c r="L6" s="711"/>
      <c r="M6" s="711"/>
      <c r="N6" s="711"/>
      <c r="O6" s="791"/>
      <c r="P6" s="128"/>
    </row>
    <row r="7" spans="1:17" ht="63"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28.5" customHeight="1">
      <c r="A8" s="792" t="s">
        <v>1594</v>
      </c>
      <c r="B8" s="774"/>
      <c r="C8" s="711" t="str">
        <f>VLOOKUP(L12,Reporte!$A$5:$N$133,13,FALSE)</f>
        <v>Realizar seguimiento a la implementación del Programa de Equipos Básicos en Salud desde la estrategia de Atención Primaria en Salud desplegada por el Ministerio de Salud y Protección Social.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seguimientos efectuados </v>
      </c>
      <c r="D10" s="711"/>
      <c r="E10" s="711"/>
      <c r="F10" s="799" t="str">
        <f>VLOOKUP(L12,Reporte!$N$5:$BN$133,6,FALSE)</f>
        <v>Este indicador mide el porcentaje de seguimiento de implementación de equipos medicos.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8.5" customHeight="1" thickBot="1">
      <c r="A12" s="796"/>
      <c r="B12" s="768"/>
      <c r="C12" s="710" t="str">
        <f>VLOOKUP(L12,Reporte!$N$5:$BN$133,5,FALSE)</f>
        <v xml:space="preserve"> Total de ESE con asignación de recursos para el Programa de Equipos Básicos en Salud, conocidas por la Supersalud.</v>
      </c>
      <c r="D12" s="711"/>
      <c r="E12" s="711"/>
      <c r="F12" s="799"/>
      <c r="G12" s="799"/>
      <c r="H12" s="799"/>
      <c r="I12" s="799"/>
      <c r="J12" s="712" t="str">
        <f>VLOOKUP(L12,Reporte!$N$5:$BN$133,7,FALSE)</f>
        <v>Eficiencia</v>
      </c>
      <c r="K12" s="712"/>
      <c r="L12" s="713" t="s">
        <v>599</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935</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102</v>
      </c>
      <c r="O22" s="133">
        <f>SUM(C22:N22)</f>
        <v>1037</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935</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102</v>
      </c>
      <c r="O23" s="133">
        <f>SUM(C23:N23)</f>
        <v>1037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53.25" customHeight="1" thickBot="1">
      <c r="A51" s="673" t="str">
        <f>VLOOKUP(L12,Reporte!$N$5:$BZ$133,59,FALSE)</f>
        <v xml:space="preserve">Dando continuidad a las acciones de IV relacionadas con la asignación y ejecución de recursos a la ESE por equipos básicos en salud, se efectuó el envío de un comunicado masivo a 935 ESE registradas como activas en REPS, con el fin de obtener información al corte a 31 de mayo de 2025.
Dado que a la fecha se están realizando acciones de articulación con el Ministerio de Salud y Protección Social para identificar la totalidad de ESE con asignación efectiva de recursos, el masivo se remitió a 935 ESE, no obstante los beneficiarios de giro pudiesen ser menos; información que se encuentra en depuración en la actualidad de conformidad con los insumos que entregue el citado Ministerio.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La Dirección de Inspección y Vigilancia para Prestadores de Servicios de Salud continuó con el seguimiento a la ejecución de dicho programa y, para el segundo semestre de la vigencia 2025, priorizó ciento dos (102) ESE, correspondientes a aquellas con mayor asignación de recursos durante la vigencia 2023. Para tal efecto, se diseñó un papel de trabajo que permite la captura sistemática de información y el monitoreo de los resultados asociados a la gestión de las ESE en relación con la implementación de los Equipos Básicos en Salud (EBS).   
Con el fin de socializar y entregar dicho instrumento, se programó la realización de diez (10) mesas técnicas a nivel nacional, organizadas por regiones, dirigidas a las ESE priorizadas. Posteriormente, se efectuó el requerimiento formal para el suministro de la información necesaria, con el propósito de adelantar el correspondiente seguimiento en el marco de las acciones de Inspección y Vigilancia a cargo de la Dirección.
Para el proceso de consolidación y análisis de la información reportada, se desarrolló una herramienta en Power BI que facilita el análisis de variables financieras y asistenciales, a partir de la cual se generará un informe técnico que actualmente se encuentra en elaboración.
En concordancia con lo anterior, se viene adelantando un ejercicio de seguimiento a la implementación de los Equipos Básicos en Salud (EBS), orientado no solo a evaluar la ejecución presupuestal de los recursos asignados, sino también a verificar el cumplimiento de su objetivo misional: garantizar el acceso equitativo, oportuno y resolutivo a los servicios de salud en los territorios priorizados. Dicho seguimiento permite establecer si las acciones desarrolladas por las entidades receptoras se encuentran alineadas con los objetivos estructurales de la estrategia EBS, concebida para fortalecer la atención primaria en salud, reducir barreras de acceso y mejorar los indicadores de salud mediante intervenciones comunitarias integrales. En este sentido, las acciones de inspección y vigilancia se enfocan en verificar la coherencia entre el uso de los recursos, la operación territorial de los equipos y el impacto efectivo en las condiciones de salud de la población atendida.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1037 seguimientos, con cumplimiento la meta porcentual de 100% para 2025.No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0847-1FF5-4BAC-A7A1-FCE93956F178}">
  <sheetPr codeName="Hoja4"/>
  <dimension ref="A1:I37"/>
  <sheetViews>
    <sheetView zoomScaleNormal="100" workbookViewId="0">
      <pane ySplit="9" topLeftCell="A10" activePane="bottomLeft" state="frozen"/>
      <selection activeCell="D16" sqref="D16"/>
      <selection pane="bottomLeft" activeCell="C10" sqref="C10"/>
    </sheetView>
  </sheetViews>
  <sheetFormatPr baseColWidth="10" defaultColWidth="0" defaultRowHeight="14.25" customHeight="1" zeroHeight="1"/>
  <cols>
    <col min="1" max="2" width="11" customWidth="1"/>
    <col min="3" max="3" width="11" style="55" customWidth="1"/>
    <col min="4" max="4" width="50.125" customWidth="1"/>
    <col min="5" max="5" width="7.25" customWidth="1"/>
    <col min="6"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51"/>
      <c r="D7" s="36"/>
      <c r="E7" s="42"/>
      <c r="F7" s="36"/>
      <c r="G7" s="36"/>
    </row>
    <row r="8" spans="1:7" ht="20.25">
      <c r="A8" s="36"/>
      <c r="B8" s="41"/>
      <c r="C8" s="53" t="s">
        <v>1579</v>
      </c>
      <c r="D8" s="36"/>
      <c r="E8" s="42"/>
      <c r="F8" s="36"/>
      <c r="G8" s="36"/>
    </row>
    <row r="9" spans="1:7">
      <c r="A9" s="36"/>
      <c r="B9" s="41"/>
      <c r="C9" s="51"/>
      <c r="D9" s="36"/>
      <c r="E9" s="42"/>
      <c r="F9" s="36"/>
      <c r="G9" s="36"/>
    </row>
    <row r="10" spans="1:7" ht="34.5" customHeight="1">
      <c r="A10" s="36"/>
      <c r="B10" s="41"/>
      <c r="C10" s="56" t="s">
        <v>510</v>
      </c>
      <c r="D10" s="60" t="s">
        <v>511</v>
      </c>
      <c r="E10" s="42"/>
      <c r="F10" s="36"/>
      <c r="G10" s="36"/>
    </row>
    <row r="11" spans="1:7" ht="57">
      <c r="A11" s="36"/>
      <c r="B11" s="41"/>
      <c r="C11" s="56" t="s">
        <v>366</v>
      </c>
      <c r="D11" s="60" t="s">
        <v>368</v>
      </c>
      <c r="E11" s="42"/>
      <c r="F11" s="36"/>
      <c r="G11" s="36"/>
    </row>
    <row r="12" spans="1:7" ht="28.5">
      <c r="A12" s="36"/>
      <c r="B12" s="41"/>
      <c r="C12" s="56" t="s">
        <v>311</v>
      </c>
      <c r="D12" s="60" t="s">
        <v>388</v>
      </c>
      <c r="E12" s="42"/>
      <c r="F12" s="36"/>
      <c r="G12" s="36"/>
    </row>
    <row r="13" spans="1:7" ht="28.5">
      <c r="A13" s="36"/>
      <c r="B13" s="41"/>
      <c r="C13" s="56" t="s">
        <v>258</v>
      </c>
      <c r="D13" s="60" t="s">
        <v>477</v>
      </c>
      <c r="E13" s="42"/>
      <c r="F13" s="36"/>
      <c r="G13" s="36"/>
    </row>
    <row r="14" spans="1:7" ht="28.5">
      <c r="A14" s="36"/>
      <c r="B14" s="41"/>
      <c r="C14" s="56" t="s">
        <v>230</v>
      </c>
      <c r="D14" s="60" t="s">
        <v>432</v>
      </c>
      <c r="E14" s="42"/>
      <c r="F14" s="36"/>
      <c r="G14" s="36"/>
    </row>
    <row r="15" spans="1:7">
      <c r="A15" s="36"/>
      <c r="B15" s="41"/>
      <c r="C15" s="51"/>
      <c r="D15" s="36"/>
      <c r="E15" s="42"/>
      <c r="F15" s="36"/>
    </row>
    <row r="16" spans="1:7" ht="15" thickBot="1">
      <c r="A16" s="36"/>
      <c r="B16" s="43"/>
      <c r="C16" s="54"/>
      <c r="D16" s="44"/>
      <c r="E16" s="45"/>
      <c r="F16" s="36"/>
    </row>
    <row r="17" spans="1:6" ht="14.25" customHeight="1">
      <c r="A17" s="36"/>
      <c r="B17" s="36"/>
      <c r="C17" s="51"/>
      <c r="D17" s="36"/>
      <c r="E17" s="36"/>
      <c r="F17" s="36"/>
    </row>
    <row r="18" spans="1:6" ht="14.25" customHeight="1"/>
    <row r="19" spans="1:6" ht="14.25" customHeight="1"/>
    <row r="20" spans="1:6" ht="14.25" customHeight="1"/>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sheetData>
  <hyperlinks>
    <hyperlink ref="C10" location="'SE35'!Área_de_impresión" display="SE35" xr:uid="{2CF2C286-2851-4390-8743-8D473797EDDC}"/>
    <hyperlink ref="C11" location="'TR06'!Área_de_impresión" display="TR06" xr:uid="{F155668E-FC15-4D26-BBD3-3D8F24E9417D}"/>
    <hyperlink ref="C12" location="'CT28'!Área_de_impresión" display="CT28" xr:uid="{31CFCA2A-3A48-4FA5-8468-5F61C7F4CA15}"/>
    <hyperlink ref="C13" location="'CT04'!Área_de_impresión" display="CT04" xr:uid="{134BB6D9-954C-4C75-938F-5E7C2A30F59C}"/>
    <hyperlink ref="C14" location="'AT12'!Área_de_impresión" display="AT12" xr:uid="{A8659BAC-A309-4A53-A99F-1FBDB36F9851}"/>
  </hyperlinks>
  <pageMargins left="0.7" right="0.7" top="0.75" bottom="0.75" header="0.3" footer="0.3"/>
  <pageSetup paperSize="9" scale="79" orientation="portrait" r:id="rId1"/>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68B7-37E9-44A4-95FE-A0CA5D9BC5CE}">
  <sheetPr codeName="Hoja69"/>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1.5" customHeight="1">
      <c r="A6" s="789" t="s">
        <v>8</v>
      </c>
      <c r="B6" s="790"/>
      <c r="C6" s="711" t="str">
        <f>VLOOKUP(L12,Reporte!$N$5:$BN$133,2,FALSE)</f>
        <v>Porcentaje de seguimiento a la ejecución del Programa de Mejoramiento Institucional</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15.75">
      <c r="A8" s="792" t="s">
        <v>1594</v>
      </c>
      <c r="B8" s="774"/>
      <c r="C8" s="711" t="str">
        <f>VLOOKUP(L12,Reporte!$A$5:$N$133,13,FALSE)</f>
        <v>Adelantar seguimiento a la gestión del  Programa de Mejoramiento Institucional - PMI</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9.75" customHeight="1">
      <c r="A10" s="794"/>
      <c r="B10" s="795"/>
      <c r="C10" s="711" t="str">
        <f>VLOOKUP(L12,Reporte!$N$5:$BN$133,4,FALSE)</f>
        <v xml:space="preserve">La formula del indicador quedaría de la siguiente manera: Número de seguimientos adelantados a los PMI </v>
      </c>
      <c r="D10" s="711"/>
      <c r="E10" s="711"/>
      <c r="F10" s="799" t="str">
        <f>VLOOKUP(L12,Reporte!$N$5:$BN$133,6,FALSE)</f>
        <v>Este indicador mide el número de seguimientos a la gestión de  los Prestadores de Servicios de Salud- PSS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Numero de PMI reportados a la Dirección IV para PSS*100</v>
      </c>
      <c r="D12" s="711"/>
      <c r="E12" s="711"/>
      <c r="F12" s="799"/>
      <c r="G12" s="799"/>
      <c r="H12" s="799"/>
      <c r="I12" s="799"/>
      <c r="J12" s="712" t="str">
        <f>VLOOKUP(L12,Reporte!$N$5:$BN$133,7,FALSE)</f>
        <v>Eficiencia</v>
      </c>
      <c r="K12" s="712"/>
      <c r="L12" s="713" t="s">
        <v>598</v>
      </c>
      <c r="M12" s="713"/>
      <c r="N12" s="714">
        <f>VLOOKUP(L12,Reporte!$AP$5:$CAB$133,38,FALSE)</f>
        <v>3</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Porcentual</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30</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v>
      </c>
      <c r="O22" s="133">
        <f>SUM(C22:N22)</f>
        <v>31</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30</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v>
      </c>
      <c r="O23" s="133">
        <f>SUM(C23:N23)</f>
        <v>31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En el primer semestre de 2025 se realizaron en total 30 seguimientos a Programas de Mejoramiento Institucional suscritos por 15 Empresas Sociales del Estado, correspondientes a la ejecución de los compromisos para el III y IV trimestre de la vigencia 2024.
Por lo anterior, para el I semestre de 2025, se da cumplimiento a meta establecida del 100%.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Durante el segundo semestre de la vigencia 2025 se efectuó un (1) seguimiento de un (1) programado en el marco del Programa de Mejoramiento Institucional al cual se encontraba adscrita la ESE Hospital San Juan de Sahagún, lo que permitió dar cumplimiento al 100% de la meta establecida para el período evaluado.   
Este Programa de Mejoramiento Institucional (PMI), es una herramienta de inspección y vigilancia que ha permitido la identificación, medición, evaluación y control de riesgos financieros y de salud, a partir de los reportes efectuados por el Ministerio de Hacienda y Crédito Público - MHCP a la Superintendencia Nacional de Salud, acerca de los incumplimientos del Programa de Saneamiento Fiscal y Financiero – PSFF por parte de las ESE, por lo cual, se aplicó un modelo de supervisión basado en riesgos, que incluyó la evaluación continua de indicadores financieros y de prestación de servicios, así como la formulación de planes de mejora, con seguimiento periódico de su ejecución. Como resultado, la gran mayoría de las instituciones bajo seguimiento lograron estabilizar sus condiciones operativas y fueron reclasificadas como entidades sin riesgo por el Ministerio de Salud y Protección Social, contribuyendo a una red pública hospitalaria más sólida y confiable.</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31 seguimientos al Programa de mejoramiento institucional, con cumplimiento de la meta de 100%,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C5BBE-632F-4DEA-AE1A-AFC6DA179FC0}">
  <sheetPr codeName="Hoja7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TRÁMITES</v>
      </c>
      <c r="D5" s="787"/>
      <c r="E5" s="787"/>
      <c r="F5" s="787"/>
      <c r="G5" s="787"/>
      <c r="H5" s="787"/>
      <c r="I5" s="787"/>
      <c r="J5" s="787"/>
      <c r="K5" s="787"/>
      <c r="L5" s="787"/>
      <c r="M5" s="787"/>
      <c r="N5" s="787"/>
      <c r="O5" s="788"/>
      <c r="P5" s="130"/>
      <c r="Q5" s="131"/>
    </row>
    <row r="6" spans="1:17" ht="27.75" customHeight="1">
      <c r="A6" s="789" t="s">
        <v>8</v>
      </c>
      <c r="B6" s="790"/>
      <c r="C6" s="711" t="str">
        <f>VLOOKUP(L12,Reporte!$N$5:$BN$133,2,FALSE)</f>
        <v>Porcentaje de solicitudes gestionadas de los vigilados relacionados con reformas estatutarias</v>
      </c>
      <c r="D6" s="711"/>
      <c r="E6" s="711"/>
      <c r="F6" s="711"/>
      <c r="G6" s="711"/>
      <c r="H6" s="711"/>
      <c r="I6" s="711"/>
      <c r="J6" s="711"/>
      <c r="K6" s="711"/>
      <c r="L6" s="711"/>
      <c r="M6" s="711"/>
      <c r="N6" s="711"/>
      <c r="O6" s="791"/>
      <c r="P6" s="128"/>
    </row>
    <row r="7" spans="1:17" ht="58.5" customHeight="1">
      <c r="A7" s="789" t="s">
        <v>10</v>
      </c>
      <c r="B7" s="790"/>
      <c r="C7" s="711" t="str">
        <f>VLOOKUP(L12,Reporte!A5:M133,10,FALSE)</f>
        <v>Gestionar y evaluar las solicitudes de los trámites presentados por las entidades vigiladas y por personas naturales y/o jurídicas, con el propósito de satisfacer las necesidades y expectativas de los grupos de valor y de interés de la Superintendencia Nacional de Salud</v>
      </c>
      <c r="D7" s="711"/>
      <c r="E7" s="711"/>
      <c r="F7" s="711"/>
      <c r="G7" s="711"/>
      <c r="H7" s="711"/>
      <c r="I7" s="711"/>
      <c r="J7" s="711"/>
      <c r="K7" s="711"/>
      <c r="L7" s="711"/>
      <c r="M7" s="711"/>
      <c r="N7" s="711"/>
      <c r="O7" s="791"/>
      <c r="P7" s="128"/>
    </row>
    <row r="8" spans="1:17" ht="31.5" customHeight="1">
      <c r="A8" s="792" t="s">
        <v>1594</v>
      </c>
      <c r="B8" s="774"/>
      <c r="C8" s="711" t="str">
        <f>VLOOKUP(L12,Reporte!$A$5:$N$133,13,FALSE)</f>
        <v>Resolver o gestionar las solicitudes de los vigilados relacionadas con las Reformas Estatutarias de IPS conforme a los descrito en la normatividad vigente.</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solicitudes de reformas estatutarias gestionadas</v>
      </c>
      <c r="D10" s="711"/>
      <c r="E10" s="711"/>
      <c r="F10" s="799" t="str">
        <f>VLOOKUP(L12,Reporte!$N$5:$BN$133,6,FALSE)</f>
        <v>Este indicador mide el número de soicitudes de los vigilados que se encuentran en gestión de trámites.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Número de solicitudes de reformas estatutarias recibidas para trámite en la vigencia.</v>
      </c>
      <c r="D12" s="711"/>
      <c r="E12" s="711"/>
      <c r="F12" s="799"/>
      <c r="G12" s="799"/>
      <c r="H12" s="799"/>
      <c r="I12" s="799"/>
      <c r="J12" s="712" t="str">
        <f>VLOOKUP(L12,Reporte!$N$5:$BN$133,7,FALSE)</f>
        <v>Eficiencia</v>
      </c>
      <c r="K12" s="712"/>
      <c r="L12" s="713" t="s">
        <v>651</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10</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7</v>
      </c>
      <c r="O22" s="133">
        <f>SUM(C22:N22)</f>
        <v>17</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10</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7</v>
      </c>
      <c r="O23" s="133">
        <f>SUM(C23:N23)</f>
        <v>17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I semestre de 2025, se gestionaron 10 solicitudes de reformas estatutarias de 10 recibidas para trámite en la Dirección IV para Prestadores de Servicios de Salud, de las cuales, 2 finalizaron con resolución, 1 finalizó con oficio y 7 gestionadas con análisis de SARLAFT, análisis financiero y requerimiento al vigilado.
Por lo anterior, se da cumplimiento a la meta establecida del 100% para el periodo evaluado.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Durante el segundo semestre de la vigencia 2025, la Dirección IV para Prestadores de Servicios de Salud gestionó siete (7) solicitudes de reforma estatutaria de un total de siete (7) recibidas para trámite. De estas, tres (3) culminaron con la expedición del respectivo acto administrativo, mientras que cuatro (4) fueron tramitadas mediante la elaboración del estudio de viabilidad y la remisión a la Oficina Jurídica de los correspondientes proyectos de resolución. En consecuencia, se dio cumplimiento del 100% de la meta establecida para el periodo evaluado.   
Lo anterior se desarrolla en concordancia con lo dispuesto en el Decreto 1080 de 2021, el cual establece como función de la Superintendencia Nacional de Salud “autorizar o negar, de manera previa, a las instituciones prestadoras de servicios de salud, las operaciones relacionadas con la disminución de capital y la ampliación del objeto social a actividades no relacionadas con la prestación de los servicios de salud”</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gestionaron el total de las 17 solicitudes que ingresaron a la dependencia, con cumplimiento de la meta de 100% establecida para lo corrido de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C72DA-2E36-4E45-9E6D-0D3D87167E4B}">
  <sheetPr codeName="Hoja71"/>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TRÁMITES</v>
      </c>
      <c r="D5" s="787"/>
      <c r="E5" s="787"/>
      <c r="F5" s="787"/>
      <c r="G5" s="787"/>
      <c r="H5" s="787"/>
      <c r="I5" s="787"/>
      <c r="J5" s="787"/>
      <c r="K5" s="787"/>
      <c r="L5" s="787"/>
      <c r="M5" s="787"/>
      <c r="N5" s="787"/>
      <c r="O5" s="788"/>
      <c r="P5" s="130"/>
      <c r="Q5" s="131"/>
    </row>
    <row r="6" spans="1:17" ht="29.25" customHeight="1">
      <c r="A6" s="789" t="s">
        <v>8</v>
      </c>
      <c r="B6" s="790"/>
      <c r="C6" s="711" t="str">
        <f>VLOOKUP(L12,Reporte!$N$5:$BN$133,2,FALSE)</f>
        <v>Porcentaje de recursos de apelación por evaluación de gerentes y evaluación no satisfactoria por no presentación del plan de gestión.</v>
      </c>
      <c r="D6" s="711"/>
      <c r="E6" s="711"/>
      <c r="F6" s="711"/>
      <c r="G6" s="711"/>
      <c r="H6" s="711"/>
      <c r="I6" s="711"/>
      <c r="J6" s="711"/>
      <c r="K6" s="711"/>
      <c r="L6" s="711"/>
      <c r="M6" s="711"/>
      <c r="N6" s="711"/>
      <c r="O6" s="791"/>
      <c r="P6" s="128"/>
    </row>
    <row r="7" spans="1:17" ht="58.5" customHeight="1">
      <c r="A7" s="789" t="s">
        <v>10</v>
      </c>
      <c r="B7" s="790"/>
      <c r="C7" s="711" t="str">
        <f>VLOOKUP(L12,Reporte!A5:M133,10,FALSE)</f>
        <v>Gestionar y evaluar las solicitudes de los trámites presentados por las entidades vigiladas y por personas naturales y/o jurídicas, con el propósito de satisfacer las necesidades y expectativas de los grupos de valor y de interés de la Superintendencia Nacional de Salud</v>
      </c>
      <c r="D7" s="711"/>
      <c r="E7" s="711"/>
      <c r="F7" s="711"/>
      <c r="G7" s="711"/>
      <c r="H7" s="711"/>
      <c r="I7" s="711"/>
      <c r="J7" s="711"/>
      <c r="K7" s="711"/>
      <c r="L7" s="711"/>
      <c r="M7" s="711"/>
      <c r="N7" s="711"/>
      <c r="O7" s="791"/>
      <c r="P7" s="128"/>
    </row>
    <row r="8" spans="1:17" ht="31.5" customHeight="1">
      <c r="A8" s="792" t="s">
        <v>1594</v>
      </c>
      <c r="B8" s="774"/>
      <c r="C8" s="711" t="str">
        <f>VLOOKUP(L12,Reporte!$A$5:$N$133,13,FALSE)</f>
        <v>Resolver los recursos de apelación por evaluación de gerentes y evaluación no satisfactoria por no presentación de proyecto de plan de gestión o de informe de cumplimiento de plan de gestión de las Empresas Sociales del Estado.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102" customHeight="1">
      <c r="A10" s="794"/>
      <c r="B10" s="795"/>
      <c r="C10" s="711" t="str">
        <f>VLOOKUP(L12,Reporte!$N$5:$BN$133,4,FALSE)</f>
        <v>Número de recursos de apelación por evaluación de gerentes y evaluación no satisfactoria por no presentación del plan de gestión, gestionadas en los tiempos establecidos</v>
      </c>
      <c r="D10" s="711"/>
      <c r="E10" s="711"/>
      <c r="F10" s="799" t="str">
        <f>VLOOKUP(L12,Reporte!$N$5:$BN$133,6,FALSE)</f>
        <v>Este indicador mide el número el porcentaje de recursos de apelación por evalucaión de gerentes.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92.25" customHeight="1" thickBot="1">
      <c r="A12" s="796"/>
      <c r="B12" s="768"/>
      <c r="C12" s="710" t="str">
        <f>VLOOKUP(L12,Reporte!$N$5:$BN$133,5,FALSE)</f>
        <v xml:space="preserve"> Número de recursos de apelación por evaluación de gerentes y evaluación no satisfactoria por no presentación del plan de gestión recibidas.</v>
      </c>
      <c r="D12" s="711"/>
      <c r="E12" s="711"/>
      <c r="F12" s="799"/>
      <c r="G12" s="799"/>
      <c r="H12" s="799"/>
      <c r="I12" s="799"/>
      <c r="J12" s="712" t="str">
        <f>VLOOKUP(L12,Reporte!$N$5:$BN$133,7,FALSE)</f>
        <v>Eficiencia</v>
      </c>
      <c r="K12" s="712"/>
      <c r="L12" s="713" t="s">
        <v>658</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v>
      </c>
      <c r="O22" s="133">
        <f>SUM(C22:N22)</f>
        <v>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v>
      </c>
      <c r="O23" s="133">
        <f>SUM(C23:N23)</f>
        <v>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I semestre de 2025, se recibió un recurso de apelación por evaluación de gerente, el cual fue gestionado en el término establecido, dando cumplimiento a la meta proyectada del 100%.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​Durante el segundo semestre de la vigencia 2025, no se presentaron trámites a la Dirección IV para Prestadores de Servicios de Salud relacionados con recursos de apelación derivados de la evaluación de gerentes o de evaluaciones no satisfactorias por la no presentación del plan de gestión por parte de los gerentes de las Empresas Sociales del Estado</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atendió 1 recurso de apelación en el primer semestre del año el cual fue gestionado en el termino establecido dando cumplimiento de la meta de 2025.
Se reporto un valor de 1 en diciembre sin embargo este no se debe reportar toda vez que no ingreso ningún recurso de apelación en el segundo semestre del año.</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7B91-24A3-49C2-9227-F893C78AE3E3}">
  <sheetPr codeName="Hoja72"/>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0" customHeight="1">
      <c r="A6" s="789" t="s">
        <v>8</v>
      </c>
      <c r="B6" s="790"/>
      <c r="C6" s="711" t="str">
        <f>VLOOKUP(L12,Reporte!$N$5:$BN$133,2,FALSE)</f>
        <v>Alertas identificadas y gestionadas en el monitoreo y vigilancia de los recursos financieros a 25 ESE durante la vigencia 2025, respecto de 4 indicadores financieros.</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45" customHeight="1">
      <c r="A8" s="792" t="s">
        <v>1594</v>
      </c>
      <c r="B8" s="774"/>
      <c r="C8" s="711" t="str">
        <f>VLOOKUP(L12,Reporte!$A$5:$N$133,13,FALSE)</f>
        <v xml:space="preserve">Generar alertas a partir del monitoreo de los riesgos financieros en las Empresas Sociales del Estado priorizadas, que les permitan establecer controles y anticipen la afectación que se pueda ocasionar en la atención de los usuarios por una inadecuada gestión de los recursos.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alertas gestionadas en las ESE </v>
      </c>
      <c r="D10" s="711"/>
      <c r="E10" s="711"/>
      <c r="F10" s="799" t="str">
        <f>VLOOKUP(L12,Reporte!$N$5:$BN$133,6,FALSE)</f>
        <v>Este indicador mide las alertas gestionadas de vigilancia en los recursos financieros.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630</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100</v>
      </c>
      <c r="D15" s="826"/>
      <c r="E15" s="827"/>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40</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72</v>
      </c>
      <c r="O22" s="133">
        <f>SUM(C22:N22)</f>
        <v>112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40</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60</v>
      </c>
      <c r="O23" s="133">
        <f>SUM(C23:N23)</f>
        <v>100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100</v>
      </c>
      <c r="D26" s="161">
        <f>+C26*0.98</f>
        <v>98</v>
      </c>
      <c r="E26" s="147"/>
      <c r="F26" s="147"/>
      <c r="G26" s="685"/>
      <c r="H26" s="685"/>
      <c r="I26" s="699"/>
      <c r="J26" s="699"/>
      <c r="K26" s="699"/>
      <c r="L26" s="685"/>
      <c r="M26" s="685"/>
      <c r="N26" s="685"/>
      <c r="O26" s="701"/>
      <c r="P26" s="148"/>
      <c r="Q26" s="149"/>
    </row>
    <row r="27" spans="1:17" s="127" customFormat="1" ht="15">
      <c r="A27" s="145" t="s">
        <v>95</v>
      </c>
      <c r="B27" s="161">
        <f>+D22</f>
        <v>0</v>
      </c>
      <c r="C27" s="161">
        <f>+C26</f>
        <v>100</v>
      </c>
      <c r="D27" s="161">
        <f>+D26</f>
        <v>98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100</v>
      </c>
      <c r="D28" s="161">
        <f t="shared" si="0"/>
        <v>98</v>
      </c>
      <c r="E28" s="147"/>
      <c r="F28" s="147"/>
      <c r="G28" s="685"/>
      <c r="H28" s="685"/>
      <c r="I28" s="685"/>
      <c r="J28" s="685"/>
      <c r="K28" s="147"/>
      <c r="L28" s="685"/>
      <c r="M28" s="685"/>
      <c r="N28" s="685"/>
      <c r="O28" s="701"/>
      <c r="P28" s="148"/>
      <c r="Q28" s="149"/>
    </row>
    <row r="29" spans="1:17" s="127" customFormat="1" ht="15">
      <c r="A29" s="145" t="s">
        <v>97</v>
      </c>
      <c r="B29" s="161">
        <f>+F22</f>
        <v>0</v>
      </c>
      <c r="C29" s="161">
        <f t="shared" si="0"/>
        <v>100</v>
      </c>
      <c r="D29" s="161">
        <f t="shared" si="0"/>
        <v>98</v>
      </c>
      <c r="E29" s="147"/>
      <c r="F29" s="147"/>
      <c r="G29" s="685"/>
      <c r="H29" s="685"/>
      <c r="I29" s="685"/>
      <c r="J29" s="685"/>
      <c r="K29" s="147"/>
      <c r="L29" s="685"/>
      <c r="M29" s="685"/>
      <c r="N29" s="685"/>
      <c r="O29" s="701"/>
      <c r="P29" s="148"/>
      <c r="Q29" s="149"/>
    </row>
    <row r="30" spans="1:17" s="127" customFormat="1" ht="15">
      <c r="A30" s="145" t="s">
        <v>98</v>
      </c>
      <c r="B30" s="161">
        <f>+G22</f>
        <v>0</v>
      </c>
      <c r="C30" s="161">
        <f t="shared" si="0"/>
        <v>100</v>
      </c>
      <c r="D30" s="161">
        <f t="shared" si="0"/>
        <v>98</v>
      </c>
      <c r="E30" s="147"/>
      <c r="F30" s="147"/>
      <c r="G30" s="685"/>
      <c r="H30" s="685"/>
      <c r="I30" s="685"/>
      <c r="J30" s="685"/>
      <c r="K30" s="147"/>
      <c r="L30" s="685"/>
      <c r="M30" s="685"/>
      <c r="N30" s="685"/>
      <c r="O30" s="701"/>
      <c r="P30" s="148"/>
      <c r="Q30" s="149"/>
    </row>
    <row r="31" spans="1:17" s="127" customFormat="1" ht="15">
      <c r="A31" s="145" t="s">
        <v>99</v>
      </c>
      <c r="B31" s="161">
        <f>+H22</f>
        <v>40</v>
      </c>
      <c r="C31" s="161">
        <f t="shared" si="0"/>
        <v>100</v>
      </c>
      <c r="D31" s="161">
        <f t="shared" si="0"/>
        <v>98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100</v>
      </c>
      <c r="D32" s="161">
        <f t="shared" si="0"/>
        <v>98</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100</v>
      </c>
      <c r="D33" s="161">
        <f t="shared" si="0"/>
        <v>98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100</v>
      </c>
      <c r="D34" s="161">
        <f t="shared" si="0"/>
        <v>98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100</v>
      </c>
      <c r="D35" s="161">
        <f t="shared" si="0"/>
        <v>98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100</v>
      </c>
      <c r="D36" s="161">
        <f t="shared" si="0"/>
        <v>98</v>
      </c>
      <c r="E36" s="147"/>
      <c r="F36" s="147"/>
      <c r="G36" s="685"/>
      <c r="H36" s="685"/>
      <c r="I36" s="685"/>
      <c r="J36" s="685"/>
      <c r="K36" s="147"/>
      <c r="L36" s="685"/>
      <c r="M36" s="685"/>
      <c r="N36" s="685"/>
      <c r="O36" s="701"/>
      <c r="P36" s="148"/>
      <c r="Q36" s="149"/>
    </row>
    <row r="37" spans="1:17" s="127" customFormat="1" ht="15.75" thickBot="1">
      <c r="A37" s="150" t="s">
        <v>105</v>
      </c>
      <c r="B37" s="162">
        <f>+N22</f>
        <v>72</v>
      </c>
      <c r="C37" s="161">
        <f t="shared" si="0"/>
        <v>100</v>
      </c>
      <c r="D37" s="161">
        <f t="shared" si="0"/>
        <v>98</v>
      </c>
      <c r="E37" s="147"/>
      <c r="F37" s="147"/>
      <c r="G37" s="147"/>
      <c r="H37" s="147"/>
      <c r="I37" s="147"/>
      <c r="J37" s="147"/>
      <c r="K37" s="147"/>
      <c r="L37" s="685"/>
      <c r="M37" s="685"/>
      <c r="N37" s="685"/>
      <c r="O37" s="701"/>
      <c r="P37" s="148"/>
      <c r="Q37" s="149"/>
    </row>
    <row r="38" spans="1:17" s="127" customFormat="1" ht="15.75" thickBot="1">
      <c r="A38" s="152" t="s">
        <v>106</v>
      </c>
      <c r="B38" s="164">
        <f>+O22</f>
        <v>112</v>
      </c>
      <c r="C38" s="164">
        <f>+C37</f>
        <v>100</v>
      </c>
      <c r="D38" s="164">
        <f>+D37</f>
        <v>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Desde las acciones realizadas por la Delegada para Prestadores de Servicios de Salud, se monitorea el resultado de cuatro (4) indicadores calculados a partir de la información financiera reportada por las ESE al cierre de la vigencia anterior (2024), los cuales contemplan variables relacionadas con cartera, pasivos especialmente al talento humano en salud, pérdidas operacionales y generación de recaudo frente a ingresos causados. 
Como meta se estableció el seguimiento y realización de acciones de inspección y vigilancia sobre 25 Empresas Sociales del Estado distribuidas así: 
• Diez (10) durante el primer semestre 
• Quince (15) durante el segundo semestre 
Lo anterior con el fin de verificar en campo el comportamiento y fallas que se pudieran identificar frente a los resultados obtenidos en los indicadores. Producto de estas acciones, se generan los respectivos informes de auditoría y traslados a entidades a las autoridades competentes. 
En este sentido, para efectos de obtener el resultado del indicador, se multiplica el número de Empresas Sociales del Estado priorizadas por el número cuatro (4) que equivale a la cantidad de indicadores verificados desde el componente financiero a partir de la información financiera, como se indicó anteriormente.
Es decir, que para el I semestre de la vigencia 2025, se realizaron acciones de IV a diez (10) ESE multiplicado por 4 indicadores financieros, para un total de 40 alertas identificadas y gestionadas en el monitoreo y vigilancia de los recursos financieros.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88.25" customHeight="1" thickBot="1">
      <c r="A63" s="673" t="str">
        <f>VLOOKUP(L12,Reporte!$N$5:$BZ$133,65,FALSE)</f>
        <v xml:space="preserve">En el marco de las acciones desarrolladas por la Dirección IV para Prestadores de Servicios de Salud, se adelanta el monitoreo de cuatro (4) indicadores financieros, calculados con base en la información reportada por las Empresas Sociales del Estado (E.S.E.) al cierre de la vigencia anterior (2024). Estos indicadores incorporan variables relacionadas con la cartera, los pasivos, en especial aquellos asociados al talento humano en salud, las pérdidas operacionales y la capacidad de recaudo frente a los ingresos causados.
Para el segundo semestre de la vigencia 2025, se estableció como meta el seguimiento y la ejecución de acciones de inspección y vigilancia sobre treinta y tres (33) Empresas Sociales del Estado, con el propósito de verificar el comportamiento de los indicadores financieros y detectar oportunamente posibles desviaciones o fallas en la gestión de los recursos.
Como resultado de estas actuaciones, se elaboraron informes de auditoría, se efectuaron traslados a las autoridades competentes y se adelantaron acciones de inspección y vigilancia asociadas al componente financiero, orientadas a mitigar los riesgos identificados y a fortalecer la sostenibilidad financiera de las entidades evaluadas.
En consecuencia, durante el segundo semestre de la vigencia 2025, se analizaron ciento treinta y dos (132) indicadores derivados del seguimiento realizado a las treinta y tres (33) E.S.E. monitoreadas, de los cuales se generaron setenta y dos (72) alertas, las cuales fueron gestionadas en su totalidad. Este resultado permitió alcanzar un 120% frente a la meta programada para el segundo semestre de la vigencia 2025, correspondiente a sesenta (60) acciones de inspección y vigilancia orientadas al monitoreo de los riesgos financieros en las Empresas Sociales del Estado priorizadas.
En ese orden de ideas, para la vigencia 2025, en específico para este indicador, se ejecutaron en su totalidad cien (100) acciones de inspección y vigilancia programadas, alcanzando un cumplimiento del 100% frente a la meta establecida, contribuyendo a la generación de controles preventivos que anticipen posibles afectaciones en la atención de los usuarios derivadas de una inadecuada gestión de los recursos.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gestionaron 112 alertas, con un sobrecumplimiento de 112% con respecto de la meta de 100 establecida para 2025.No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77E3D-0E30-4331-AEF1-9968B51276D2}">
  <sheetPr codeName="Hoja73"/>
  <dimension ref="A1:Q67"/>
  <sheetViews>
    <sheetView view="pageBreakPreview" zoomScale="80" zoomScaleNormal="73" zoomScaleSheetLayoutView="80" zoomScalePageLayoutView="55" workbookViewId="0">
      <selection activeCell="R12" sqref="R12"/>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 xml:space="preserve">Orientaciones técnicas a los Prestadores de Servicios en Salud ejecutadas </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2.25" customHeight="1">
      <c r="A8" s="792" t="s">
        <v>1594</v>
      </c>
      <c r="B8" s="774"/>
      <c r="C8" s="711" t="str">
        <f>VLOOKUP(L12,Reporte!$A$5:$N$133,13,FALSE)</f>
        <v xml:space="preserve">Brindar apoyo técnico científico, jurídico, financiero y admistrativo para el seguimiento y monitoreo de los vigilados a cargo de la Oficina de Liquidaciones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7.75" customHeight="1">
      <c r="A10" s="794"/>
      <c r="B10" s="795"/>
      <c r="C10" s="711" t="str">
        <f>VLOOKUP(L12,Reporte!$N$5:$BN$133,4,FALSE)</f>
        <v>Número de orientaciones técnicas realizadas a los prestadores de servicios de salud</v>
      </c>
      <c r="D10" s="711"/>
      <c r="E10" s="711"/>
      <c r="F10" s="799" t="str">
        <f>VLOOKUP(L12,Reporte!$N$5:$BN$133,6,FALSE)</f>
        <v>Este indicador mide las orientaciones tecnicas alos prestadores de servicios de salud.</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635</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13</v>
      </c>
      <c r="D15" s="826"/>
      <c r="E15" s="827"/>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7</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17</v>
      </c>
      <c r="O22" s="133">
        <f>SUM(C22:N22)</f>
        <v>24</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5</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8</v>
      </c>
      <c r="O23" s="133">
        <f>SUM(C23:N23)</f>
        <v>13</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13</v>
      </c>
      <c r="D26" s="161">
        <f>+C26*0.98</f>
        <v>12.74</v>
      </c>
      <c r="E26" s="147"/>
      <c r="F26" s="147"/>
      <c r="G26" s="685"/>
      <c r="H26" s="685"/>
      <c r="I26" s="699"/>
      <c r="J26" s="699"/>
      <c r="K26" s="699"/>
      <c r="L26" s="685"/>
      <c r="M26" s="685"/>
      <c r="N26" s="685"/>
      <c r="O26" s="701"/>
      <c r="P26" s="148"/>
      <c r="Q26" s="149"/>
    </row>
    <row r="27" spans="1:17" s="127" customFormat="1" ht="15">
      <c r="A27" s="145" t="s">
        <v>95</v>
      </c>
      <c r="B27" s="161">
        <f>+D22</f>
        <v>0</v>
      </c>
      <c r="C27" s="161">
        <f>+C26</f>
        <v>13</v>
      </c>
      <c r="D27" s="161">
        <f>+D26</f>
        <v>12.74</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13</v>
      </c>
      <c r="D28" s="161">
        <f t="shared" si="0"/>
        <v>12.74</v>
      </c>
      <c r="E28" s="147"/>
      <c r="F28" s="147"/>
      <c r="G28" s="685"/>
      <c r="H28" s="685"/>
      <c r="I28" s="685"/>
      <c r="J28" s="685"/>
      <c r="K28" s="147"/>
      <c r="L28" s="685"/>
      <c r="M28" s="685"/>
      <c r="N28" s="685"/>
      <c r="O28" s="701"/>
      <c r="P28" s="148"/>
      <c r="Q28" s="149"/>
    </row>
    <row r="29" spans="1:17" s="127" customFormat="1" ht="15">
      <c r="A29" s="145" t="s">
        <v>97</v>
      </c>
      <c r="B29" s="161">
        <f>+F22</f>
        <v>0</v>
      </c>
      <c r="C29" s="161">
        <f t="shared" si="0"/>
        <v>13</v>
      </c>
      <c r="D29" s="161">
        <f t="shared" si="0"/>
        <v>12.74</v>
      </c>
      <c r="E29" s="147"/>
      <c r="F29" s="147"/>
      <c r="G29" s="685"/>
      <c r="H29" s="685"/>
      <c r="I29" s="685"/>
      <c r="J29" s="685"/>
      <c r="K29" s="147"/>
      <c r="L29" s="685"/>
      <c r="M29" s="685"/>
      <c r="N29" s="685"/>
      <c r="O29" s="701"/>
      <c r="P29" s="148"/>
      <c r="Q29" s="149"/>
    </row>
    <row r="30" spans="1:17" s="127" customFormat="1" ht="15">
      <c r="A30" s="145" t="s">
        <v>98</v>
      </c>
      <c r="B30" s="161">
        <f>+G22</f>
        <v>0</v>
      </c>
      <c r="C30" s="161">
        <f t="shared" si="0"/>
        <v>13</v>
      </c>
      <c r="D30" s="161">
        <f t="shared" si="0"/>
        <v>12.74</v>
      </c>
      <c r="E30" s="147"/>
      <c r="F30" s="147"/>
      <c r="G30" s="685"/>
      <c r="H30" s="685"/>
      <c r="I30" s="685"/>
      <c r="J30" s="685"/>
      <c r="K30" s="147"/>
      <c r="L30" s="685"/>
      <c r="M30" s="685"/>
      <c r="N30" s="685"/>
      <c r="O30" s="701"/>
      <c r="P30" s="148"/>
      <c r="Q30" s="149"/>
    </row>
    <row r="31" spans="1:17" s="127" customFormat="1" ht="15">
      <c r="A31" s="145" t="s">
        <v>99</v>
      </c>
      <c r="B31" s="161">
        <f>+H22</f>
        <v>7</v>
      </c>
      <c r="C31" s="161">
        <f t="shared" si="0"/>
        <v>13</v>
      </c>
      <c r="D31" s="161">
        <f t="shared" si="0"/>
        <v>12.74</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13</v>
      </c>
      <c r="D32" s="161">
        <f t="shared" si="0"/>
        <v>12.74</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13</v>
      </c>
      <c r="D33" s="161">
        <f t="shared" si="0"/>
        <v>12.74</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13</v>
      </c>
      <c r="D34" s="161">
        <f t="shared" si="0"/>
        <v>12.74</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13</v>
      </c>
      <c r="D35" s="161">
        <f t="shared" si="0"/>
        <v>12.74</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13</v>
      </c>
      <c r="D36" s="161">
        <f t="shared" si="0"/>
        <v>12.74</v>
      </c>
      <c r="E36" s="147"/>
      <c r="F36" s="147"/>
      <c r="G36" s="685"/>
      <c r="H36" s="685"/>
      <c r="I36" s="685"/>
      <c r="J36" s="685"/>
      <c r="K36" s="147"/>
      <c r="L36" s="685"/>
      <c r="M36" s="685"/>
      <c r="N36" s="685"/>
      <c r="O36" s="701"/>
      <c r="P36" s="148"/>
      <c r="Q36" s="149"/>
    </row>
    <row r="37" spans="1:17" s="127" customFormat="1" ht="15.75" thickBot="1">
      <c r="A37" s="150" t="s">
        <v>105</v>
      </c>
      <c r="B37" s="162">
        <f>+N22</f>
        <v>17</v>
      </c>
      <c r="C37" s="161">
        <f t="shared" si="0"/>
        <v>13</v>
      </c>
      <c r="D37" s="161">
        <f t="shared" si="0"/>
        <v>12.74</v>
      </c>
      <c r="E37" s="147"/>
      <c r="F37" s="147"/>
      <c r="G37" s="147"/>
      <c r="H37" s="147"/>
      <c r="I37" s="147"/>
      <c r="J37" s="147"/>
      <c r="K37" s="147"/>
      <c r="L37" s="685"/>
      <c r="M37" s="685"/>
      <c r="N37" s="685"/>
      <c r="O37" s="701"/>
      <c r="P37" s="148"/>
      <c r="Q37" s="149"/>
    </row>
    <row r="38" spans="1:17" s="127" customFormat="1" ht="15.75" thickBot="1">
      <c r="A38" s="152" t="s">
        <v>106</v>
      </c>
      <c r="B38" s="164">
        <f>+O22</f>
        <v>24</v>
      </c>
      <c r="C38" s="164">
        <f>+C37</f>
        <v>13</v>
      </c>
      <c r="D38" s="164">
        <f>+D37</f>
        <v>12.74</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I semestre de la vigencia 2025, la Dirección de Inspección y Vigilancia para Prestadores de Servicios de Salud, si bien realizó la programación de 5 orientaciones técnicas, se ejecutaron 7, lo que corresponde a un cumplimiento del 140% vs la meta establecida.
En ese orden de ideas, las dos (2) orientaciones técnicas que se realizaron adicional a las programadas para este periodo, se enfocaron en:
La situación de alerta y emergencia en todo el territorio nacional por fiebre amarilla específicamente en el Departamento del Tolima, por lo que en el marco de la Circular Externa 0018 de 2024, mediante la cual el Ministerio de Salud y Protección Social emite directrices para la preparación, organización y respuesta ante este evento de interés en salud pública. Este despacho consideró relevante generar un espacio para la realización de orientación técnica con los Prestadores de Servicios de Salud del Tolima, con el fin de afianzar el deber del prestador como Unidad Primaria Generadora de Datos - UPGD, así como de reiterar la responsabilidad que les asiste en el cumplimiento de las características del Sistema General de Seguridad Social en Salud, como accesibilidad, oportunidad, seguridad, pertinencia y continuidad.
Teniendo en cuenta que el Chocó se encuentra entre los Departamentos con mayor número de casos de desnutrición aguda en menores de 5 años (evento 113), morbilidad materna extrema (evento 549) y mortalidad materna (550), se realizó jornada de seguimiento a los planes de mejora de los prestadores priorizados ante los eventos de Interés en Salud Pública desnutrición y morbimortalidad materna y perinatal, con el objetivo de verificar el cumplimiento efectivo del plan de mejora generado por parte de los ocho (8) prestadores de servicios de salud priorizados, frente a la atención de los menores de edad de 0 a 59 meses, las gestante y neonatos en los territorios de influencia de cada uno de ellos con el propósito disminuir la desnutrición y la morbimortalidad materno perinatal.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242.25" customHeight="1" thickBot="1">
      <c r="A63" s="673" t="str">
        <f>VLOOKUP(L12,Reporte!$N$5:$BZ$133,65,FALSE)</f>
        <v xml:space="preserve">Para el segundo semestre de la vigencia 2025, la Dirección de Inspección y Vigilancia para Prestadores de Servicios de Salud, si bien programó la realización de ocho (8) orientaciones técnicas, ejecutó un total de diecisiete (17), lo cual representa un nivel de cumplimiento del 213% frente a la meta establecida del 100 % para el período evaluado.   
En este sentido, las nueve (9) orientaciones técnicas adicionales a las inicialmente programadas se priorizaron en atención a la necesidad de brindar acompañamiento y seguimiento a los sujetos vigilados, derivada de la ocurrencia de eventos de interés en salud pública y de alertas asociadas a la prestación de los servicios de salud. Lo anterior evidencia la capacidad de respuesta institucional de la Superintendencia Nacional de Salud frente a situaciones críticas y prioritarias del sistema, particularmente en los siguientes aspectos:
• Mortalidad materna: En el marco del Plan de Aceleración para la Reducción de la Mortalidad Materna, se abordaron las barreras que limitan el acceso oportuno y con calidad a los servicios de salud para las gestantes, identificadas en los diferentes comités, tales como barreras administrativas, geográficas, sociales y culturales.
• Manejo integral de la desnutrición aguda, moderada y severa en niños menores de cinco (5) años: En desarrollo del Plan de Desaceleración de la Mortalidad por Desnutrición Aguda, se adelantaron acciones orientadas a incidir en la reducción de la mortalidad infantil mediante la implementación de estrategias sectoriales e intersectoriales en las entidades territoriales priorizadas, conforme a los criterios de focalización definidos.
• Atención Primaria en Salud (APS): Se reiteraron los lineamientos establecidos en la Ley 1438 de 2011 y en el Plan Decenal de Salud Pública, resaltando la coordinación intersectorial y la concurrencia de las instancias del Sistema de Protección Social y demás actores, para la intervención articulada sobre los determinantes sociales en salud, bajo las directrices del Consejo Nacional de Política Social (CONPES) y del Ministerio de Salud y Protección Social.
• Sistema de Administración del Riesgo de Lavado de Activos, Financiación del Terrorismo y Financiación de la Proliferación de Armas de Destrucción Masiva (SARLAFT): Se brindaron orientaciones conforme a lo dispuesto en la Circular Externa No. 009 de 2016 y su modificación mediante la Circular Externa No. 20211700000005-5 de 2021, relacionadas con la implementación del sistema y el reporte de información.
• Equipos básicos de salud: Se abordó la conformación y fortalecimiento de estas estructuras funcionales y organizativas del talento humano en salud, orientadas a facilitar el acceso, la continuidad y la integralidad de la atención en salud en los distintos entornos de desarrollo, en el marco de la estrategia de Atención Primaria en Salud.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24 orientaciones técnicas, con sobrecumplimiento de 185% de la meta de 13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2F812-D4AD-4E31-B8CE-793A19A25AB2}">
  <sheetPr codeName="Hoja7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SEGUIMIENTO Y EVALUACIÓN AL VIGILADO</v>
      </c>
      <c r="D5" s="787"/>
      <c r="E5" s="787"/>
      <c r="F5" s="787"/>
      <c r="G5" s="787"/>
      <c r="H5" s="787"/>
      <c r="I5" s="787"/>
      <c r="J5" s="787"/>
      <c r="K5" s="787"/>
      <c r="L5" s="787"/>
      <c r="M5" s="787"/>
      <c r="N5" s="787"/>
      <c r="O5" s="788"/>
      <c r="P5" s="130"/>
      <c r="Q5" s="131"/>
    </row>
    <row r="6" spans="1:17" ht="31.5" customHeight="1">
      <c r="A6" s="789" t="s">
        <v>8</v>
      </c>
      <c r="B6" s="790"/>
      <c r="C6" s="711" t="str">
        <f>VLOOKUP(L12,Reporte!$N$5:$BN$133,2,FALSE)</f>
        <v>Total de acciones de Inspección y Vigilancia para el monitoreo de los riesgos</v>
      </c>
      <c r="D6" s="711"/>
      <c r="E6" s="711"/>
      <c r="F6" s="711"/>
      <c r="G6" s="711"/>
      <c r="H6" s="711"/>
      <c r="I6" s="711"/>
      <c r="J6" s="711"/>
      <c r="K6" s="711"/>
      <c r="L6" s="711"/>
      <c r="M6" s="711"/>
      <c r="N6" s="711"/>
      <c r="O6" s="791"/>
      <c r="P6" s="128"/>
    </row>
    <row r="7" spans="1:17" ht="58.5" customHeight="1">
      <c r="A7" s="789" t="s">
        <v>10</v>
      </c>
      <c r="B7" s="790"/>
      <c r="C7" s="711" t="str">
        <f>VLOOKUP(L12,Reporte!A5:M133,10,FALSE)</f>
        <v>Monitorear, evaluar, orientar la gestión de los vigilados respecto el funcionamiento al Sistema General de Seguridad Social en Salud de conformidad con la normatividad vigente, mediante el análisis de información, priorización de  acciones, asistencias y acciones de IV, asociadas a las competencias de la Superintendencia Nacional de Salud, con el fin de fortalecer el derecho a la salud oportuno y de calidad en el territorio nacional.</v>
      </c>
      <c r="D7" s="711"/>
      <c r="E7" s="711"/>
      <c r="F7" s="711"/>
      <c r="G7" s="711"/>
      <c r="H7" s="711"/>
      <c r="I7" s="711"/>
      <c r="J7" s="711"/>
      <c r="K7" s="711"/>
      <c r="L7" s="711"/>
      <c r="M7" s="711"/>
      <c r="N7" s="711"/>
      <c r="O7" s="791"/>
      <c r="P7" s="128"/>
    </row>
    <row r="8" spans="1:17" ht="33" customHeight="1">
      <c r="A8" s="792" t="s">
        <v>1594</v>
      </c>
      <c r="B8" s="774"/>
      <c r="C8" s="711" t="str">
        <f>VLOOKUP(L12,Reporte!$A$5:$N$133,13,FALSE)</f>
        <v xml:space="preserve">Monitorear los riesgos y su gestión a los prestadores de servicios de salud priorizados conforme a las herramientas definidas en la Dirección de Inspección y Vigilancia para Prestadores.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Numero total de acciones de Inspección y Vigilancia para el monitoreo de los riesgos</v>
      </c>
      <c r="D10" s="711"/>
      <c r="E10" s="711"/>
      <c r="F10" s="799" t="str">
        <f>VLOOKUP(L12,Reporte!$N$5:$BN$133,6,FALSE)</f>
        <v>Este indicador mide el número de acciones de inspección y vigilancia en el monitoreo de riesgos.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612</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4</v>
      </c>
      <c r="D15" s="826"/>
      <c r="E15" s="827"/>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3</v>
      </c>
      <c r="O22" s="133">
        <f>SUM(C22:N22)</f>
        <v>4</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3</v>
      </c>
      <c r="O23" s="133">
        <f>SUM(C23:N23)</f>
        <v>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4</v>
      </c>
      <c r="D26" s="161">
        <f>+C26*0.98</f>
        <v>3.92</v>
      </c>
      <c r="E26" s="147"/>
      <c r="F26" s="147"/>
      <c r="G26" s="685"/>
      <c r="H26" s="685"/>
      <c r="I26" s="699"/>
      <c r="J26" s="699"/>
      <c r="K26" s="699"/>
      <c r="L26" s="685"/>
      <c r="M26" s="685"/>
      <c r="N26" s="685"/>
      <c r="O26" s="701"/>
      <c r="P26" s="148"/>
      <c r="Q26" s="149"/>
    </row>
    <row r="27" spans="1:17" s="127" customFormat="1" ht="15">
      <c r="A27" s="145" t="s">
        <v>95</v>
      </c>
      <c r="B27" s="161">
        <f>+D22</f>
        <v>0</v>
      </c>
      <c r="C27" s="161">
        <f>+C26</f>
        <v>4</v>
      </c>
      <c r="D27" s="161">
        <f>+D26</f>
        <v>3.92</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4</v>
      </c>
      <c r="D28" s="161">
        <f t="shared" si="0"/>
        <v>3.92</v>
      </c>
      <c r="E28" s="147"/>
      <c r="F28" s="147"/>
      <c r="G28" s="685"/>
      <c r="H28" s="685"/>
      <c r="I28" s="685"/>
      <c r="J28" s="685"/>
      <c r="K28" s="147"/>
      <c r="L28" s="685"/>
      <c r="M28" s="685"/>
      <c r="N28" s="685"/>
      <c r="O28" s="701"/>
      <c r="P28" s="148"/>
      <c r="Q28" s="149"/>
    </row>
    <row r="29" spans="1:17" s="127" customFormat="1" ht="15">
      <c r="A29" s="145" t="s">
        <v>97</v>
      </c>
      <c r="B29" s="161">
        <f>+F22</f>
        <v>0</v>
      </c>
      <c r="C29" s="161">
        <f t="shared" si="0"/>
        <v>4</v>
      </c>
      <c r="D29" s="161">
        <f t="shared" si="0"/>
        <v>3.92</v>
      </c>
      <c r="E29" s="147"/>
      <c r="F29" s="147"/>
      <c r="G29" s="685"/>
      <c r="H29" s="685"/>
      <c r="I29" s="685"/>
      <c r="J29" s="685"/>
      <c r="K29" s="147"/>
      <c r="L29" s="685"/>
      <c r="M29" s="685"/>
      <c r="N29" s="685"/>
      <c r="O29" s="701"/>
      <c r="P29" s="148"/>
      <c r="Q29" s="149"/>
    </row>
    <row r="30" spans="1:17" s="127" customFormat="1" ht="15">
      <c r="A30" s="145" t="s">
        <v>98</v>
      </c>
      <c r="B30" s="161">
        <f>+G22</f>
        <v>0</v>
      </c>
      <c r="C30" s="161">
        <f t="shared" si="0"/>
        <v>4</v>
      </c>
      <c r="D30" s="161">
        <f t="shared" si="0"/>
        <v>3.92</v>
      </c>
      <c r="E30" s="147"/>
      <c r="F30" s="147"/>
      <c r="G30" s="685"/>
      <c r="H30" s="685"/>
      <c r="I30" s="685"/>
      <c r="J30" s="685"/>
      <c r="K30" s="147"/>
      <c r="L30" s="685"/>
      <c r="M30" s="685"/>
      <c r="N30" s="685"/>
      <c r="O30" s="701"/>
      <c r="P30" s="148"/>
      <c r="Q30" s="149"/>
    </row>
    <row r="31" spans="1:17" s="127" customFormat="1" ht="15">
      <c r="A31" s="145" t="s">
        <v>99</v>
      </c>
      <c r="B31" s="161">
        <f>+H22</f>
        <v>1</v>
      </c>
      <c r="C31" s="161">
        <f t="shared" si="0"/>
        <v>4</v>
      </c>
      <c r="D31" s="161">
        <f t="shared" si="0"/>
        <v>3.92</v>
      </c>
      <c r="E31" s="147"/>
      <c r="F31" s="147"/>
      <c r="G31" s="685"/>
      <c r="H31" s="685"/>
      <c r="I31" s="685"/>
      <c r="J31" s="685"/>
      <c r="K31" s="147"/>
      <c r="L31" s="685"/>
      <c r="M31" s="685"/>
      <c r="N31" s="685"/>
      <c r="O31" s="701"/>
      <c r="P31" s="148"/>
      <c r="Q31" s="149"/>
    </row>
    <row r="32" spans="1:17" s="127" customFormat="1" ht="15">
      <c r="A32" s="145" t="s">
        <v>100</v>
      </c>
      <c r="B32" s="161">
        <f>+I22</f>
        <v>0</v>
      </c>
      <c r="C32" s="161">
        <f t="shared" si="0"/>
        <v>4</v>
      </c>
      <c r="D32" s="161">
        <f t="shared" si="0"/>
        <v>3.92</v>
      </c>
      <c r="E32" s="147"/>
      <c r="F32" s="147"/>
      <c r="G32" s="685"/>
      <c r="H32" s="685"/>
      <c r="I32" s="685"/>
      <c r="J32" s="685"/>
      <c r="K32" s="147"/>
      <c r="L32" s="685"/>
      <c r="M32" s="685"/>
      <c r="N32" s="685"/>
      <c r="O32" s="701"/>
      <c r="P32" s="148"/>
      <c r="Q32" s="149"/>
    </row>
    <row r="33" spans="1:17" s="127" customFormat="1" ht="15">
      <c r="A33" s="145" t="s">
        <v>101</v>
      </c>
      <c r="B33" s="161">
        <f>+J22</f>
        <v>0</v>
      </c>
      <c r="C33" s="161">
        <f t="shared" si="0"/>
        <v>4</v>
      </c>
      <c r="D33" s="161">
        <f t="shared" si="0"/>
        <v>3.92</v>
      </c>
      <c r="E33" s="147"/>
      <c r="F33" s="147"/>
      <c r="G33" s="685"/>
      <c r="H33" s="685"/>
      <c r="I33" s="685"/>
      <c r="J33" s="685"/>
      <c r="K33" s="147"/>
      <c r="L33" s="685"/>
      <c r="M33" s="685"/>
      <c r="N33" s="685"/>
      <c r="O33" s="701"/>
      <c r="P33" s="148"/>
      <c r="Q33" s="149"/>
    </row>
    <row r="34" spans="1:17" s="127" customFormat="1" ht="15">
      <c r="A34" s="145" t="s">
        <v>102</v>
      </c>
      <c r="B34" s="161">
        <f>+K22</f>
        <v>0</v>
      </c>
      <c r="C34" s="161">
        <f t="shared" si="0"/>
        <v>4</v>
      </c>
      <c r="D34" s="161">
        <f t="shared" si="0"/>
        <v>3.92</v>
      </c>
      <c r="E34" s="147"/>
      <c r="F34" s="147"/>
      <c r="G34" s="685"/>
      <c r="H34" s="685"/>
      <c r="I34" s="685"/>
      <c r="J34" s="685"/>
      <c r="K34" s="147"/>
      <c r="L34" s="685"/>
      <c r="M34" s="685"/>
      <c r="N34" s="685"/>
      <c r="O34" s="701"/>
      <c r="P34" s="148"/>
      <c r="Q34" s="149"/>
    </row>
    <row r="35" spans="1:17" s="127" customFormat="1" ht="15">
      <c r="A35" s="145" t="s">
        <v>103</v>
      </c>
      <c r="B35" s="161">
        <f>+L22</f>
        <v>0</v>
      </c>
      <c r="C35" s="161">
        <f t="shared" si="0"/>
        <v>4</v>
      </c>
      <c r="D35" s="161">
        <f t="shared" si="0"/>
        <v>3.92</v>
      </c>
      <c r="E35" s="147"/>
      <c r="F35" s="147"/>
      <c r="G35" s="685"/>
      <c r="H35" s="685"/>
      <c r="I35" s="685"/>
      <c r="J35" s="685"/>
      <c r="K35" s="147"/>
      <c r="L35" s="685"/>
      <c r="M35" s="685"/>
      <c r="N35" s="685"/>
      <c r="O35" s="701"/>
      <c r="P35" s="148"/>
      <c r="Q35" s="149"/>
    </row>
    <row r="36" spans="1:17" s="127" customFormat="1" ht="15">
      <c r="A36" s="145" t="s">
        <v>104</v>
      </c>
      <c r="B36" s="161">
        <f>+M22</f>
        <v>0</v>
      </c>
      <c r="C36" s="161">
        <f t="shared" si="0"/>
        <v>4</v>
      </c>
      <c r="D36" s="161">
        <f t="shared" si="0"/>
        <v>3.92</v>
      </c>
      <c r="E36" s="147"/>
      <c r="F36" s="147"/>
      <c r="G36" s="685"/>
      <c r="H36" s="685"/>
      <c r="I36" s="685"/>
      <c r="J36" s="685"/>
      <c r="K36" s="147"/>
      <c r="L36" s="685"/>
      <c r="M36" s="685"/>
      <c r="N36" s="685"/>
      <c r="O36" s="701"/>
      <c r="P36" s="148"/>
      <c r="Q36" s="149"/>
    </row>
    <row r="37" spans="1:17" s="127" customFormat="1" ht="15.75" thickBot="1">
      <c r="A37" s="150" t="s">
        <v>105</v>
      </c>
      <c r="B37" s="162">
        <f>+N22</f>
        <v>3</v>
      </c>
      <c r="C37" s="161">
        <f t="shared" si="0"/>
        <v>4</v>
      </c>
      <c r="D37" s="161">
        <f t="shared" si="0"/>
        <v>3.92</v>
      </c>
      <c r="E37" s="147"/>
      <c r="F37" s="147"/>
      <c r="G37" s="147"/>
      <c r="H37" s="147"/>
      <c r="I37" s="147"/>
      <c r="J37" s="147"/>
      <c r="K37" s="147"/>
      <c r="L37" s="685"/>
      <c r="M37" s="685"/>
      <c r="N37" s="685"/>
      <c r="O37" s="701"/>
      <c r="P37" s="148"/>
      <c r="Q37" s="149"/>
    </row>
    <row r="38" spans="1:17" s="127" customFormat="1" ht="15.75" thickBot="1">
      <c r="A38" s="152" t="s">
        <v>106</v>
      </c>
      <c r="B38" s="164">
        <f>+O22</f>
        <v>4</v>
      </c>
      <c r="C38" s="164">
        <f>+C37</f>
        <v>4</v>
      </c>
      <c r="D38" s="164">
        <f>+D37</f>
        <v>3.92</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63.5" customHeight="1" thickBot="1">
      <c r="A51" s="673" t="str">
        <f>VLOOKUP(L12,Reporte!$N$5:$BZ$133,59,FALSE)</f>
        <v xml:space="preserve">Para el I semestre de la vigencia 2025, se realizó una (1) acción de IV relacionada con monitoreo de riesgos- (Requerimiento de información al vigilado CENTRO DERMATOLOGICO FEDERICO LLERAS ACOSTA E.S.E, teniendo en cuenta los siguientes antecedentes:
*El 7 de febrero de 2025, se recibió traslado por parte de la Contraloría General de la República a través del radicado nro. 20259300400720912, mediante el cual informaron dos (2) hallazgos identificados en el marco de la auditoría de Cumplimiento al CENTRO DERMATOLOGICO FEDERICO LLERAS ACOSTA E.S.E de las vigencias 2022 y 2023, los cuales quedaron registrados en el informe CGR-CDSS 033 de diciembre 6 de 2024 y se citan a continuación:
"Hallazgo 10. Consulta previa de Sistema de Administración de Riesgos de Lavado de Activos y Financiación del Terrorismo (SARLAFT) y de listas restrictivas y de control internacionales y nacionales. (A-D-OI)."
"Hallazgo 16. Mayores valores pagados a Proveedores por Medicamentos, Insumos o Productos vigencias 2022 y 2023. (A-D-OI-IP)."
A tal efecto, en el desarrollo de dichas acciones, se verificaron las evidencias allegadas por la Contraloría en lo relacionado al Subsistema de Administración del Riesgo de Lavado de Activos, Financiación del Terrorismo y Financiación de la Proliferación de Armas de Destrucción Masiva.
*El 25/02/2025 se realizó el primer requerimiento a través del radicado nro. 20254100000392221, el vigilado da respuesta 28/02/2025 mediante el radicado nro.20259300404316142.
*El 20/04/2025 se realizó el primer requerimiento a través del radicado nro. 20254100000856901, el 19/05/2025 se realizó reiteración a través del radicado nro. 20254100001084001, el vigilado da respuesta 21/05/2025 mediante el radicado nro.20259300411249152.
*El 6/06/2025 se realizó el primer requerimiento a través del radicado nro.20254100001232821, el vigilado da respuesta 11/06/2025 mediante el radicado nro. 20259300413165572.
En virtud de lo anterior, se elaboró informe con los incumplimientos evidenciados.
Por lo anterior, se da cumplimiento a la meta establecida para el I semestre de la vigencia 2025 de realizar una acción de monitoreo de riesgos a un vigilado priorizado para tal fin.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270.75" customHeight="1" thickBot="1">
      <c r="A63" s="673" t="str">
        <f>VLOOKUP(L12,Reporte!$N$5:$BZ$133,65,FALSE)</f>
        <v>Para el segundo semestre de la vigencia 2025, la Dirección de IV para Prestadores de Servicios de Salud adelantó tres (3) acciones de inspección y vigilancia orientadas al monitoreo de riesgos de los Prestadores de Servicios de Salud (PSS), dando cumplimiento al 100 % de la meta establecida para el periodo, la cual contemplaba la realización de tres (3) acciones.   
Estas acciones se enmarcan en lo siguiente:
Supervisión basada en cumplimiento
• Avidanti S.A.S.: Se realizó una auditoría integral enfocada en el Sistema Integrado de Gestión de Riesgos, motivada por denuncias difundidas en medios de comunicación. Como resultado del ejercicio de inspección y vigilancia, se surtieron las etapas de planeación y elaboración del informe correspondiente (radicado No. 20254100002470031), así como el traslado de los hallazgos a las autoridades y dependencias competentes, entre ellas la Fiscalía General de la Nación (radicado No. 20254100003134241), la Dirección Territorial de Salud de Caldas (radicado No. 20254100002732801), la Delegada para Investigaciones Administrativas (radicado No. 20254100000118503) y la Delegada para Entidades de Aseguramiento (radicado No. 20254100200118433).
•Clínica La Sabana S.A.: Se efectuó un requerimiento de información relacionado con el cumplimiento de los requisitos del Oficial de Cumplimiento del SARLAFT/FPADM, a partir de una denuncia ciudadana. El requerimiento fue formulado mediante el radicado No. 20254100003152881 y, una vez analizados los soportes allegados por la entidad, se remitió el oficio con las observaciones correspondientes a través del radicado No. 20264100000042291.
Supervisión basada en riesgos / Supervisión basada en cumplimiento
•Orthoplan S.A.S.: Se adelantó un ejercicio de seguimiento y evaluación al prestador, enfocado en los subsistemas de riesgos de Lavado de Activos y Financiación del Terrorismo (LA/FT) y de Corrupción, Opacidad y Fraude (COF), así como en el cumplimiento de la normatividad legal vigente, motivado por una denuncia ciudadana. En el desarrollo de esta actuación se realizaron, entre otras, las siguientes actividades: i) requerimiento de información a la IPS (radicado No. 20254100000894641); ii) análisis de la información remitida para el diagnóstico de la entidad; iii) emisión del concepto técnico correspondiente (radicado No. 20254100003362741); y iv) traslado de los hallazgos a las instancias competentes, incluyendo el Tribunal de Ética Odontológica (radicado No. 20264100000019751), la Secretaría de Salud de Cali (radicado No. 20264100000026241) y la Delegada para Investigaciones Administrativas (radicado No. 20264100000001403).
Como resultado de las acciones adelantadas, se identificaron incumplimientos a la normatividad aplicable y alertas relevantes en materia de gestión de riesgos, las cuales constituyen insumos fundamentales para la adopción de medidas de seguimiento y, de ser procedente, la apertura de actuaciones administrativas, en el marco de las funciones de inspección, vigilancia y control de la Superintendencia Nacional de Salud.</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4 acciones de Inspección y Vigilancia para el monitoreo de los riesgos, con cumplimiento la meta de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ED3AC-993E-4209-B9E5-09AC9E8EF487}">
  <sheetPr codeName="Hoja7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30" customHeight="1">
      <c r="A6" s="789" t="s">
        <v>8</v>
      </c>
      <c r="B6" s="790"/>
      <c r="C6" s="711" t="str">
        <f>VLOOKUP(L12,Reporte!$N$5:$BN$133,2,FALSE)</f>
        <v>Porcentaje de cumplimiento de seguimientos en campo a ESE bajo medida</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2.25" customHeight="1">
      <c r="A8" s="792" t="s">
        <v>1594</v>
      </c>
      <c r="B8" s="774"/>
      <c r="C8" s="711" t="str">
        <f>VLOOKUP(L12,Reporte!$A$5:$N$133,13,FALSE)</f>
        <v xml:space="preserve">Realizar seguimiento en campo a las ESE bajo medida con el fin de hacer seguimiento a la gestión de agentes interventores, contralores, gerentes y revisores fiscales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2" customHeight="1">
      <c r="A10" s="794"/>
      <c r="B10" s="795"/>
      <c r="C10" s="711" t="str">
        <f>VLOOKUP(L12,Reporte!$N$5:$BN$133,4,FALSE)</f>
        <v xml:space="preserve">Numero de seguimientos en campo realizados  a los Prestadores de Servicios de  Salud PSS bajo acción o medida especial </v>
      </c>
      <c r="D10" s="711"/>
      <c r="E10" s="711"/>
      <c r="F10" s="799" t="str">
        <f>VLOOKUP(L12,Reporte!$N$5:$BN$133,6,FALSE)</f>
        <v>Este indicador mide el número de seguimientos encampo a ese bajo alguna medida.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Total de seguimientos programados a ESE bajo medida</v>
      </c>
      <c r="D12" s="711"/>
      <c r="E12" s="711"/>
      <c r="F12" s="799"/>
      <c r="G12" s="799"/>
      <c r="H12" s="799"/>
      <c r="I12" s="799"/>
      <c r="J12" s="712" t="str">
        <f>VLOOKUP(L12,Reporte!$N$5:$BN$133,7,FALSE)</f>
        <v>Eficiencia</v>
      </c>
      <c r="K12" s="712"/>
      <c r="L12" s="713" t="s">
        <v>209</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0.9</v>
      </c>
      <c r="D15" s="735"/>
      <c r="E15" s="729"/>
      <c r="F15" s="740" t="str">
        <f>VLOOKUP(L12,Reporte!$N$5:$BN$133,9,FALSE)</f>
        <v>Trimestral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2</v>
      </c>
      <c r="F22" s="139">
        <f>VLOOKUP(L12,Reporte!$N$5:$BN$133,33,FALSE)</f>
        <v>0</v>
      </c>
      <c r="G22" s="132">
        <f>VLOOKUP(L12,Reporte!$N$5:$BN$133,34,FALSE)</f>
        <v>0</v>
      </c>
      <c r="H22" s="139">
        <f>VLOOKUP(L12,Reporte!$N$5:$BN$133,35,FALSE)</f>
        <v>11</v>
      </c>
      <c r="I22" s="132">
        <f>VLOOKUP(L12,Reporte!$N$5:$BN$133,36,FALSE)</f>
        <v>0</v>
      </c>
      <c r="J22" s="139">
        <f>VLOOKUP(L12,Reporte!$N$5:$BN$133,37,FALSE)</f>
        <v>0</v>
      </c>
      <c r="K22" s="139">
        <f>VLOOKUP(L12,Reporte!$N$5:$BN$133,38,FALSE)</f>
        <v>7</v>
      </c>
      <c r="L22" s="139">
        <f>VLOOKUP(L12,Reporte!$N$5:$BN$133,39,FALSE)</f>
        <v>0</v>
      </c>
      <c r="M22" s="139">
        <f>VLOOKUP(L12,Reporte!$N$5:$BN$133,40,FALSE)</f>
        <v>0</v>
      </c>
      <c r="N22" s="133">
        <f>VLOOKUP(L12,Reporte!$N$5:$BN$133,41,FALSE)</f>
        <v>7</v>
      </c>
      <c r="O22" s="133">
        <f>SUM(C22:N22)</f>
        <v>27</v>
      </c>
      <c r="P22" s="128"/>
    </row>
    <row r="23" spans="1:17" ht="16.5" thickBot="1">
      <c r="A23" s="690" t="s">
        <v>76</v>
      </c>
      <c r="B23" s="691"/>
      <c r="C23" s="140">
        <f>VLOOKUP(L12,Reporte!$N$5:$BN$133,42,FALSE)</f>
        <v>0</v>
      </c>
      <c r="D23" s="140">
        <f>VLOOKUP(L12,Reporte!$N$5:$BN$133,43,FALSE)</f>
        <v>0</v>
      </c>
      <c r="E23" s="140">
        <f>VLOOKUP(L12,Reporte!$N$5:$BN$133,44,FALSE)</f>
        <v>2</v>
      </c>
      <c r="F23" s="140">
        <f>VLOOKUP(L12,Reporte!$N$5:$BN$133,45,FALSE)</f>
        <v>0</v>
      </c>
      <c r="G23" s="140">
        <f>VLOOKUP(L12,Reporte!$N$5:$BN$133,46,FALSE)</f>
        <v>0</v>
      </c>
      <c r="H23" s="140">
        <f>VLOOKUP(L12,Reporte!$N$5:$BN$133,47,FALSE)</f>
        <v>11</v>
      </c>
      <c r="I23" s="140">
        <f>VLOOKUP(L12,Reporte!$N$5:$BN$133,48,FALSE)</f>
        <v>0</v>
      </c>
      <c r="J23" s="140">
        <f>VLOOKUP(L12,Reporte!$N$5:$BN$133,49,FALSE)</f>
        <v>0</v>
      </c>
      <c r="K23" s="140">
        <f>VLOOKUP(L12,Reporte!$N$5:$BN$133,50,FALSE)</f>
        <v>7</v>
      </c>
      <c r="L23" s="140">
        <f>VLOOKUP(L12,Reporte!$N$5:$BN$133,51,FALSE)</f>
        <v>0</v>
      </c>
      <c r="M23" s="140">
        <f>VLOOKUP(L12,Reporte!$N$5:$BN$133,52,FALSE)</f>
        <v>0</v>
      </c>
      <c r="N23" s="141">
        <f>VLOOKUP(L12,Reporte!$N$5:$BN$133,53,FALSE)</f>
        <v>7</v>
      </c>
      <c r="O23" s="133">
        <f>SUM(C23:N23)</f>
        <v>27</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0.9</v>
      </c>
      <c r="D26" s="146">
        <f>+C26*0.98</f>
        <v>0.88200000000000001</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0.9</v>
      </c>
      <c r="D27" s="146">
        <f>+D26</f>
        <v>0.88200000000000001</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0.9</v>
      </c>
      <c r="D28" s="146">
        <f t="shared" si="0"/>
        <v>0.88200000000000001</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0.9</v>
      </c>
      <c r="D29" s="146">
        <f t="shared" si="0"/>
        <v>0.88200000000000001</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0.9</v>
      </c>
      <c r="D30" s="146">
        <f t="shared" si="0"/>
        <v>0.88200000000000001</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0.9</v>
      </c>
      <c r="D31" s="146">
        <f t="shared" si="0"/>
        <v>0.88200000000000001</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0.9</v>
      </c>
      <c r="D32" s="146">
        <f t="shared" si="0"/>
        <v>0.88200000000000001</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0.9</v>
      </c>
      <c r="D33" s="146">
        <f t="shared" si="0"/>
        <v>0.88200000000000001</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0.9</v>
      </c>
      <c r="D34" s="146">
        <f t="shared" si="0"/>
        <v>0.88200000000000001</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0.9</v>
      </c>
      <c r="D35" s="146">
        <f t="shared" si="0"/>
        <v>0.88200000000000001</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0.9</v>
      </c>
      <c r="D36" s="146">
        <f t="shared" si="0"/>
        <v>0.88200000000000001</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0.9</v>
      </c>
      <c r="D37" s="146">
        <f t="shared" si="0"/>
        <v>0.88200000000000001</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0.9</v>
      </c>
      <c r="D38" s="153">
        <f>+D37</f>
        <v>0.88200000000000001</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​La Dirección de Medidas Especiales para Prestadores de Servicios de Salud adelanto 2 seguimientos en campo para el primer trimestre 2025, de acuerdo a la priorización y necesidades de las Entidades en medida especial.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0" t="str">
        <f>VLOOKUP(L12,Reporte!$N$5:$BZ$133,59,FALSE)</f>
        <v xml:space="preserve">​Para el II trimestre de 2025, La Dirección de Medidas Especiales para Prestadores de Servicios de Salud realizó 11 seguimientos programados a los Prestadores de Servicios de Salud (PSS) bajo medida especial, de la siguiente manera: Nueva ESE Hospital Dptal San Francisco de Asís, Subred integrada de servicios de salud Centro Oriente (2), ESE Hospital San Rafael de Leticia, E.S.E Hospital Local Cartagena de Indias, Hospital San Andrés ESE – Tumaco, ESE Hospital San José de Maicao, Hospital Regional San Andrés E.S.E - Chiriguaná, Hospital Regional Magdalena Medio – Barrancabermeja, ESE Hospital Rosario Pumarejo de López y ESE Hospital de Nazareth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51.75" customHeight="1" thickBot="1">
      <c r="A57" s="682" t="str">
        <f>VLOOKUP(L12,Reporte!$N$5:$BZ$133,62,FALSE)</f>
        <v xml:space="preserve">Para el III trimestre de 2025, la Dirección de Medidas Especiales para Prestadores de Servicios de Salud realizó 7 seguimientos programados a las ESE bajo medida especial, de 7 seguimientos en campo programados para un cumplimiento del 100%.
Lo anterior permite continuar fortaleciendo  los esquemas de seguimiento técnico, jurídico y financiero, integrando herramientas de monitoreo basadas en indicadores, análisis de datos en tiempo real, visitas de verificación y planes de mejora con seguimiento individualizado a las ESE bajo medida especial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37.25" customHeight="1" thickBot="1">
      <c r="A63" s="673" t="str">
        <f>VLOOKUP(L12,Reporte!$N$5:$BZ$133,65,FALSE)</f>
        <v xml:space="preserve">Durante el cuarto trimestre de la vigencia 2025, la Dirección de Medidas Especiales para Prestadores de Servicios de Salud ejecutó la totalidad de los siete (7) seguimientos programados a Prestadores de Servicios de Salud (PSS) bajo medida especial, correspondientes a: Nueva ESE Hospital Departamental San Francisco de Asís (2), Hospital Regional Magdalena Medio – Barrancabermeja, ESE Hospital Rosario Pumarejo de López, ESE Hospital de Nazareth, Hospital Luis Ablanque de la Plata ESE y ESE Universitaria del Atlántico, logrando un cumplimiento del 100% de la meta establecida para el periodo evaluado.   
En el marco de sus competencias, la Dirección de Medidas Especiales para Prestadores de Servicios de Salud adelanta seguimientos en campo a las entidades prestadoras de servicios de salud bajo medida especial, con el fin de verificar el cumplimiento de la normatividad vigente, así como de los planes, programas y cronogramas establecidos, desde los componentes administrativo-financiero, jurídico y técnico-científico. De igual manera, realiza el monitoreo de los indicadores de gestión.
A través de estas actuaciones, la Dirección de Medidas Especiales para Prestadores de Servicios de Salud contribuye al fortalecimiento del Sistema General de Seguridad Social en Salud, garantizando la prestación oportuna, continua y de calidad de los servicios, y promoviendo la sostenibilidad financiera de las instituciones prestadoras intervenidas, bajo los principios de eficiencia, eficacia y legalidad.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27 seguimientos en campo, con sobrecumplimiento del 111% de la meta porcentual de 90% establecida para lo corrido de 2025.Se sugiere ajustar los porcentajes definidos en el cronograma del PAG, toda vez que la programación de cada periodo se define a demanda.</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B42F8-A207-47C0-B3FC-C22687B5B7BC}">
  <sheetPr codeName="Hoja76"/>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 xml:space="preserve">Porcentaje de acciones de monitoreo y verificación adelantadas  a agentes interventores, contralores, gerentes y revisores fiscales de los Prestadores de Servicios en Salud - PSS con medida adoptada </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42.75" customHeight="1">
      <c r="A8" s="792" t="s">
        <v>1594</v>
      </c>
      <c r="B8" s="774"/>
      <c r="C8" s="711" t="str">
        <f>VLOOKUP(L12,Reporte!$A$5:$N$133,13,FALSE)</f>
        <v>Realizar monitoreo y verificación al cumplimiento de las ordenes impartidas por la SNS a agentes interventores, contralores, gerentes y revisores fiscales de las ESE bajo medida, mediante acciones como mesas de trabajo, análisis reporte resultados indicadores mínimos de gestión y avance plan de acción del agente interventor.</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2.75" customHeight="1">
      <c r="A10" s="794"/>
      <c r="B10" s="795"/>
      <c r="C10" s="711" t="str">
        <f>VLOOKUP(L12,Reporte!$N$5:$BN$133,4,FALSE)</f>
        <v xml:space="preserve">Número de acciones de monitoreo y verificación realizadas a los Prestadores de Servicios de  Salud- PSS con medida adoptada  </v>
      </c>
      <c r="D10" s="711"/>
      <c r="E10" s="711"/>
      <c r="F10" s="799" t="str">
        <f>VLOOKUP(L12,Reporte!$N$5:$BN$133,6,FALSE)</f>
        <v>Este indicador mide el porcentaje de acciones de monitoreo y verificación a interventores, controladores, gerentes y revsiores fiscales de los prestadores.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5" customHeight="1" thickBot="1">
      <c r="A12" s="796"/>
      <c r="B12" s="768"/>
      <c r="C12" s="710" t="str">
        <f>VLOOKUP(L12,Reporte!$N$5:$BN$133,5,FALSE)</f>
        <v xml:space="preserve"> Número de acciones de monitoreo y verificación a los prestadores de servicios de salud PSS bajo medida programadas.</v>
      </c>
      <c r="D12" s="711"/>
      <c r="E12" s="711"/>
      <c r="F12" s="799"/>
      <c r="G12" s="799"/>
      <c r="H12" s="799"/>
      <c r="I12" s="799"/>
      <c r="J12" s="712" t="str">
        <f>VLOOKUP(L12,Reporte!$N$5:$BN$133,7,FALSE)</f>
        <v>Eficiencia</v>
      </c>
      <c r="K12" s="712"/>
      <c r="L12" s="713" t="s">
        <v>300</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148</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204</v>
      </c>
      <c r="O22" s="133">
        <f>SUM(C22:N22)</f>
        <v>352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148</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204</v>
      </c>
      <c r="O23" s="133">
        <f>SUM(C23:N23)</f>
        <v>352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I semestre de 2025, la Dirección de Medidas Especiales para Prestadores de Servicios de Salud realizó 148 acciones de monitoreo y verificación a los Prestadores de Servicios de Salud- PSS con medida, de las cuales 28 corresponden a fichas, 14 a bullets, 9 a conceptos, 11 a seguimimientos en campo, 46 a Fenix y 40 a informes de gestion ante el superintendente, dando cumplimiento a la meta programada del 100%.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02" customHeight="1" thickBot="1">
      <c r="A63" s="673" t="str">
        <f>VLOOKUP(L12,Reporte!$N$5:$BZ$133,65,FALSE)</f>
        <v xml:space="preserve">Durante el segundo semestre de la vigencia 2025, la Dirección de Medidas Especiales para Prestadores de Servicios de Salud ejecutó la totalidad de las doscientas cuatro (204) acciones de monitoreo y verificación programadas a los agentes interventores de los Prestadores de Servicios de Salud (PSS) con medida especial adoptada. Dichas acciones se distribuyeron en treinta y dos (32) fichas, ocho (8) conceptos, catorce (14) seguimientos en campo, cincuenta y cinco (55) análisis de indicadores Fénix y noventa y cinco (95) seguimientos virtuales a decisiones de impacto, alcanzando un cumplimiento del  100% de la meta establecida para el periodo evaluado.   
Las actuaciones adelantadas permitieron medir y evaluar de manera integral el desempeño de los agentes interventores de los PSS bajo medida especial, así como determinar, a partir del análisis realizado, el nivel de cumplimiento de las metas institucionales, la eficiencia en la gestión y los avances logrados en los procesos de mejora, contribuyendo al fortalecimiento del control y la supervisión del sector salud.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352 acciones de monitoreo y evaluación, con cumplimiento de la meta establecida para lo corrido de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9DC94-A8E4-498F-B39B-89280CC324F0}">
  <sheetPr codeName="Hoja7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DE TRÁMITES</v>
      </c>
      <c r="D5" s="787"/>
      <c r="E5" s="787"/>
      <c r="F5" s="787"/>
      <c r="G5" s="787"/>
      <c r="H5" s="787"/>
      <c r="I5" s="787"/>
      <c r="J5" s="787"/>
      <c r="K5" s="787"/>
      <c r="L5" s="787"/>
      <c r="M5" s="787"/>
      <c r="N5" s="787"/>
      <c r="O5" s="788"/>
      <c r="P5" s="130"/>
      <c r="Q5" s="131"/>
    </row>
    <row r="6" spans="1:17" ht="30" customHeight="1">
      <c r="A6" s="789" t="s">
        <v>8</v>
      </c>
      <c r="B6" s="790"/>
      <c r="C6" s="711" t="str">
        <f>VLOOKUP(L12,Reporte!$N$5:$BN$133,2,FALSE)</f>
        <v>Porcentaje  de solicitudes de promoción de acuerdos de restructuración de pasivos tramitadas</v>
      </c>
      <c r="D6" s="711"/>
      <c r="E6" s="711"/>
      <c r="F6" s="711"/>
      <c r="G6" s="711"/>
      <c r="H6" s="711"/>
      <c r="I6" s="711"/>
      <c r="J6" s="711"/>
      <c r="K6" s="711"/>
      <c r="L6" s="711"/>
      <c r="M6" s="711"/>
      <c r="N6" s="711"/>
      <c r="O6" s="791"/>
      <c r="P6" s="128"/>
    </row>
    <row r="7" spans="1:17" ht="58.5" customHeight="1">
      <c r="A7" s="789" t="s">
        <v>10</v>
      </c>
      <c r="B7" s="790"/>
      <c r="C7" s="711" t="str">
        <f>VLOOKUP(L12,Reporte!A5:M133,10,FALSE)</f>
        <v>Gestionar y evaluar las solicitudes de los trámites presentados por las entidades vigiladas y por personas naturales y/o jurídicas, con el propósito de satisfacer las necesidades y expectativas de los grupos de valor y de interés de la Superintendencia Nacional de Salud</v>
      </c>
      <c r="D7" s="711"/>
      <c r="E7" s="711"/>
      <c r="F7" s="711"/>
      <c r="G7" s="711"/>
      <c r="H7" s="711"/>
      <c r="I7" s="711"/>
      <c r="J7" s="711"/>
      <c r="K7" s="711"/>
      <c r="L7" s="711"/>
      <c r="M7" s="711"/>
      <c r="N7" s="711"/>
      <c r="O7" s="791"/>
      <c r="P7" s="128"/>
    </row>
    <row r="8" spans="1:17" ht="33.75" customHeight="1">
      <c r="A8" s="792" t="s">
        <v>1594</v>
      </c>
      <c r="B8" s="774"/>
      <c r="C8" s="711" t="str">
        <f>VLOOKUP(L12,Reporte!$A$5:$N$133,13,FALSE)</f>
        <v>Analizar y tramitar las solicitudes para la promoción de acuerdos de reestructuración de pasivos presentadas ante la Superintendencia Nacional de Salud por los prestadores de servicios de salud públicos, determinando las causales de aceptación o rechazo según corresponda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solicitudes de acuerdos de restructuración de pasivos evaluados en el periodo</v>
      </c>
      <c r="D10" s="711"/>
      <c r="E10" s="711"/>
      <c r="F10" s="799" t="str">
        <f>VLOOKUP(L12,Reporte!$N$5:$BN$133,6,FALSE)</f>
        <v>Este indicador mide el porcentaje de promoción de restructuración de pasivos tramitados.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5.5" customHeight="1" thickBot="1">
      <c r="A12" s="796"/>
      <c r="B12" s="768"/>
      <c r="C12" s="710" t="str">
        <f>VLOOKUP(L12,Reporte!$N$5:$BN$133,5,FALSE)</f>
        <v xml:space="preserve"> Número de acuerdos de restructuración de pasivos solicitados con vencimiento del término.</v>
      </c>
      <c r="D12" s="711"/>
      <c r="E12" s="711"/>
      <c r="F12" s="799"/>
      <c r="G12" s="799"/>
      <c r="H12" s="799"/>
      <c r="I12" s="799"/>
      <c r="J12" s="712" t="str">
        <f>VLOOKUP(L12,Reporte!$N$5:$BN$133,7,FALSE)</f>
        <v>Eficiencia</v>
      </c>
      <c r="K12" s="712"/>
      <c r="L12" s="713" t="s">
        <v>649</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v>
      </c>
      <c r="O22" s="133">
        <f>SUM(C22:N22)</f>
        <v>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v>
      </c>
      <c r="O23" s="133">
        <f>SUM(C23:N23)</f>
        <v>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I semestre del año 2025, no se presentaron solicitudes para la promoción de acuerdo de reestructuración de pasivos, por lo que no se hizo necesaria la validación de cumplimiento de requisitos establecidos en el articulo 6 de la ley 550 de 1999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​Para el II semestre del año 2025, no se  presentaron solicitudes  para la promoción  de acuerdo de reestructuración  de pasivos, por lo que no se hizo necesaria la validación de cumplimiento de requisitos establecidos en el articulo 6 de la ley 550 de 1999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registró en el aplicativo PAG 2025 un avance acumulado del 100%.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6C52F-CE6F-4002-8B5F-24B8525C599F}">
  <sheetPr codeName="Hoja7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Porcentaje de acciones de seguimiento a promotores de acuerdos de reestructuración de pasivos hasta la etapa de celebración del acuerdo respectivo</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5.25" customHeight="1">
      <c r="A8" s="792" t="s">
        <v>1594</v>
      </c>
      <c r="B8" s="774"/>
      <c r="C8" s="711" t="str">
        <f>VLOOKUP(L12,Reporte!$A$5:$N$133,13,FALSE)</f>
        <v>Realizar seguimiento a la gestión de promotores designados en la promoción de acuerdos de reestructuración de pasivos que se encuentran en etapa de celebración del acuerdo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2.75" customHeight="1">
      <c r="A10" s="794"/>
      <c r="B10" s="795"/>
      <c r="C10" s="711" t="str">
        <f>VLOOKUP(L12,Reporte!$N$5:$BN$133,4,FALSE)</f>
        <v xml:space="preserve">Número de acciones de seguimiento a la gestión de promotores de acuerdos de reestructuración de pasivos realizadas </v>
      </c>
      <c r="D10" s="711"/>
      <c r="E10" s="711"/>
      <c r="F10" s="799" t="str">
        <f>VLOOKUP(L12,Reporte!$N$5:$BN$133,6,FALSE)</f>
        <v>Este indicador mide el porcentaje de acciones de seguimiento de pasivos.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2.75" customHeight="1" thickBot="1">
      <c r="A12" s="796"/>
      <c r="B12" s="768"/>
      <c r="C12" s="710" t="str">
        <f>VLOOKUP(L12,Reporte!$N$5:$BN$133,5,FALSE)</f>
        <v xml:space="preserve"> Número de acciones de seguimiento a la gestión de promotores de acuerdos de reestructuración de pasivos programadas  </v>
      </c>
      <c r="D12" s="711"/>
      <c r="E12" s="711"/>
      <c r="F12" s="799"/>
      <c r="G12" s="799"/>
      <c r="H12" s="799"/>
      <c r="I12" s="799"/>
      <c r="J12" s="712" t="str">
        <f>VLOOKUP(L12,Reporte!$N$5:$BN$133,7,FALSE)</f>
        <v>Eficiencia</v>
      </c>
      <c r="K12" s="712"/>
      <c r="L12" s="713" t="s">
        <v>264</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v>
      </c>
      <c r="O22" s="133">
        <f>SUM(C22:N22)</f>
        <v>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v>
      </c>
      <c r="O23" s="133">
        <f>SUM(C23:N23)</f>
        <v>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I semestre de 2025, se realizó una (1) visita de seguimiento programada a la ESE Hospital San Diego de Cereté del departemento de Cordoba, la cual tuvo como objetivo, participar en la reunion convocada en el marco de acuerdo de reestructuración de pasivos, dando cumplimiento a la meta establecida del 100%.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71.25" customHeight="1" thickBot="1">
      <c r="A63" s="673" t="str">
        <f>VLOOKUP(L12,Reporte!$N$5:$BZ$133,65,FALSE)</f>
        <v xml:space="preserve">Durante el segundo (II) semestre de la vigencia 2025, la Dirección de Medidas Especiales para Prestadores de Servicios de Salud ejecutó una (1) visita de seguimiento programada a la ESE Hospital Nuestra Señora de los Remedios, del departamento de La Guajira, alcanzando un cumplimiento del cien por ciento (100%) de la meta establecida para el periodo evaluado.   
Las visitas de seguimiento adelantadas por la Dirección de Medidas Especiales para Prestadores de Servicios de Salud permiten verificar el adecuado cumplimiento de las funciones asociadas a la ejecución de los acuerdos de reestructuración de pasivos, así como evaluar el avance de los compromisos adquiridos, contribuyendo al fortalecimiento del control, la sostenibilidad financiera y la estabilidad administrativa de las entidades sometidas a medida especial.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2 acción de seguimiento, con cumplimiento de la meta establecida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0D14F-373F-4F06-A13A-548AD4D22840}">
  <sheetPr codeName="Hoja7"/>
  <dimension ref="A1:I55"/>
  <sheetViews>
    <sheetView zoomScaleNormal="100" workbookViewId="0">
      <pane ySplit="9" topLeftCell="A13" activePane="bottomLeft" state="frozen"/>
      <selection activeCell="D16" sqref="D16"/>
      <selection pane="bottomLeft" activeCell="C21" sqref="C21"/>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58" t="s">
        <v>874</v>
      </c>
      <c r="D7" s="658"/>
      <c r="E7" s="42"/>
      <c r="F7" s="36"/>
      <c r="G7" s="36"/>
    </row>
    <row r="8" spans="1:7" ht="20.25" customHeight="1">
      <c r="A8" s="36"/>
      <c r="B8" s="41"/>
      <c r="C8" s="658"/>
      <c r="D8" s="658"/>
      <c r="E8" s="42"/>
      <c r="F8" s="36"/>
      <c r="G8" s="36"/>
    </row>
    <row r="9" spans="1:7">
      <c r="A9" s="36"/>
      <c r="B9" s="41"/>
      <c r="C9" s="51"/>
      <c r="D9" s="36"/>
      <c r="E9" s="42"/>
      <c r="F9" s="36"/>
      <c r="G9" s="36"/>
    </row>
    <row r="10" spans="1:7" ht="85.5">
      <c r="A10" s="36"/>
      <c r="B10" s="41"/>
      <c r="C10" s="56" t="s">
        <v>272</v>
      </c>
      <c r="D10" s="60" t="s">
        <v>1586</v>
      </c>
      <c r="E10" s="42"/>
      <c r="F10" s="36"/>
      <c r="G10" s="36"/>
    </row>
    <row r="11" spans="1:7" ht="199.5">
      <c r="A11" s="36"/>
      <c r="B11" s="41"/>
      <c r="C11" s="56" t="s">
        <v>278</v>
      </c>
      <c r="D11" s="60" t="s">
        <v>879</v>
      </c>
      <c r="E11" s="42"/>
      <c r="F11" s="36"/>
      <c r="G11" s="36"/>
    </row>
    <row r="12" spans="1:7" ht="57">
      <c r="A12" s="36"/>
      <c r="B12" s="41"/>
      <c r="C12" s="56" t="s">
        <v>284</v>
      </c>
      <c r="D12" s="60" t="s">
        <v>286</v>
      </c>
      <c r="E12" s="42"/>
      <c r="F12" s="36"/>
      <c r="G12" s="36"/>
    </row>
    <row r="13" spans="1:7">
      <c r="A13" s="36"/>
      <c r="B13" s="41"/>
      <c r="C13" s="56" t="s">
        <v>289</v>
      </c>
      <c r="D13" s="60" t="s">
        <v>291</v>
      </c>
      <c r="E13" s="42"/>
      <c r="F13" s="36"/>
      <c r="G13" s="36"/>
    </row>
    <row r="14" spans="1:7" ht="28.5">
      <c r="A14" s="36"/>
      <c r="B14" s="41"/>
      <c r="C14" s="56" t="s">
        <v>221</v>
      </c>
      <c r="D14" s="60" t="s">
        <v>538</v>
      </c>
      <c r="E14" s="42"/>
      <c r="F14" s="36"/>
      <c r="G14" s="36"/>
    </row>
    <row r="15" spans="1:7" ht="28.5">
      <c r="A15" s="36"/>
      <c r="B15" s="41"/>
      <c r="C15" s="56" t="s">
        <v>225</v>
      </c>
      <c r="D15" s="60" t="s">
        <v>294</v>
      </c>
      <c r="E15" s="42"/>
      <c r="F15" s="36"/>
      <c r="G15" s="36"/>
    </row>
    <row r="16" spans="1:7">
      <c r="A16" s="36"/>
      <c r="B16" s="41"/>
      <c r="C16" s="56" t="s">
        <v>540</v>
      </c>
      <c r="D16" s="60" t="s">
        <v>542</v>
      </c>
      <c r="E16" s="42"/>
      <c r="F16" s="36"/>
      <c r="G16" s="36"/>
    </row>
    <row r="17" spans="1:7" ht="28.5">
      <c r="A17" s="36"/>
      <c r="B17" s="41"/>
      <c r="C17" s="56" t="s">
        <v>341</v>
      </c>
      <c r="D17" s="60" t="s">
        <v>545</v>
      </c>
      <c r="E17" s="42"/>
      <c r="F17" s="36"/>
      <c r="G17" s="36"/>
    </row>
    <row r="18" spans="1:7" ht="28.5">
      <c r="A18" s="36"/>
      <c r="B18" s="41"/>
      <c r="C18" s="56" t="s">
        <v>296</v>
      </c>
      <c r="D18" s="60" t="s">
        <v>298</v>
      </c>
      <c r="E18" s="42"/>
      <c r="F18" s="36"/>
      <c r="G18" s="36"/>
    </row>
    <row r="19" spans="1:7" ht="28.5">
      <c r="A19" s="36"/>
      <c r="B19" s="41"/>
      <c r="C19" s="56" t="s">
        <v>547</v>
      </c>
      <c r="D19" s="60" t="s">
        <v>549</v>
      </c>
      <c r="E19" s="42"/>
      <c r="F19" s="36"/>
    </row>
    <row r="20" spans="1:7">
      <c r="A20" s="36"/>
      <c r="B20" s="41"/>
      <c r="C20" s="56" t="s">
        <v>568</v>
      </c>
      <c r="D20" s="60" t="s">
        <v>570</v>
      </c>
      <c r="E20" s="42"/>
      <c r="F20" s="36"/>
    </row>
    <row r="21" spans="1:7">
      <c r="A21" s="36"/>
      <c r="B21" s="41"/>
      <c r="C21" s="56" t="s">
        <v>301</v>
      </c>
      <c r="D21" s="60" t="s">
        <v>303</v>
      </c>
      <c r="E21" s="42"/>
      <c r="F21" s="36"/>
    </row>
    <row r="22" spans="1:7" ht="28.5">
      <c r="A22" s="36"/>
      <c r="B22" s="41"/>
      <c r="C22" s="56" t="s">
        <v>307</v>
      </c>
      <c r="D22" s="60" t="s">
        <v>945</v>
      </c>
      <c r="E22" s="42"/>
      <c r="F22" s="36"/>
    </row>
    <row r="23" spans="1:7" ht="28.5">
      <c r="A23" s="36"/>
      <c r="B23" s="41"/>
      <c r="C23" s="56" t="s">
        <v>563</v>
      </c>
      <c r="D23" s="60" t="s">
        <v>565</v>
      </c>
      <c r="E23" s="42"/>
      <c r="F23" s="36"/>
    </row>
    <row r="24" spans="1:7" ht="30.75" customHeight="1" thickBot="1">
      <c r="A24" s="36"/>
      <c r="B24" s="43"/>
      <c r="C24" s="54"/>
      <c r="D24" s="44"/>
      <c r="E24" s="45"/>
      <c r="F24" s="36"/>
    </row>
    <row r="25" spans="1:7">
      <c r="A25" s="36"/>
      <c r="B25" s="36"/>
      <c r="C25" s="51"/>
      <c r="D25" s="36"/>
      <c r="E25" s="36"/>
      <c r="F25" s="36"/>
    </row>
    <row r="26" spans="1:7"/>
    <row r="27" spans="1:7"/>
    <row r="28" spans="1:7"/>
    <row r="29" spans="1:7"/>
    <row r="30" spans="1:7"/>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sheetData>
  <mergeCells count="1">
    <mergeCell ref="C7:D8"/>
  </mergeCells>
  <hyperlinks>
    <hyperlink ref="C16" location="'SE11'!Área_de_impresión" display="SE11" xr:uid="{A552FB23-48F8-414B-8C34-49EE1B8E6297}"/>
    <hyperlink ref="C17" location="'DE09'!Área_de_impresión" display="DE09" xr:uid="{84B56678-B076-4263-9060-87AFCF3317AF}"/>
    <hyperlink ref="C10" location="'SE27'!Área_de_impresión" display="SE27" xr:uid="{3431CFF8-D202-4059-95E7-26F499693249}"/>
    <hyperlink ref="C11" location="'SE47'!Área_de_impresión" display="SE47" xr:uid="{B8A56015-5C4A-4F3A-A24F-6B9BD4183DBC}"/>
    <hyperlink ref="C18" location="'SE33'!Área_de_impresión" display="SE33" xr:uid="{AF5035BB-A541-4D5E-B9FD-6DEC7B771FF6}"/>
    <hyperlink ref="C19" location="'SE34'!Área_de_impresión" display="SE34" xr:uid="{46E19184-811C-4B7B-A150-ADA63A970FF0}"/>
    <hyperlink ref="C20" location="'SE48'!Área_de_impresión" display="SE48" xr:uid="{5553CFEF-7179-411E-BA03-94F5129AD1B7}"/>
    <hyperlink ref="C21" location="'SE49'!Área_de_impresión" display="SE49" xr:uid="{19F68549-D8A9-4A7E-8C68-1DC91B539B37}"/>
    <hyperlink ref="C23" location="'SE31'!Área_de_impresión" display="SE31" xr:uid="{9174F7CF-B65F-4CE5-B1FC-9D232BDC57E8}"/>
    <hyperlink ref="C22" location="'SE50'!Área_de_impresión" display="SE50" xr:uid="{747A8F9B-242D-4879-ACEB-089A87EFB0DC}"/>
    <hyperlink ref="C12" location="'SE28'!Área_de_impresión" display="SE28" xr:uid="{66D5439D-6A13-4565-8D01-0268B1CDE47A}"/>
    <hyperlink ref="C13" location="'CT21'!Área_de_impresión" display="CT21" xr:uid="{834F232D-D874-411F-92B5-420252ABDE26}"/>
    <hyperlink ref="C14" location="'AT05'!Área_de_impresión" display="AT05" xr:uid="{D0AF593B-E77B-4EE6-B61F-3014F40F4CD1}"/>
    <hyperlink ref="C15" location="'AT11'!Área_de_impresión" display="AT11" xr:uid="{C2468189-1BB6-4CC2-9D76-547F29C98D51}"/>
  </hyperlinks>
  <pageMargins left="0.7" right="0.7" top="0.75" bottom="0.75" header="0.3" footer="0.3"/>
  <pageSetup paperSize="9" scale="76" orientation="portrait"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A9269-773F-4F68-9B21-029DE1C8EE22}">
  <sheetPr codeName="Hoja79"/>
  <dimension ref="A1:Q67"/>
  <sheetViews>
    <sheetView view="pageBreakPreview" topLeftCell="A57" zoomScale="80" zoomScaleNormal="73" zoomScaleSheetLayoutView="80" zoomScalePageLayoutView="55" workbookViewId="0">
      <selection activeCell="A64" sqref="A64:O65"/>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32.25" customHeight="1">
      <c r="A6" s="789" t="s">
        <v>8</v>
      </c>
      <c r="B6" s="790"/>
      <c r="C6" s="711" t="str">
        <f>VLOOKUP(L12,Reporte!$N$5:$BN$133,2,FALSE)</f>
        <v>Porcentaje de avance en la formulación de los lineamientos y monitoreo a las E.S.E  de las acciones tendientes a  la formalización laboral y atención en salud con enfoque diferencia.</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4.5" customHeight="1">
      <c r="A8" s="792" t="s">
        <v>1594</v>
      </c>
      <c r="B8" s="774"/>
      <c r="C8" s="711" t="str">
        <f>VLOOKUP(L12,Reporte!$A$5:$N$133,13,FALSE)</f>
        <v>Establecer lineamientos para las Entidades de Salud del Estado (E.S.E.) con el fin de promover la formalización laboral y acciones orientadas a la atención en salud con un enfoque diferencial.</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Numero de hitos en la formulación de lineamientos y monitoreos a las E.S.E </v>
      </c>
      <c r="D10" s="711"/>
      <c r="E10" s="711"/>
      <c r="F10" s="799" t="str">
        <f>VLOOKUP(L12,Reporte!$N$5:$BN$133,6,FALSE)</f>
        <v>Este indicador mide número de hitos de la formulación de lienamientos y monitoreos a las ESE.</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Numero de hitos o acciones programadas.  </v>
      </c>
      <c r="D12" s="711"/>
      <c r="E12" s="711"/>
      <c r="F12" s="799"/>
      <c r="G12" s="799"/>
      <c r="H12" s="799"/>
      <c r="I12" s="799"/>
      <c r="J12" s="712" t="str">
        <f>VLOOKUP(L12,Reporte!$N$5:$BN$133,7,FALSE)</f>
        <v>Eficiencia</v>
      </c>
      <c r="K12" s="712"/>
      <c r="L12" s="713" t="s">
        <v>1032</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0</v>
      </c>
      <c r="I22" s="132">
        <f>VLOOKUP(L12,Reporte!$N$5:$BN$133,36,FALSE)</f>
        <v>0</v>
      </c>
      <c r="J22" s="139">
        <f>VLOOKUP(L12,Reporte!$N$5:$BN$133,37,FALSE)</f>
        <v>0</v>
      </c>
      <c r="K22" s="139">
        <f>VLOOKUP(L12,Reporte!$N$5:$BN$133,38,FALSE)</f>
        <v>0</v>
      </c>
      <c r="L22" s="139">
        <f>VLOOKUP(L12,Reporte!$N$5:$BN$133,39,FALSE)</f>
        <v>0</v>
      </c>
      <c r="M22" s="139">
        <f>VLOOKUP(L12,Reporte!$N$5:$BN$133,40,FALSE)</f>
        <v>11</v>
      </c>
      <c r="N22" s="133">
        <f>VLOOKUP(L12,Reporte!$N$5:$BN$133,41,FALSE)</f>
        <v>11</v>
      </c>
      <c r="O22" s="133">
        <f>SUM(C22:N22)</f>
        <v>22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0</v>
      </c>
      <c r="I23" s="140">
        <f>VLOOKUP(L12,Reporte!$N$5:$BN$133,48,FALSE)</f>
        <v>0</v>
      </c>
      <c r="J23" s="140">
        <f>VLOOKUP(L12,Reporte!$N$5:$BN$133,49,FALSE)</f>
        <v>0</v>
      </c>
      <c r="K23" s="140">
        <f>VLOOKUP(L12,Reporte!$N$5:$BN$133,50,FALSE)</f>
        <v>0</v>
      </c>
      <c r="L23" s="140">
        <f>VLOOKUP(L12,Reporte!$N$5:$BN$133,51,FALSE)</f>
        <v>0</v>
      </c>
      <c r="M23" s="140">
        <f>VLOOKUP(L12,Reporte!$N$5:$BN$133,52,FALSE)</f>
        <v>11</v>
      </c>
      <c r="N23" s="141">
        <f>VLOOKUP(L12,Reporte!$N$5:$BN$133,53,FALSE)</f>
        <v>11</v>
      </c>
      <c r="O23" s="133">
        <f>SUM(C23:N23)</f>
        <v>22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1</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99.75" customHeight="1" thickBot="1">
      <c r="A61" s="670" t="str">
        <f>VLOOKUP(L12,Reporte!$N$5:$BZ$133,64,FALSE)</f>
        <v xml:space="preserve">En el periodo reportado correspondiente al segundo trimestre de 2025, se ejecutaron 11 acciones, dando como resultado un cumplimiento del 100% frente a la meta pogramada. De acuerdo con lo anterior, el indicador se encuentra en un rango bueno, la tendencia del indicador es ascendente lo que refleja una mejora, este resultado se debe a que la Dirección de Medidas Especiales para Prestadores de Servicios en Salud, ha gestionado la implementación del lineamiento de enfoque diferencial y el plan de trabajo de formalización laboral por parte de las Entidades de Salud del Estado (E.S.E.) en medida especial. 
Este resultado permitió que 11 entidades que actualmente se encuentran en medida dieran inicio a la implementacion y adopción de los lineamientos de formalización laboral y de la atención en salud con enfoque diferencial para el II trimestre de la vigencia 2025, por lo cual no se requieren ajustes por el momento, pero se recomienda realizar seguimiento para que estos vigilados continuen con la implementación de las acciones que a la fecha de corte se encuentran de la siguiente manera:
Para el indicador de Enfoque Diferencial , 8 entidades estan en etapa de medicion y 3 se encuentran en etapa de parametrizacion del sistema para el reporte de datos. Para el indicador de Formalizacion Laboral, las entidades avanzan segun su plan y sus correspondientes fases estimadas.
</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22 acciones programadas, con cumplimiento de la meta establecida del 100%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8E09-749D-452B-A642-CD6D4D6DD227}">
  <sheetPr codeName="Hoja8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33" customHeight="1">
      <c r="A6" s="789" t="s">
        <v>8</v>
      </c>
      <c r="B6" s="790"/>
      <c r="C6" s="711" t="str">
        <f>VLOOKUP(L12,Reporte!$N$5:$BN$133,2,FALSE)</f>
        <v xml:space="preserve">Eventos de difusión, socialización y capacitación realizados en relación con las acciones y medidas especiales adoptadas a los Prestadores de Servicios de Salud-PSS de la Superintendencia Nacional de Salud </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0" customHeight="1">
      <c r="A8" s="792" t="s">
        <v>1594</v>
      </c>
      <c r="B8" s="774"/>
      <c r="C8" s="711" t="str">
        <f>VLOOKUP(L12,Reporte!$A$5:$N$133,13,FALSE)</f>
        <v xml:space="preserve">Realizar eventos de difusión y socialización a los Agentes Especiales Interventores y Contralores respecto a los fines, acciones y cumplimiento de las medidas especiales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Número de Eventos de difusión, socialización y capacitación realizados</v>
      </c>
      <c r="D10" s="711"/>
      <c r="E10" s="711"/>
      <c r="F10" s="799" t="str">
        <f>VLOOKUP(L12,Reporte!$N$5:$BN$133,6,FALSE)</f>
        <v>Este indicador mide los eventos de difusión, socialización y capacitación de medidas especiales adoptadas alos prestadores de servicios de salud.</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Número de Eventos de difusión, socialización y capacitación programados</v>
      </c>
      <c r="D12" s="711"/>
      <c r="E12" s="711"/>
      <c r="F12" s="799"/>
      <c r="G12" s="799"/>
      <c r="H12" s="799"/>
      <c r="I12" s="799"/>
      <c r="J12" s="712" t="str">
        <f>VLOOKUP(L12,Reporte!$N$5:$BN$133,7,FALSE)</f>
        <v>Eficiencia</v>
      </c>
      <c r="K12" s="712"/>
      <c r="L12" s="713" t="s">
        <v>270</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Delegatura Prestadores de Servicios en Salud</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3</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2</v>
      </c>
      <c r="O22" s="133">
        <f>SUM(C22:N22)</f>
        <v>5</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3</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2</v>
      </c>
      <c r="O23" s="133">
        <f>SUM(C23:N23)</f>
        <v>5</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​Para el I semestre de la vigencia 2025, la Delegada para Prestadores de Servicios de Salud, realizó dos (2) eventos de socialización y uno (1) de concertacion con EPS, para un total de tres (3) eventos en relación con las acciones y medidas especiales adoptadas a los Prestadores de Servicios de Salud-PSS, dando cumplimiento a la meta establecida del 100%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15.5" customHeight="1" thickBot="1">
      <c r="A63" s="673" t="str">
        <f>VLOOKUP(L12,Reporte!$N$5:$BZ$133,65,FALSE)</f>
        <v xml:space="preserve">Durante el segundo (II) semestre de la vigencia 2025, la Delegada para Prestadores de Servicios de Salud realizó dos (2) eventos de difusión relacionados con las acciones y medidas especiales adoptadas frente a los Prestadores de Servicios de Salud (PSS), de un total de dos (2) eventos programados, alcanzando un cumplimiento del cien por ciento (100%) de la meta establecida para el periodo evaluado.   
La realización de estos eventos permitió socializar y conocer el balance de gestión correspondiente al primer semestre del año de las Empresas Sociales del Estado (ESE) que se encuentran bajo Medida Especial, facilitando el seguimiento a las acciones adelantadas y a los resultados obtenidos en el marco de las medidas de control implementadas.
Adicionalmente, estos espacios constituyen un mecanismo fundamental de rendición de cuentas por parte de los agentes interventores de las ESE bajo medida especial, en tanto permiten verificar la gestión desarrollada, el cumplimiento de los planes, metas y compromisos establecidos, así como la adecuada administración de los recursos públicos, fortaleciendo la transparencia, el control institucional y la toma de decisiones informadas por parte de la Superintendencia Nacional de Salud.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5 eventos programados, con cumplimiento de la meta propuesta para lo corrido de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ECC54-EAD0-4431-BFE3-7EFD8AD8EE48}">
  <sheetPr codeName="Hoja81"/>
  <dimension ref="A1:Q67"/>
  <sheetViews>
    <sheetView view="pageBreakPreview" topLeftCell="A10" zoomScale="80" zoomScaleNormal="73" zoomScaleSheetLayoutView="80" zoomScalePageLayoutView="55" workbookViewId="0">
      <selection activeCell="R27" sqref="R27"/>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30" customHeight="1">
      <c r="A6" s="789" t="s">
        <v>8</v>
      </c>
      <c r="B6" s="790"/>
      <c r="C6" s="711" t="str">
        <f>VLOOKUP(L12,Reporte!$N$5:$BN$133,2,FALSE)</f>
        <v>Porcentaje de avance en el cumplimiento del Plan Estratégico de Tecnologías de la Información y las Comunicaciones PETI.</v>
      </c>
      <c r="D6" s="711"/>
      <c r="E6" s="711"/>
      <c r="F6" s="711"/>
      <c r="G6" s="711"/>
      <c r="H6" s="711"/>
      <c r="I6" s="711"/>
      <c r="J6" s="711"/>
      <c r="K6" s="711"/>
      <c r="L6" s="711"/>
      <c r="M6" s="711"/>
      <c r="N6" s="711"/>
      <c r="O6" s="791"/>
      <c r="P6" s="128"/>
    </row>
    <row r="7" spans="1:17" ht="36.7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Actualizar e implementar el  Plan Estratégico de Tecnologías de la información (PETI)</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3.5" customHeight="1">
      <c r="A10" s="794"/>
      <c r="B10" s="795"/>
      <c r="C10" s="711" t="str">
        <f>VLOOKUP(L12,Reporte!$N$5:$BN$133,4,FALSE)</f>
        <v xml:space="preserve">Número de acciones ejecutadas para actualización e implementación del  Plan Estratégico de Tecnologías de la información PETI </v>
      </c>
      <c r="D10" s="711"/>
      <c r="E10" s="711"/>
      <c r="F10" s="799" t="str">
        <f>VLOOKUP(L12,Reporte!$N$5:$BN$133,6,FALSE)</f>
        <v>Este indicador mide el Total de actividades acumuladas ejecutadas en el plan estratégico de tecnologías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3.5" customHeight="1" thickBot="1">
      <c r="A12" s="796"/>
      <c r="B12" s="768"/>
      <c r="C12" s="710" t="str">
        <f>VLOOKUP(L12,Reporte!$N$5:$BN$133,5,FALSE)</f>
        <v xml:space="preserve"> Número de acciones definidas para la actualización e implementación del  Plan Estratégico de Tecnologías de la información PETI * 100</v>
      </c>
      <c r="D12" s="711"/>
      <c r="E12" s="711"/>
      <c r="F12" s="799"/>
      <c r="G12" s="799"/>
      <c r="H12" s="799"/>
      <c r="I12" s="799"/>
      <c r="J12" s="712" t="str">
        <f>VLOOKUP(L12,Reporte!$N$5:$BN$133,7,FALSE)</f>
        <v>Eficiencia</v>
      </c>
      <c r="K12" s="712"/>
      <c r="L12" s="713" t="s">
        <v>371</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7</v>
      </c>
      <c r="F22" s="139">
        <f>VLOOKUP(L12,Reporte!$N$5:$BN$133,33,FALSE)</f>
        <v>0</v>
      </c>
      <c r="G22" s="132">
        <f>VLOOKUP(L12,Reporte!$N$5:$BN$133,34,FALSE)</f>
        <v>0</v>
      </c>
      <c r="H22" s="139">
        <f>VLOOKUP(L12,Reporte!$N$5:$BN$133,35,FALSE)</f>
        <v>15</v>
      </c>
      <c r="I22" s="132">
        <f>VLOOKUP(L12,Reporte!$N$5:$BN$133,36,FALSE)</f>
        <v>0</v>
      </c>
      <c r="J22" s="139">
        <f>VLOOKUP(L12,Reporte!$N$5:$BN$133,37,FALSE)</f>
        <v>0</v>
      </c>
      <c r="K22" s="139">
        <f>VLOOKUP(L12,Reporte!$N$5:$BN$133,38,FALSE)</f>
        <v>7</v>
      </c>
      <c r="L22" s="139">
        <f>VLOOKUP(L12,Reporte!$N$5:$BN$133,39,FALSE)</f>
        <v>0</v>
      </c>
      <c r="M22" s="139">
        <f>VLOOKUP(L12,Reporte!$N$5:$BN$133,40,FALSE)</f>
        <v>0</v>
      </c>
      <c r="N22" s="133">
        <f>VLOOKUP(L12,Reporte!$N$5:$BN$133,41,FALSE)</f>
        <v>17</v>
      </c>
      <c r="O22" s="133">
        <f>+SUM(C22:N22)</f>
        <v>46</v>
      </c>
      <c r="P22" s="128"/>
    </row>
    <row r="23" spans="1:17" ht="16.5" thickBot="1">
      <c r="A23" s="690" t="s">
        <v>76</v>
      </c>
      <c r="B23" s="691"/>
      <c r="C23" s="140">
        <f>VLOOKUP(L12,Reporte!$N$5:$BN$133,42,FALSE)</f>
        <v>0</v>
      </c>
      <c r="D23" s="140">
        <f>VLOOKUP(L12,Reporte!$N$5:$BN$133,43,FALSE)</f>
        <v>0</v>
      </c>
      <c r="E23" s="140">
        <f>VLOOKUP(L12,Reporte!$N$5:$BN$133,44,FALSE)</f>
        <v>8</v>
      </c>
      <c r="F23" s="140">
        <f>VLOOKUP(L12,Reporte!$N$5:$BN$133,45,FALSE)</f>
        <v>0</v>
      </c>
      <c r="G23" s="140">
        <f>VLOOKUP(L12,Reporte!$N$5:$BN$133,46,FALSE)</f>
        <v>0</v>
      </c>
      <c r="H23" s="140">
        <f>VLOOKUP(L12,Reporte!$N$5:$BN$133,47,FALSE)</f>
        <v>21</v>
      </c>
      <c r="I23" s="140">
        <f>VLOOKUP(L12,Reporte!$N$5:$BN$133,48,FALSE)</f>
        <v>0</v>
      </c>
      <c r="J23" s="140">
        <f>VLOOKUP(L12,Reporte!$N$5:$BN$133,49,FALSE)</f>
        <v>0</v>
      </c>
      <c r="K23" s="140">
        <f>VLOOKUP(L12,Reporte!$N$5:$BN$133,50,FALSE)</f>
        <v>8</v>
      </c>
      <c r="L23" s="140">
        <f>VLOOKUP(L12,Reporte!$N$5:$BN$133,51,FALSE)</f>
        <v>0</v>
      </c>
      <c r="M23" s="140">
        <f>VLOOKUP(L12,Reporte!$N$5:$BN$133,52,FALSE)</f>
        <v>0</v>
      </c>
      <c r="N23" s="141">
        <f>VLOOKUP(L12,Reporte!$N$5:$BN$133,53,FALSE)</f>
        <v>21</v>
      </c>
      <c r="O23" s="133">
        <f>+SUM(C23:N23)</f>
        <v>58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0.875</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0.7142857142857143</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0.875</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0.80952380952380953</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0.7931034482758621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99.75" customHeight="1" thickBot="1">
      <c r="A45" s="682" t="str">
        <f>VLOOKUP(L12,Reporte!$N$5:$BZ$133,56,FALSE)</f>
        <v xml:space="preserve">Porcentaje de avance en el cumplimiento del Plan Estratégico de Tecnologías de la Información y las Comunicaciones PETI.
Para el primer trimestre se tenían programadas 8 actividades de las cuales se cumplieron las 8 actividades. 
Fortalecimiento de los sistemas de información misionales, con un enfoque en la integración e interoperabilidad de datos e informaciónImpulsar la Seguridad digital a través de la adopción del modelo de seguridad y privacidad de la información y de la implementación de un SGSI para la entidad.Fortalecer la seguridad de la información a través de la implementación de controles de seguridad informática y ciberseguridad.Fortalecer la implementación de los controles de protección de datos personales a través de un programa de protección y la adopción de las políticas PDP y privacidad.Fortalecer las funciones de IVC de la SNS a través de la implementación de procedimientos y controles de auditoría a sistemas de información, cadena de custodia y Laboratorio ForenseOptimización de la gestión de la infraestructura tecnológicaFortalecer las capacidades para consolidar iniciativas y alianzas en la Política de Gobierno DigitalImplementación del Plan de formación y capacitación de Tecnologías de la Información y Comunicación (TIC).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273" customHeight="1" thickBot="1">
      <c r="A51" s="670" t="str">
        <f>VLOOKUP(L12,Reporte!$N$5:$BZ$133,59,FALSE)</f>
        <v xml:space="preserve">​Durante el segundo trimestre de 2025, la Subdirección de Tecnologías de la Información, en articulación con otras dependencias de la Superintendencia Nacional de Salud, avanzó en múltiples frentes estratégicos para el fortalecimiento institucional y tecnológico:
1.Fortalecimiento del talento humano y equipos técnicos: Se avanzó en la contratación de perfiles clave para el Grupo de Sistemas de Información, incluyendo arquitecto de software y desarrolladores, en apoyo al desarrollo de soluciones tecnológicas.
2.Proyectos:
oHoja de Vida del Vigilado: Se avanzó en el levantamiento de información, análisis de requerimientos y definición de arquitectura inicial.
oPaz y salvo: Se inicio con la fase de requerimientos del proceso de digitalización y automatización del Paz y Salvo.
oGobernanza de Datos: Se formalizó la contratación con la Universidad de Antioquia para su implementación por fases.
oArquitectura Empresarial: El inicio del proyecto se pospuso para el segundo semestre debido a limitaciones operativas.
3.Gestión estratégica y operativa:
oSe diseñaron metodologías, plantillas e instrumentos estandarizados alineados con el Modelo de Gestión de Proyectos de TI (MGPTI), junto con estrategias de sensibilización y medición del nivel de madurez institucional.
oSe elaboró el documento base del Plan de Capacidad de TI y se fortaleció la infraestructura tecnológica mediante mantenimiento preventivo, soporte y mejoras de conectividad.
oSe avanzó en la articulación del equipo para alinear el Plan Institucional de Capacitación con las necesidades formativas TIC de las direcciones regionales, identificadas mediante un diagnóstico aplicado.
4.Seguridad digital y protección de datos:
oSe presentó el monitoreo de riesgos de seguridad digital del primer trimestre como parte del control interno institucional.
oSe fortaleció la implementación de controles de protección de datos personales, revisando políticas de privacidad y promoviendo un entorno de confianza.
oSe formalizó y actualizó la documentación de activos de información y se realizaron capacitaciones a gestores y personal TI.
5.Política de Gobierno Digital:
oSe adelantaron acciones para fortalecer su implementación como eje articulador de la transformación tecnológica institucional.
6.Marco Integral de Supervisión:
oSe continúa con su diseño y definición de modelos de supervisión diferenciados, que servirán como base metodológica para la Inspección, Vigilancia y Control con enfoque preventivo.
Se aclara que la meta no se cumplió por los siguientes motivos: 
No fue posible dar inicio durante el primer semestre con el proyecto relacionado con la consolidación de las PQRS entorno a la prestación de los servicios de salud, debido a que no se logró la vinculación de un profesional para apoyar las actividades relacionadas con la definición de un mecanismo o herramienta para la consolidación, integración y consulta de las PQRS, tomando como punto de partida el análisis del estado actual de acuerdo con la normatividad vigente, los procesos, los datos, sistemas de información y tecnologías dispuestas actualmente para la gestión de PQRS en la entidad.
El proyecto propuesto con la articulación del modelo de Gobernanza de Datos y su gestión de manera transversal en la entidad, no inicia ya que apenas se esta avanzando en la definición e implementación del modelo de Gobernanza de Datos y hasta que este proyecto no avance no será posible adelantar la articulación del modelo.
El Plan de Continuidad del Negocio (BCP) se esta empezando a diseñar en conjunto con la oficina asesora de planeación y otras áreas de la entidad con la participación de los grupos de Seguridad Digital e Infraestructura y Servicios tecnológicos de la Subdirección de Tecnologías de la información, sin embargo, el proyecto relacionado con el acompañamiento en la implementación del Plan de Continuidad del Negocio (BCP), no puede iniciar hasta tanto no se haya definido el BCP.
Por último, se espera que el proyecto del fortalecimiento de la Arquitectura Empresarial en la entidad se pueda iniciar en el segundo semestre de la presente vigencia ya que se tuvo que dar prioridad a otros temas debido a la alta ocupación de la capacidad operativa de la Subdirección de Tecnologías de la Información.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63.75" customHeight="1" thickBot="1">
      <c r="A57" s="682" t="str">
        <f>VLOOKUP(L12,Reporte!$N$5:$BZ$133,62,FALSE)</f>
        <v xml:space="preserve">Para el tercer trimestre de 2025, se realizaron siete actividades de ocho programdas, con un cumplimiento del trimestre del 86,49%, en la ejecución de los diferentes proyectos. No se logró la meta debido a diferentes motivos, entre los cuales se destacan como los principales; el cambio intempestivo del personal directivo y de planta, así como la demora en la contratación del personal que estaba proyectado para la gestión de algunos proyectos, motivo por el cual no se logró la meta propuesta tanto en trimestres anteriores como en el actual. Por lo anterior, se contempla la posibilidad de modifcar el PAG. 
Se lleva un  acumulado de 32 actividades de las 58 programadas para la vigencia 2025, con un avance del 55,17%, con respecto a la meta anual del 100% establecida para la implementación del PETI, por lo que se tomaran las acciones pertinentes para reducir el rezago antes de la finalización del año.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86.75" customHeight="1" thickBot="1">
      <c r="A63" s="673" t="str">
        <f>VLOOKUP(L12,Reporte!$N$5:$BZ$133,65,FALSE)</f>
        <v xml:space="preserve">​Justificación:
Se procede a modificar el Plan de Acción de Gestión (PAG) con la eliminación de los proyectos PR_05, PR_11, PR_13 y PR_16 del reporte correspondiente a la vigencia 2025. Esta decisión obedece a diversas circunstancias institucionales que han impedido su ejecución durante el presente año, aunque se prevé su continuidad en la vigencia 2026. A continuación, se detallan las razones específicas para cada proyecto:PR_05 – Consolidación de las PQRS en torno a la prestación de los servicios de salud:
 No se relacionó el perfil profesional adecuado para el desarrollo efectivo del proyecto en el PAA 2025. Durante la vigencia 2026 se tendrán avances sobre este proyecto.
PR_11 – Fortalecimiento de las funciones de IVC de la SNS mediante la implementación de procedimientos y controles de auditoría a sistemas de información, cadena de custodia y laboratorio forense:
Se encuentra pendiente la definición institucional relacionada con el laboratorio forense.PR_13 – Acompañamiento a la implementación del Plan de Continuidad del Negocio (BCP):
 La ejecución de este proyecto depende de la culminación previa del proyecto PR_12. Por esta razón, su desarrollo y reporte están previstos para la vigencia 2026.PR_16 – Fortalecimiento de la Arquitectura Empresarial:
No se relacionó el perfil profesional adecuado para el desarrollo efectivo del proyecto en el PAA 2025. Se aprovisinó en el PAA 2026 para desarrollar este proyecto.
Estas acciones, una vez reactivadas, contribuirán significativamente al fortalecimiento institucional de la Supersalud, mejorando la eficiencia y eficacia de los procesos de inspección, vigilancia y control, mediante el uso de herramientas tecnológicas, metodologías de auditoría, y mecanismos que optimicen la gestión de riesgos, la seguridad de la información y la protección de datos personales.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49 actividades de las 58 programadas, con incumplimiento la meta  para 2025. Se deben incluir las actividades no ejecutadas en la vigencia en dentro del PETI 2026, con el fin de cumplir el Plan previsto para el cuatrienio.</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3013D-8723-412F-9D1A-A019452CF349}">
  <sheetPr codeName="Hoja82"/>
  <dimension ref="A1:Q67"/>
  <sheetViews>
    <sheetView view="pageBreakPreview" topLeftCell="A7" zoomScale="80" zoomScaleNormal="73" zoomScaleSheetLayoutView="80" zoomScalePageLayoutView="55" workbookViewId="0">
      <selection activeCell="Q23" sqref="Q23"/>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33" customHeight="1">
      <c r="A6" s="789" t="s">
        <v>8</v>
      </c>
      <c r="B6" s="790"/>
      <c r="C6" s="711" t="str">
        <f>VLOOKUP(L12,Reporte!$N$5:$BN$133,2,FALSE)</f>
        <v>Porcentaje de actividades ejecutadas en cumplimiento del Plan de Seguridad y Privacidad de la Información y Seguridad Digital</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Actualizar e implementar el  Plan Estratégico de Tecnologías de la información (PETI)</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0" customHeight="1">
      <c r="A10" s="794"/>
      <c r="B10" s="795"/>
      <c r="C10" s="711" t="str">
        <f>VLOOKUP(L12,Reporte!$N$5:$BN$133,4,FALSE)</f>
        <v xml:space="preserve">Total de actividades cumplidas del plan de seguridad y privacidad de la Información de la STI </v>
      </c>
      <c r="D10" s="711"/>
      <c r="E10" s="711"/>
      <c r="F10" s="799" t="str">
        <f>VLOOKUP(L12,Reporte!$N$5:$BN$133,6,FALSE)</f>
        <v>Este indicador mide el porcentaje el cumplimiento del Plan de Seguridad y Privacidad de la información y Seguridad Digital</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60" customHeight="1" thickBot="1">
      <c r="A12" s="796"/>
      <c r="B12" s="768"/>
      <c r="C12" s="710" t="str">
        <f>VLOOKUP(L12,Reporte!$N$5:$BN$133,5,FALSE)</f>
        <v xml:space="preserve"> Total de actividades definidas en el plan de seguridad y privacidad de la Información de la STI</v>
      </c>
      <c r="D12" s="711"/>
      <c r="E12" s="711"/>
      <c r="F12" s="799"/>
      <c r="G12" s="799"/>
      <c r="H12" s="799"/>
      <c r="I12" s="799"/>
      <c r="J12" s="712" t="str">
        <f>VLOOKUP(L12,Reporte!$N$5:$BN$133,7,FALSE)</f>
        <v>Eficiencia</v>
      </c>
      <c r="K12" s="712"/>
      <c r="L12" s="713" t="s">
        <v>375</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97">
        <f>VLOOKUP(L12,Reporte!$N$5:$BN$133,30,FALSE)</f>
        <v>0</v>
      </c>
      <c r="D22" s="197">
        <f>VLOOKUP(L12,Reporte!$N$5:$BN$133,31,FALSE)</f>
        <v>0</v>
      </c>
      <c r="E22" s="197">
        <f>VLOOKUP(L12,Reporte!$N$5:$BN$133,32,FALSE)</f>
        <v>1</v>
      </c>
      <c r="F22" s="204">
        <f>VLOOKUP(L12,Reporte!$N$5:$BN$133,33,FALSE)</f>
        <v>0</v>
      </c>
      <c r="G22" s="197">
        <f>VLOOKUP(L12,Reporte!$N$5:$BN$133,34,FALSE)</f>
        <v>0</v>
      </c>
      <c r="H22" s="204">
        <f>VLOOKUP(L12,Reporte!$N$5:$BN$133,35,FALSE)</f>
        <v>4</v>
      </c>
      <c r="I22" s="197">
        <f>VLOOKUP(L12,Reporte!$N$5:$BN$133,36,FALSE)</f>
        <v>0</v>
      </c>
      <c r="J22" s="204">
        <f>VLOOKUP(L12,Reporte!$N$5:$BN$133,37,FALSE)</f>
        <v>0</v>
      </c>
      <c r="K22" s="204">
        <f>VLOOKUP(L12,Reporte!$N$5:$BN$133,38,FALSE)</f>
        <v>1</v>
      </c>
      <c r="L22" s="204">
        <f>VLOOKUP(L12,Reporte!$N$5:$BN$133,39,FALSE)</f>
        <v>0</v>
      </c>
      <c r="M22" s="204">
        <f>VLOOKUP(L12,Reporte!$N$5:$BN$133,40,FALSE)</f>
        <v>0</v>
      </c>
      <c r="N22" s="205">
        <f>VLOOKUP(L12,Reporte!$N$5:$BN$133,41,FALSE)</f>
        <v>4</v>
      </c>
      <c r="O22" s="133">
        <f>SUM(C22:N22)</f>
        <v>10</v>
      </c>
      <c r="P22" s="128"/>
    </row>
    <row r="23" spans="1:17" ht="16.5" thickBot="1">
      <c r="A23" s="690" t="s">
        <v>76</v>
      </c>
      <c r="B23" s="691"/>
      <c r="C23" s="198">
        <f>VLOOKUP(L12,Reporte!$N$5:$BN$133,42,FALSE)</f>
        <v>0</v>
      </c>
      <c r="D23" s="198">
        <f>VLOOKUP(L12,Reporte!$N$5:$BN$133,43,FALSE)</f>
        <v>0</v>
      </c>
      <c r="E23" s="198">
        <f>VLOOKUP(L12,Reporte!$N$5:$BN$133,44,FALSE)</f>
        <v>1</v>
      </c>
      <c r="F23" s="198">
        <f>VLOOKUP(L12,Reporte!$N$5:$BN$133,45,FALSE)</f>
        <v>0</v>
      </c>
      <c r="G23" s="198">
        <f>VLOOKUP(L12,Reporte!$N$5:$BN$133,46,FALSE)</f>
        <v>0</v>
      </c>
      <c r="H23" s="198">
        <f>VLOOKUP(L12,Reporte!$N$5:$BN$133,47,FALSE)</f>
        <v>5</v>
      </c>
      <c r="I23" s="198">
        <f>VLOOKUP(L12,Reporte!$N$5:$BN$133,48,FALSE)</f>
        <v>0</v>
      </c>
      <c r="J23" s="198">
        <f>VLOOKUP(L12,Reporte!$N$5:$BN$133,49,FALSE)</f>
        <v>0</v>
      </c>
      <c r="K23" s="198">
        <f>VLOOKUP(L12,Reporte!$N$5:$BN$133,50,FALSE)</f>
        <v>1</v>
      </c>
      <c r="L23" s="198">
        <f>VLOOKUP(L12,Reporte!$N$5:$BN$133,51,FALSE)</f>
        <v>0</v>
      </c>
      <c r="M23" s="198">
        <f>VLOOKUP(L12,Reporte!$N$5:$BN$133,52,FALSE)</f>
        <v>0</v>
      </c>
      <c r="N23" s="206">
        <f>VLOOKUP(L12,Reporte!$N$5:$BN$133,53,FALSE)</f>
        <v>5</v>
      </c>
      <c r="O23" s="133">
        <f>SUM(C23:N23)</f>
        <v>12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0.8</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0.8</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0.83333333333333337</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52.5" customHeight="1" thickBot="1">
      <c r="A45" s="682" t="str">
        <f>VLOOKUP(L12,Reporte!$N$5:$BZ$133,56,FALSE)</f>
        <v xml:space="preserve">Porcentaje de actividades ejecutadas en cumplimiento del Plan de Seguridad y Privacidad de la Información y Seguridad Digital
Para el primer trimestre se tenía programada 1 actividad la cual se cumplió. 
Socialización de lineamientos y Herramienta - Gestión de Riesgos de Seguridad y privacidad de la Información y Seguridad Digital
Evidencia: Se adjunta formato DEFT04 con la gestión realizada y los link con los informes realizados para cada actividad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248.25" customHeight="1" thickBot="1">
      <c r="A51" s="670" t="str">
        <f>VLOOKUP(L12,Reporte!$N$5:$BZ$133,59,FALSE)</f>
        <v>El Modelo de Seguridad y Privacidad de la Información (MSPI) en Colombia es un conjunto de lineamientos y buenas prácticas que deben implementar las entidades públicas para gestionar adecuadamente la seguridad y privacidad de sus activos de información.    
Se basa en estándares internacionales como la ISO/IEC 27001 y está regido principalmente por el Ministerio de Tecnologías de la Información y las Comunicaciones (MinTIC) a través de la Resolución 00500 de 2021 (y sus actualizaciones, como la Resolución 02277 de 2025 que actualiza el MSPI) y el Decreto 338 de 2022.
La implementación del MSPI en una entidad pública colombiana se desarrolla generalmente a través de un ciclo de operación que contempla cuatro fases principales: Planificación, Implantación (o Ejecución), Evaluación de Desempeño (o Monitoreo y Revisión) y Mejora Continua.
Respecto al tema se realiza:
• Identificación y Clasificación de Activos de Información:
o Se actualiza procedimiento de activos de información en la entidad y se socializa el nuevo procedimiento, manual y herramienta de levantamiento de activos.  
o Se inicia con la actualización de activos de información de la entidad.
• Gestión de Riesgos de Seguridad de la Información - Controles:
o Se realiza seguimiento a los planes de tratamiento de riesgos, para verificar el cumplimiento por parte de los procesos de la entidad de las medidas de mitigación y controles definidos.
o Se genera informe de riesgos de seguridad y privacidad de la información, el primero desde la reestructuración de la entidad, en el cual además del seguimiento se dan recomendaciones para mejorar la gestión estos a todos los procesos de la entidad.
o Se cambian las fechas de reporte de riesgos debido al cambio de personal por el concurso de méritos.
o Se socializa el tema de activos de información y riesgos de seguridad y privacidad de la información a los gestores de la entidad para indicarles de que manera se debe abordar la actualización de activos y la actualización de los riesgos y sus planes de tratamiento asociado de cara al segundo semestre de 2025.
• Desarrollo de Políticas y Procedimientos:
o Se inicia actualización de políticas de seguridad de la información.
o Se inicia actualización de políticas de protección de datos.</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124.5" customHeight="1" thickBot="1">
      <c r="A57" s="682" t="str">
        <f>VLOOKUP(L12,Reporte!$N$5:$BZ$133,62,FALSE)</f>
        <v xml:space="preserve">Para el periodo de seguimiento se realizó la actividasd prevista en cronograma, co la cual se busca avanzar en la Arquitectura de seguridad de la información documentada. Desde el Grupo de Seguridad Digital, se adelantas las acciones pertinentes para el diseño e implementación de la arquitectura de seguridad de la Superintednecia Nacional de Salud.
Resumen de los logros más importantes: 
- Del ejercicio realizado se identificó filtración de credenciales en estado vigente. 
- Propuestas de mejora o acciones a implementar en futuras actividades. 
- Priorización en la corrección de las debilidades evidenciadas y aún más cuando se encuentran accesos comprometidos. 
- Posibles impactos a largo plazo de la actividad. 
- Subsanación oportuna de las brechas identificadas reduciendo la posible materialización de incidentes de seguridad. 
Sin embargo, a la fecha se han realizado un total de 6 actividades de las 12 programdas para la vigencia 2025, con lo cual el Grupo buscará completar la actividad que no s epudo realizar durante el mes de junio antes que finalice el año.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e">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e">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11.75" customHeight="1" thickBot="1">
      <c r="A63" s="673" t="str">
        <f>VLOOKUP(L12,Reporte!$N$5:$BZ$133,65,FALSE)</f>
        <v xml:space="preserve">Las actividades ejecutadas para el cumplimiento del Plan de Seguridad y Privacidad de la información corresponden a: ​
1. Alcanzar un nivel de implementación del 80 % del Modelo de Seguridad y Privacidad de la Información (MSPI), fortaleciendo los controles de seguridad y privacidad de la información en la entidad.
2. Identificar  el 100 % de los activos de información de los procesos de la entidad, incluyendo su clasificación y responsables, que sirva de insumo para la gestión de riesgos de seguridad de la información.
3. Avanzar en implementación. Apropiación y madurez operativa del Programa de Gestión de Datos Pesonales
4.Avanzar con el diseño e implementación de la arquitectura de seguridad de la SNS.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Si bien existen 5 líneas dentro de PSyPISD con 12 actividades de las cuales a la fecha se han ejecutado 10 con un incumplimiento en el cronograma previsto para 2025. Se deben tomar acciones para el logro de la meta propuesta para la vigencia. Sin embargo, es importante revisar pues las evidencias adjuntas en junio refieren 4 actividades en el segundo Trimestre, pero el Cronograma de trabajo indica 5 para el periodo de seguimiento con un acumulado de 6 actividades. Por lo anterior se sugiere que el reporte de este indicador se realice de forma numérica en el SharePoint de PAG 2025, se acumulen las actividades realizadas y el denominador sea 12, que es el número total de actividades en las que están divididas las 5 tareas de STI.</v>
      </c>
      <c r="B64" s="677"/>
      <c r="C64" s="677"/>
      <c r="D64" s="677"/>
      <c r="E64" s="677"/>
      <c r="F64" s="677"/>
      <c r="G64" s="677"/>
      <c r="H64" s="677"/>
      <c r="I64" s="677"/>
      <c r="J64" s="677"/>
      <c r="K64" s="677"/>
      <c r="L64" s="677"/>
      <c r="M64" s="677"/>
      <c r="N64" s="677"/>
      <c r="O64" s="678"/>
      <c r="P64" s="128"/>
    </row>
    <row r="65" spans="1:16" ht="43.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1AD6D-D498-417F-8F51-9ECF2DECEF58}">
  <sheetPr codeName="Hoja83"/>
  <dimension ref="A1:Q67"/>
  <sheetViews>
    <sheetView view="pageBreakPreview" topLeftCell="A49" zoomScale="80" zoomScaleNormal="73" zoomScaleSheetLayoutView="80" zoomScalePageLayoutView="55" workbookViewId="0">
      <selection activeCell="A64" sqref="A64:O65"/>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30.75" customHeight="1">
      <c r="A6" s="789" t="s">
        <v>8</v>
      </c>
      <c r="B6" s="790"/>
      <c r="C6" s="711" t="str">
        <f>VLOOKUP(L12,Reporte!$N$5:$BN$133,2,FALSE)</f>
        <v>Porcentaje de actividades ejecutadas en cumplimiento del Plan de Tratamiento de Riesgos de Seguridad y Privacidad de la Información</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Actualizar e implementar el  Plan Estratégico de Tecnologías de la información (PETI)</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4.25" customHeight="1">
      <c r="A10" s="794"/>
      <c r="B10" s="795"/>
      <c r="C10" s="711" t="str">
        <f>VLOOKUP(L12,Reporte!$N$5:$BN$133,4,FALSE)</f>
        <v xml:space="preserve">Total de actividades cumplidas del plan de Tratamientos de Riesgos de seguridad y privacidad de la Información de la STI </v>
      </c>
      <c r="D10" s="711"/>
      <c r="E10" s="711"/>
      <c r="F10" s="799" t="str">
        <f>VLOOKUP(L12,Reporte!$N$5:$BN$133,6,FALSE)</f>
        <v>Este indicador mide el total de actividades realizadas en el cronograma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4.25" customHeight="1" thickBot="1">
      <c r="A12" s="796"/>
      <c r="B12" s="768"/>
      <c r="C12" s="710" t="str">
        <f>VLOOKUP(L12,Reporte!$N$5:$BN$133,5,FALSE)</f>
        <v xml:space="preserve"> Total de actividades definidas en el plan de Tratamientos de Riesgos de seguridad y privacidadad de la Información de la STI</v>
      </c>
      <c r="D12" s="711"/>
      <c r="E12" s="711"/>
      <c r="F12" s="799"/>
      <c r="G12" s="799"/>
      <c r="H12" s="799"/>
      <c r="I12" s="799"/>
      <c r="J12" s="712" t="str">
        <f>VLOOKUP(L12,Reporte!$N$5:$BN$133,7,FALSE)</f>
        <v>Eficiencia</v>
      </c>
      <c r="K12" s="712"/>
      <c r="L12" s="713" t="s">
        <v>380</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v>
      </c>
      <c r="F22" s="139">
        <f>VLOOKUP(L12,Reporte!$N$5:$BN$133,33,FALSE)</f>
        <v>0</v>
      </c>
      <c r="G22" s="132">
        <f>VLOOKUP(L12,Reporte!$N$5:$BN$133,34,FALSE)</f>
        <v>0</v>
      </c>
      <c r="H22" s="139">
        <f>VLOOKUP(L12,Reporte!$N$5:$BN$133,35,FALSE)</f>
        <v>3</v>
      </c>
      <c r="I22" s="132">
        <f>VLOOKUP(L12,Reporte!$N$5:$BN$133,36,FALSE)</f>
        <v>0</v>
      </c>
      <c r="J22" s="139">
        <f>VLOOKUP(L12,Reporte!$N$5:$BN$133,37,FALSE)</f>
        <v>0</v>
      </c>
      <c r="K22" s="139">
        <f>VLOOKUP(L12,Reporte!$N$5:$BN$133,38,FALSE)</f>
        <v>4</v>
      </c>
      <c r="L22" s="139">
        <f>VLOOKUP(L12,Reporte!$N$5:$BN$133,39,FALSE)</f>
        <v>0</v>
      </c>
      <c r="M22" s="139">
        <f>VLOOKUP(L12,Reporte!$N$5:$BN$133,40,FALSE)</f>
        <v>0</v>
      </c>
      <c r="N22" s="133">
        <f>VLOOKUP(L12,Reporte!$N$5:$BN$133,41,FALSE)</f>
        <v>8</v>
      </c>
      <c r="O22" s="133">
        <f>+MAX(C22:N22)</f>
        <v>8</v>
      </c>
      <c r="P22" s="128"/>
    </row>
    <row r="23" spans="1:17" ht="16.5" thickBot="1">
      <c r="A23" s="690" t="s">
        <v>76</v>
      </c>
      <c r="B23" s="691"/>
      <c r="C23" s="140">
        <f>VLOOKUP(L12,Reporte!$N$5:$BN$133,42,FALSE)</f>
        <v>0</v>
      </c>
      <c r="D23" s="140">
        <f>VLOOKUP(L12,Reporte!$N$5:$BN$133,43,FALSE)</f>
        <v>0</v>
      </c>
      <c r="E23" s="140">
        <f>VLOOKUP(L12,Reporte!$N$5:$BN$133,44,FALSE)</f>
        <v>8</v>
      </c>
      <c r="F23" s="140">
        <f>VLOOKUP(L12,Reporte!$N$5:$BN$133,45,FALSE)</f>
        <v>0</v>
      </c>
      <c r="G23" s="140">
        <f>VLOOKUP(L12,Reporte!$N$5:$BN$133,46,FALSE)</f>
        <v>0</v>
      </c>
      <c r="H23" s="140">
        <f>VLOOKUP(L12,Reporte!$N$5:$BN$133,47,FALSE)</f>
        <v>8</v>
      </c>
      <c r="I23" s="140">
        <f>VLOOKUP(L12,Reporte!$N$5:$BN$133,48,FALSE)</f>
        <v>0</v>
      </c>
      <c r="J23" s="140">
        <f>VLOOKUP(L12,Reporte!$N$5:$BN$133,49,FALSE)</f>
        <v>0</v>
      </c>
      <c r="K23" s="140">
        <f>VLOOKUP(L12,Reporte!$N$5:$BN$133,50,FALSE)</f>
        <v>8</v>
      </c>
      <c r="L23" s="140">
        <f>VLOOKUP(L12,Reporte!$N$5:$BN$133,51,FALSE)</f>
        <v>0</v>
      </c>
      <c r="M23" s="140">
        <f>VLOOKUP(L12,Reporte!$N$5:$BN$133,52,FALSE)</f>
        <v>0</v>
      </c>
      <c r="N23" s="141">
        <f>VLOOKUP(L12,Reporte!$N$5:$BN$133,53,FALSE)</f>
        <v>8</v>
      </c>
      <c r="O23" s="133">
        <f>MAX(C23:N23)</f>
        <v>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0.125</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0.375</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0.5</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Porcentaje de actividades ejecutadas en cumplimiento del Plan de Tratamiento de Riesgos de Seguridad y Privacidad de la Información
Para el primer trimestre se tenía programada 1 actividad la cual se cumplió. 
Avanzar en la identificación de activos de información
Evidencia: Se adjunta formato DEFT04 con la gestión realizada y los link con los informes realizados para cada actividad.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81.75" customHeight="1" thickBot="1">
      <c r="A51" s="670" t="str">
        <f>VLOOKUP(L12,Reporte!$N$5:$BZ$133,59,FALSE)</f>
        <v>​Durante el segundo trimestre de 2025, se avanzó en la formulación y actualización del Plan de Tratamiento de Riesgos de Seguridad y Privacidad de la Información, como parte de las acciones estratégicas orientadas a fortalecer el Sistema de Gestión de Seguridad de la Información (SGSI) de la entidad. 
Este plan contempla un conjunto de medidas preventivas, correctivas y de mitigación para gestionar los riesgos identificados, asegurando la confidencialidad, integridad y disponibilidad de la información institucional. 
Asimismo, se priorizaron acciones según el nivel de criticidad de los activos y la probabilidad de ocurrencia de las amenazas, definiendo responsables, plazos y recursos necesarios para su implementación. 
La ejecución de este plan busca garantizar el cumplimiento de la normativa vigente en materia de seguridad digital y protección de datos personales, reducir la exposición a incidentes y fortalecer la confianza de los ciudadanos en el manejo de su información.
Se realizaron las dos actividades programadas para el periodo, dando un acumulado de 3 de 8 previstas para la vigencia.</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Se realiza la actividad progrmada para el periodo de seguimiento, con lo cual se lleva un avance del 50% con respecto a la meta establecida para la vigencia, cumpliendo con la totalidad​ de las actividades establecidas en el cronograma hasta el mes de septiembre, esto se logró a través de:
Sensibilización para la interiorización claves de seguridad, uso seguro de la VPN, seguridad digital y ciberseguridad, protección de la información, cumplimiento de la normativa y tendencias en ciberseguridad. Sensibilización para la interiorización claves de seguridad, uso seguro de la VPN, seguridad digital y ciberseguridad, protección de la información, cumplimiento de la normativa y tendencias en ciberseguridadDesde el Grupo de Seguridad Digital, se adelantas las acciones pertinentes para avanzar en el diseño e implementación de la arquitectura de seguridad de la Superintednecia Nacional de Salud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e">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e">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77.25" customHeight="1" thickBot="1">
      <c r="A63" s="673" t="str">
        <f>VLOOKUP(L12,Reporte!$N$5:$BZ$133,65,FALSE)</f>
        <v xml:space="preserve">Las actividades ejecutadas en el periodo evidencian un avance integral en la gestión de riesgos de seguridad digital y privacidad de la información dentro de la entidad. Se actualizaron lineamientos y políticas clave, se fortaleció la cultura institucional mediante jornadas de sensibilización y capacitación dirigidas a gestores y colaboradores, y se brindó acompañamiento técnico en la identificación, análisis y valoración de riesgos con criticidad moderada, alta y extrema, incluyendo la revisión de controles y la definición de tratamientos. Además, se formalizó la aceptación y aprobación de los riesgos identificados junto con sus planes de mejoramiento, y se publicaron los mapas de riesgos de los procesos, consolidando así un ciclo de gestión más maduro, documentado y alineado con las exigencias de seguridad digital y continuidad operativa.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8 actividades del PTRSyPI, con cumplimiento la meta de establecida para 2025.
Se presentan inconsistencia en los datos reportados que se ajusta teniendo en cuenta la evidencias aportada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420BC-71ED-44E8-AF40-F16D2ACE8386}">
  <sheetPr codeName="Hoja8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DIRECCIONAMIENTO ESTRATÉGICO</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implementación del Sistema de Gestión de Innovación</v>
      </c>
      <c r="D6" s="711"/>
      <c r="E6" s="711"/>
      <c r="F6" s="711"/>
      <c r="G6" s="711"/>
      <c r="H6" s="711"/>
      <c r="I6" s="711"/>
      <c r="J6" s="711"/>
      <c r="K6" s="711"/>
      <c r="L6" s="711"/>
      <c r="M6" s="711"/>
      <c r="N6" s="711"/>
      <c r="O6" s="791"/>
      <c r="P6" s="128"/>
    </row>
    <row r="7" spans="1:17" ht="58.5" customHeight="1">
      <c r="A7" s="789" t="s">
        <v>10</v>
      </c>
      <c r="B7" s="790"/>
      <c r="C7" s="711" t="str">
        <f>VLOOKUP(L12,Reporte!A5:M133,10,FALSE)</f>
        <v>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v>
      </c>
      <c r="D7" s="711"/>
      <c r="E7" s="711"/>
      <c r="F7" s="711"/>
      <c r="G7" s="711"/>
      <c r="H7" s="711"/>
      <c r="I7" s="711"/>
      <c r="J7" s="711"/>
      <c r="K7" s="711"/>
      <c r="L7" s="711"/>
      <c r="M7" s="711"/>
      <c r="N7" s="711"/>
      <c r="O7" s="791"/>
      <c r="P7" s="128"/>
    </row>
    <row r="8" spans="1:17" ht="15.75">
      <c r="A8" s="792" t="s">
        <v>1594</v>
      </c>
      <c r="B8" s="774"/>
      <c r="C8" s="711" t="str">
        <f>VLOOKUP(L12,Reporte!$A$5:$N$133,13,FALSE)</f>
        <v>Ejecutar cronograma de actividades diseñado para fortalecer sistema de Gestión de Innovación de la Superintendencia Nacional de Salud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84.75" customHeight="1">
      <c r="A10" s="794"/>
      <c r="B10" s="795"/>
      <c r="C10" s="711" t="str">
        <f>VLOOKUP(L12,Reporte!$N$5:$BN$133,4,FALSE)</f>
        <v xml:space="preserve">Número de actividades ejecutadas para el fortalecimiento del Sistema de Gestión de Innovación de la Superintendencia Nacional de Salud </v>
      </c>
      <c r="D10" s="711"/>
      <c r="E10" s="711"/>
      <c r="F10" s="799" t="str">
        <f>VLOOKUP(L12,Reporte!$N$5:$BN$133,6,FALSE)</f>
        <v>Este indicador mide el número de productos y/o actividades ejecutadas oportunamente para implementar la Política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84.75" customHeight="1" thickBot="1">
      <c r="A12" s="796"/>
      <c r="B12" s="768"/>
      <c r="C12" s="710" t="str">
        <f>VLOOKUP(L12,Reporte!$N$5:$BN$133,5,FALSE)</f>
        <v xml:space="preserve">  Número de actividades definidas para el fortalecimiento del Sistema de Gestión de Innovación de la Superintendencia Nacional de Salud * 100</v>
      </c>
      <c r="D12" s="711"/>
      <c r="E12" s="711"/>
      <c r="F12" s="799"/>
      <c r="G12" s="799"/>
      <c r="H12" s="799"/>
      <c r="I12" s="799"/>
      <c r="J12" s="712" t="str">
        <f>VLOOKUP(L12,Reporte!$N$5:$BN$133,7,FALSE)</f>
        <v>Eficiencia</v>
      </c>
      <c r="K12" s="712"/>
      <c r="L12" s="713" t="s">
        <v>239</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97">
        <f>VLOOKUP(L12,Reporte!$N$5:$BN$133,30,FALSE)</f>
        <v>0</v>
      </c>
      <c r="D22" s="197">
        <f>VLOOKUP(L12,Reporte!$N$5:$BN$133,31,FALSE)</f>
        <v>0</v>
      </c>
      <c r="E22" s="197">
        <f>VLOOKUP(L12,Reporte!$N$5:$BN$133,32,FALSE)</f>
        <v>15</v>
      </c>
      <c r="F22" s="204">
        <f>VLOOKUP(L12,Reporte!$N$5:$BN$133,33,FALSE)</f>
        <v>0</v>
      </c>
      <c r="G22" s="197">
        <f>VLOOKUP(L12,Reporte!$N$5:$BN$133,34,FALSE)</f>
        <v>0</v>
      </c>
      <c r="H22" s="204">
        <f>VLOOKUP(L12,Reporte!$N$5:$BN$133,35,FALSE)</f>
        <v>50</v>
      </c>
      <c r="I22" s="197">
        <f>VLOOKUP(L12,Reporte!$N$5:$BN$133,36,FALSE)</f>
        <v>0</v>
      </c>
      <c r="J22" s="204">
        <f>VLOOKUP(L12,Reporte!$N$5:$BN$133,37,FALSE)</f>
        <v>0</v>
      </c>
      <c r="K22" s="204">
        <f>VLOOKUP(L12,Reporte!$N$5:$BN$133,38,FALSE)</f>
        <v>75</v>
      </c>
      <c r="L22" s="204">
        <f>VLOOKUP(L12,Reporte!$N$5:$BN$133,39,FALSE)</f>
        <v>0</v>
      </c>
      <c r="M22" s="204">
        <f>VLOOKUP(L12,Reporte!$N$5:$BN$133,40,FALSE)</f>
        <v>0</v>
      </c>
      <c r="N22" s="205">
        <f>VLOOKUP(L12,Reporte!$N$5:$BN$133,41,FALSE)</f>
        <v>5</v>
      </c>
      <c r="O22" s="205">
        <f>MAX(C22:N22)</f>
        <v>75</v>
      </c>
      <c r="P22" s="128"/>
    </row>
    <row r="23" spans="1:17" ht="16.5" thickBot="1">
      <c r="A23" s="690" t="s">
        <v>76</v>
      </c>
      <c r="B23" s="691"/>
      <c r="C23" s="198">
        <f>VLOOKUP(L12,Reporte!$N$5:$BN$133,42,FALSE)</f>
        <v>0</v>
      </c>
      <c r="D23" s="198">
        <f>VLOOKUP(L12,Reporte!$N$5:$BN$133,43,FALSE)</f>
        <v>0</v>
      </c>
      <c r="E23" s="198">
        <f>VLOOKUP(L12,Reporte!$N$5:$BN$133,44,FALSE)</f>
        <v>15</v>
      </c>
      <c r="F23" s="198">
        <f>VLOOKUP(L12,Reporte!$N$5:$BN$133,45,FALSE)</f>
        <v>0</v>
      </c>
      <c r="G23" s="198">
        <f>VLOOKUP(L12,Reporte!$N$5:$BN$133,46,FALSE)</f>
        <v>0</v>
      </c>
      <c r="H23" s="198">
        <f>VLOOKUP(L12,Reporte!$N$5:$BN$133,47,FALSE)</f>
        <v>100</v>
      </c>
      <c r="I23" s="198">
        <f>VLOOKUP(L12,Reporte!$N$5:$BN$133,48,FALSE)</f>
        <v>0</v>
      </c>
      <c r="J23" s="198">
        <f>VLOOKUP(L12,Reporte!$N$5:$BN$133,49,FALSE)</f>
        <v>0</v>
      </c>
      <c r="K23" s="198">
        <f>VLOOKUP(L12,Reporte!$N$5:$BN$133,50,FALSE)</f>
        <v>100</v>
      </c>
      <c r="L23" s="198">
        <f>VLOOKUP(L12,Reporte!$N$5:$BN$133,51,FALSE)</f>
        <v>0</v>
      </c>
      <c r="M23" s="198">
        <f>VLOOKUP(L12,Reporte!$N$5:$BN$133,52,FALSE)</f>
        <v>0</v>
      </c>
      <c r="N23" s="206">
        <f>VLOOKUP(L12,Reporte!$N$5:$BN$133,53,FALSE)</f>
        <v>5</v>
      </c>
      <c r="O23" s="205">
        <f>MAX(C23:N23)</f>
        <v>100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0.5</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0.75</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0.75</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78.75" customHeight="1" thickBot="1">
      <c r="A45" s="682" t="str">
        <f>VLOOKUP(L12,Reporte!$N$5:$BZ$133,56,FALSE)</f>
        <v xml:space="preserve">​Como resultado de la gestión adelantada durante el primer trimestre de la vigencia en curso, y tenieno en cuenta los compromisos adquiridos por la Subdirección de Analítica, se avanzó en: 
1. Diseño, exposición y aprobación por parte del Comité Directivo de la estrategia de transferencia del conocimiento, la cual tiene como objetivo mitigar la fuga del conocimiento con la transición del personal de la entidad; para ser implementada durante este periodo de tiempo de evaluación. 
2. Primera sesión del Equipo Técnico de Apoyo a la Gestión de Inovación y del Conocimiento. 
3. Implementación del formato PEFT52 Transferencia del Conocimiento, para ser diligenciado por parte de todos los colaboradores de la entidad: https://docs.supersalud.gov.co/PortalWeb/planeacion/AdministracionSIG/PEFT52.docx 
4. Elaboración de tablero de control para el análisis de los resultados obtenidos a partir del ejercicio de diligenciamiento del formulario de Transferencia de Conocimiento. 
5. Estructuración de los repositorios de información para cada una de las dependencias y grupos de trabajo, con el fin de consignar los productos finales en éstos.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113.25" customHeight="1" thickBot="1">
      <c r="A51" s="670" t="str">
        <f>VLOOKUP(L12,Reporte!$N$5:$BZ$133,59,FALSE)</f>
        <v xml:space="preserve">​Para el periodo de tiempo reportado, con relación a la implementación de la Política GESCO+I y con relación al cronograma definido, se adelantaron las siguientes acciones: 
Actividades: 
1. Formular estrategias para programa de habilidades blandas para fortalecer la cultura de la innovación
2. Identificar, analizar y evaluar planes, proyectos e ideas que se generen del SGI
3. Fomentar la generación de foros y espacios de innovación abierta con otras entidades y grupos de interés.
Evidencias:
A) Actividades: 1,2 y 3. Durante los meses de mayo y junio, se realizaron WORKSHOPS TERRITORIALES en las Direcciones regionales Andina y Occidente, con el fin de identificar técnicamente necesidades y proyectos que aporten a la innovación, así como capacitar y fortalecer habilidades sobre innovación y gestión del conocimiento. Se adjunta presentación con los resultados y análisis.
B) Actividad 3: Durante el mes de junio se adelantó acercamiento con el HUBiEX de la Universidad el Bosque, en el marco del MOU que se tiene con esta organización. Lo anterior, para dar inicio a un proyecto que le permita a la entidad automatizar el proceso de PQRS mediante Inteligencia Artificial. Se adjunta video SUPERMAGZINE en el cual se refleja esta actividad. 
C) Adicionalmente, se implementó estrategia de Gestión del Conocimiento con el fin de mitigar la fuga del conocimiento. Se crearon repositorios de información (link adjunto) yse creó el primer mapa del conocimiento de la entidad. Teniendo en cuenta que la información contenida en este espacio tiene una clasificación y reserva no se puede adjuntar, para verificar la información se puede administrar acceso posterior a la solicitud.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​Para el periodo de tiempo evaluado, se adelantaron las siguientes actividades: 
1. Se gestionó alianza con SENATIC, como iniciativa para formación de los funcionarios de la Supersalud en temas de tecnologías, analítica de datos, inteligencia artificial y habilidades blandas. Esta colaboración se gestionó con el MINTIC, OIT y el SENA. 
2. Se celebró la tercera sesión del Equipo Técnico de Apoyo a la Gestión de Innovación y del Conocimiento, en la cual se presentaron proyectos para continuar con la ejecución de los mismos (SENATIC, Presentación resultados workshop en territorio, Estrategia de Gestión de Proyectos, Adquisición del Sello de Buenas Prácticas), los cuales fueron aprobados y avalados para contiuar con su ejecución. 
3. Se diseñó el Programa de Gestión del Conocimiento.
4. Se generó documento final en compañía con la Oficina Asesora de Planeación relacionado con las brechas del FURAG.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310.5" customHeight="1" thickBot="1">
      <c r="A63" s="673" t="str">
        <f>VLOOKUP(L12,Reporte!$N$5:$BZ$133,65,FALSE)</f>
        <v>​Para el periodo reportado, se avanzaron en las siguientes actividades: 
1. Se avanzó En el marco del Sistema de Gestión de Innovación, se retomó la relación con SENATIC – una iniciativa entre MINTIC1 / OIT2/ SENA3 potenciar la formación por competencias en tecnologías de la información y contribuir al cierre de la brecha digital en el país.
Este es un programa de formación en diversos temas tecnológicos, digitales y con aptitudes blandas,
que busca fortalecer las competencias de los funcionarios de la Superintendencia Nacional de Salud  en temáticas como:
1. Tecnologías Emergentes.
2. Experiencia Digital.
3. Gestión de Proyectos.
4. Introducción a las tecnologías.
5. Lenguaje de programación
Durante el mes de septiembre se sostuvo la primera mesa de trabajo con la representante de esta alianza, la Dirección de Innovación y Desarrollo y la Dirección de Talento Humano vía TEAMS.
El día 11 de noviembre se hizo el lanzamiento oficial en la sede principal de la Superintendencia y se hizo socialización por medio del correo electrónico, SUPERBOLETÍN
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"BANCO DE PROYECTOS" para la vigencia 2026. Con esta actividad se abarcan también las siguientes actividades planteadas: Generar estrategia de cierre de brechas de necesidades del conocimiento alineadas a la metodología de función pública yGenerar estrategia de capacitación y sensibilización en gestión del conocimiento
3. Durante el segundo semestre de la presente vigencia, en compañía de la Oficina Asesora de Planeación se gestionó la identifcación de brechas y elaboración de cronograma de actividades para hacer el cierre de éstas, es importante mencionar que la ejecución de las mismas se ha venido desarrollando conforme a lo programado.
4. En el marco de las acciones diseñadas y ejecutadas para mitigar la fuga de conocimiento en la transición de persona, desde la Dirección de Innovación y Desarrollo se estructuraron y pusieron a dispoción de la entidad los REPOSITORIOS DE INFORMACIÓN INSTITUCIONALES para estandarizar un poco el control y accesibilidad de la información producida por las dependencias de la entidad: https://supersalud.sharepoint.com/teams/Gestiondelconocimiento/Shared%20Documents/Forms/AllItems.aspx
5.Los días 24 y 25 de octubre, la Supersalud adelantó la segunda versión de la Hackaton 2025 con el apoyo de la UNICAFAM en la cual se fomentó un espacio de Innovación Abierta y creación de soluciones.</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El reporte de datos presenta inconsistencia, toda vez que debía reportarse el avance porcentual acumulado, de forma tal que se pueda evidenciar el porcentaje de implementación del Sistema de Gestión de Innovación, Se anexa un Borrador de un Programa de Gestión del Conocimiento y la innovación que no usa adecuadamente membretes de referencia de SIG.
Se presentan inconsistencia en los datos reportados que se ajusta teniendo en cuenta la evidencias aportada en el SharePoint de PAG 2025. Se indica que se cumplió el 100% de las actividades que según cronograma son 19, se reportar el dato pero no es posible validarlo</v>
      </c>
      <c r="B64" s="677"/>
      <c r="C64" s="677"/>
      <c r="D64" s="677"/>
      <c r="E64" s="677"/>
      <c r="F64" s="677"/>
      <c r="G64" s="677"/>
      <c r="H64" s="677"/>
      <c r="I64" s="677"/>
      <c r="J64" s="677"/>
      <c r="K64" s="677"/>
      <c r="L64" s="677"/>
      <c r="M64" s="677"/>
      <c r="N64" s="677"/>
      <c r="O64" s="678"/>
      <c r="P64" s="128"/>
    </row>
    <row r="65" spans="1:16" ht="45.7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637E-048B-4F9C-B92A-AF0602750D2F}">
  <sheetPr codeName="Hoja8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DIRECCIONAMIENTO ESTRATÉGICO</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Programa de Gestión del Conocimiento diseñado</v>
      </c>
      <c r="D6" s="711"/>
      <c r="E6" s="711"/>
      <c r="F6" s="711"/>
      <c r="G6" s="711"/>
      <c r="H6" s="711"/>
      <c r="I6" s="711"/>
      <c r="J6" s="711"/>
      <c r="K6" s="711"/>
      <c r="L6" s="711"/>
      <c r="M6" s="711"/>
      <c r="N6" s="711"/>
      <c r="O6" s="791"/>
      <c r="P6" s="128"/>
    </row>
    <row r="7" spans="1:17" ht="58.5" customHeight="1">
      <c r="A7" s="789" t="s">
        <v>10</v>
      </c>
      <c r="B7" s="790"/>
      <c r="C7" s="711" t="str">
        <f>VLOOKUP(L12,Reporte!A5:M133,10,FALSE)</f>
        <v>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v>
      </c>
      <c r="D7" s="711"/>
      <c r="E7" s="711"/>
      <c r="F7" s="711"/>
      <c r="G7" s="711"/>
      <c r="H7" s="711"/>
      <c r="I7" s="711"/>
      <c r="J7" s="711"/>
      <c r="K7" s="711"/>
      <c r="L7" s="711"/>
      <c r="M7" s="711"/>
      <c r="N7" s="711"/>
      <c r="O7" s="791"/>
      <c r="P7" s="128"/>
    </row>
    <row r="8" spans="1:17" ht="36" customHeight="1">
      <c r="A8" s="792" t="s">
        <v>1594</v>
      </c>
      <c r="B8" s="774"/>
      <c r="C8" s="711" t="str">
        <f>VLOOKUP(L12,Reporte!$A$5:$N$133,13,FALSE)</f>
        <v xml:space="preserve">Diseñar el programa de gestión del conocimiento: Ejecutando el cronograma de actividades para la implementación y sostenibilidad de la política de gestión y desempeño de Gestión del Conocimiento y la Innovación: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Avance en el programa de Gestión del Conocimiento diseñado</v>
      </c>
      <c r="D10" s="711"/>
      <c r="E10" s="711"/>
      <c r="F10" s="799" t="str">
        <f>VLOOKUP(L12,Reporte!$N$5:$BN$133,6,FALSE)</f>
        <v>Este indicador mide el número de actividades realizadas para el relacionamiento interinstitucional entre la Superintendencia Nacional de Salud</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358</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v>
      </c>
      <c r="D15" s="826"/>
      <c r="E15" s="827"/>
      <c r="F15" s="740" t="str">
        <f>VLOOKUP(L12,Reporte!$N$5:$BN$133,9,FALSE)</f>
        <v>Semestral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81">
        <f>VLOOKUP(L12,Reporte!$N$5:$BN$133,30,FALSE)</f>
        <v>0</v>
      </c>
      <c r="D22" s="181">
        <f>VLOOKUP(L12,Reporte!$N$5:$BN$133,31,FALSE)</f>
        <v>0</v>
      </c>
      <c r="E22" s="181">
        <f>VLOOKUP(L12,Reporte!$N$5:$BN$133,32,FALSE)</f>
        <v>0.5</v>
      </c>
      <c r="F22" s="182">
        <f>VLOOKUP(L12,Reporte!$N$5:$BN$133,33,FALSE)</f>
        <v>0</v>
      </c>
      <c r="G22" s="181">
        <f>VLOOKUP(L12,Reporte!$N$5:$BN$133,34,FALSE)</f>
        <v>0</v>
      </c>
      <c r="H22" s="182">
        <f>VLOOKUP(L12,Reporte!$N$5:$BN$133,35,FALSE)</f>
        <v>1</v>
      </c>
      <c r="I22" s="181">
        <f>VLOOKUP(L12,Reporte!$N$5:$BN$133,36,FALSE)</f>
        <v>0</v>
      </c>
      <c r="J22" s="182">
        <f>VLOOKUP(L12,Reporte!$N$5:$BN$133,37,FALSE)</f>
        <v>0</v>
      </c>
      <c r="K22" s="182">
        <f>VLOOKUP(L12,Reporte!$N$5:$BN$133,38,FALSE)</f>
        <v>0</v>
      </c>
      <c r="L22" s="182">
        <f>VLOOKUP(L12,Reporte!$N$5:$BN$133,39,FALSE)</f>
        <v>0</v>
      </c>
      <c r="M22" s="182">
        <f>VLOOKUP(L12,Reporte!$N$5:$BN$133,40,FALSE)</f>
        <v>0</v>
      </c>
      <c r="N22" s="183">
        <f>VLOOKUP(L12,Reporte!$N$5:$BN$133,41,FALSE)</f>
        <v>0</v>
      </c>
      <c r="O22" s="183">
        <f>MAX(C22:N22)</f>
        <v>1</v>
      </c>
      <c r="P22" s="128"/>
    </row>
    <row r="23" spans="1:17" ht="16.5" thickBot="1">
      <c r="A23" s="690" t="s">
        <v>76</v>
      </c>
      <c r="B23" s="691"/>
      <c r="C23" s="184">
        <f>VLOOKUP(L12,Reporte!$N$5:$BN$133,42,FALSE)</f>
        <v>0</v>
      </c>
      <c r="D23" s="184">
        <f>VLOOKUP(L12,Reporte!$N$5:$BN$133,43,FALSE)</f>
        <v>0</v>
      </c>
      <c r="E23" s="184">
        <f>VLOOKUP(L12,Reporte!$N$5:$BN$133,44,FALSE)</f>
        <v>0</v>
      </c>
      <c r="F23" s="184">
        <f>VLOOKUP(L12,Reporte!$N$5:$BN$133,45,FALSE)</f>
        <v>0</v>
      </c>
      <c r="G23" s="184">
        <f>VLOOKUP(L12,Reporte!$N$5:$BN$133,46,FALSE)</f>
        <v>0</v>
      </c>
      <c r="H23" s="184">
        <f>VLOOKUP(L12,Reporte!$N$5:$BN$133,47,FALSE)</f>
        <v>1</v>
      </c>
      <c r="I23" s="184">
        <f>VLOOKUP(L12,Reporte!$N$5:$BN$133,48,FALSE)</f>
        <v>0</v>
      </c>
      <c r="J23" s="184">
        <f>VLOOKUP(L12,Reporte!$N$5:$BN$133,49,FALSE)</f>
        <v>0</v>
      </c>
      <c r="K23" s="184">
        <f>VLOOKUP(L12,Reporte!$N$5:$BN$133,50,FALSE)</f>
        <v>0</v>
      </c>
      <c r="L23" s="184">
        <f>VLOOKUP(L12,Reporte!$N$5:$BN$133,51,FALSE)</f>
        <v>0</v>
      </c>
      <c r="M23" s="184">
        <f>VLOOKUP(L12,Reporte!$N$5:$BN$133,52,FALSE)</f>
        <v>0</v>
      </c>
      <c r="N23" s="185">
        <f>VLOOKUP(L12,Reporte!$N$5:$BN$133,53,FALSE)</f>
        <v>0</v>
      </c>
      <c r="O23" s="183">
        <f>MAX(C23:N23)</f>
        <v>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v>
      </c>
      <c r="D26" s="207">
        <f>+C26*0.98</f>
        <v>0.98</v>
      </c>
      <c r="E26" s="147"/>
      <c r="F26" s="147"/>
      <c r="G26" s="685"/>
      <c r="H26" s="685"/>
      <c r="I26" s="699"/>
      <c r="J26" s="699"/>
      <c r="K26" s="699"/>
      <c r="L26" s="685"/>
      <c r="M26" s="685"/>
      <c r="N26" s="685"/>
      <c r="O26" s="701"/>
      <c r="P26" s="148"/>
      <c r="Q26" s="149"/>
    </row>
    <row r="27" spans="1:17" s="127" customFormat="1" ht="15">
      <c r="A27" s="145" t="s">
        <v>95</v>
      </c>
      <c r="B27" s="161">
        <f>+D22</f>
        <v>0</v>
      </c>
      <c r="C27" s="161">
        <f>+C26</f>
        <v>1</v>
      </c>
      <c r="D27" s="207">
        <f>+D26</f>
        <v>0.98</v>
      </c>
      <c r="E27" s="147"/>
      <c r="F27" s="147"/>
      <c r="G27" s="685"/>
      <c r="H27" s="685"/>
      <c r="I27" s="685"/>
      <c r="J27" s="685"/>
      <c r="K27" s="147"/>
      <c r="L27" s="685"/>
      <c r="M27" s="685"/>
      <c r="N27" s="685"/>
      <c r="O27" s="701"/>
      <c r="P27" s="148"/>
      <c r="Q27" s="149"/>
    </row>
    <row r="28" spans="1:17" s="127" customFormat="1" ht="15">
      <c r="A28" s="145" t="s">
        <v>96</v>
      </c>
      <c r="B28" s="161">
        <f>+E22</f>
        <v>0.5</v>
      </c>
      <c r="C28" s="161">
        <f t="shared" ref="C28:D37" si="0">+C27</f>
        <v>1</v>
      </c>
      <c r="D28" s="207">
        <f t="shared" si="0"/>
        <v>0.98</v>
      </c>
      <c r="E28" s="147"/>
      <c r="F28" s="147"/>
      <c r="G28" s="685"/>
      <c r="H28" s="685"/>
      <c r="I28" s="685"/>
      <c r="J28" s="685"/>
      <c r="K28" s="147"/>
      <c r="L28" s="685"/>
      <c r="M28" s="685"/>
      <c r="N28" s="685"/>
      <c r="O28" s="701"/>
      <c r="P28" s="148"/>
      <c r="Q28" s="149"/>
    </row>
    <row r="29" spans="1:17" s="127" customFormat="1" ht="15">
      <c r="A29" s="145" t="s">
        <v>97</v>
      </c>
      <c r="B29" s="161">
        <f>+F22</f>
        <v>0</v>
      </c>
      <c r="C29" s="161">
        <f t="shared" si="0"/>
        <v>1</v>
      </c>
      <c r="D29" s="207">
        <f t="shared" si="0"/>
        <v>0.98</v>
      </c>
      <c r="E29" s="147"/>
      <c r="F29" s="147"/>
      <c r="G29" s="685"/>
      <c r="H29" s="685"/>
      <c r="I29" s="685"/>
      <c r="J29" s="685"/>
      <c r="K29" s="147"/>
      <c r="L29" s="685"/>
      <c r="M29" s="685"/>
      <c r="N29" s="685"/>
      <c r="O29" s="701"/>
      <c r="P29" s="148"/>
      <c r="Q29" s="149"/>
    </row>
    <row r="30" spans="1:17" s="127" customFormat="1" ht="15">
      <c r="A30" s="145" t="s">
        <v>98</v>
      </c>
      <c r="B30" s="161">
        <f>+G22</f>
        <v>0</v>
      </c>
      <c r="C30" s="161">
        <f t="shared" si="0"/>
        <v>1</v>
      </c>
      <c r="D30" s="207">
        <f t="shared" si="0"/>
        <v>0.98</v>
      </c>
      <c r="E30" s="147"/>
      <c r="F30" s="147"/>
      <c r="G30" s="685"/>
      <c r="H30" s="685"/>
      <c r="I30" s="685"/>
      <c r="J30" s="685"/>
      <c r="K30" s="147"/>
      <c r="L30" s="685"/>
      <c r="M30" s="685"/>
      <c r="N30" s="685"/>
      <c r="O30" s="701"/>
      <c r="P30" s="148"/>
      <c r="Q30" s="149"/>
    </row>
    <row r="31" spans="1:17" s="127" customFormat="1" ht="15">
      <c r="A31" s="145" t="s">
        <v>99</v>
      </c>
      <c r="B31" s="161">
        <f>+H22</f>
        <v>1</v>
      </c>
      <c r="C31" s="161">
        <f t="shared" si="0"/>
        <v>1</v>
      </c>
      <c r="D31" s="207">
        <f t="shared" si="0"/>
        <v>0.98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1</v>
      </c>
      <c r="D32" s="207">
        <f t="shared" si="0"/>
        <v>0.98</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v>
      </c>
      <c r="D33" s="207">
        <f t="shared" si="0"/>
        <v>0.98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v>
      </c>
      <c r="D34" s="207">
        <f t="shared" si="0"/>
        <v>0.98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v>
      </c>
      <c r="D35" s="207">
        <f t="shared" si="0"/>
        <v>0.98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v>
      </c>
      <c r="D36" s="207">
        <f t="shared" si="0"/>
        <v>0.98</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1</v>
      </c>
      <c r="D37" s="207">
        <f t="shared" si="0"/>
        <v>0.98</v>
      </c>
      <c r="E37" s="147"/>
      <c r="F37" s="147"/>
      <c r="G37" s="147"/>
      <c r="H37" s="147"/>
      <c r="I37" s="147"/>
      <c r="J37" s="147"/>
      <c r="K37" s="147"/>
      <c r="L37" s="685"/>
      <c r="M37" s="685"/>
      <c r="N37" s="685"/>
      <c r="O37" s="701"/>
      <c r="P37" s="148"/>
      <c r="Q37" s="149"/>
    </row>
    <row r="38" spans="1:17" s="127" customFormat="1" ht="15.75" thickBot="1">
      <c r="A38" s="152" t="s">
        <v>106</v>
      </c>
      <c r="B38" s="164">
        <f>+O22</f>
        <v>1</v>
      </c>
      <c r="C38" s="164">
        <f>+C37</f>
        <v>1</v>
      </c>
      <c r="D38" s="208">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78.75" customHeight="1" thickBot="1">
      <c r="A45" s="682" t="str">
        <f>VLOOKUP(L12,Reporte!$N$5:$BZ$133,56,FALSE)</f>
        <v xml:space="preserve">Durante el periodo reportado, se avanzó significativamente en el diseño del Programa de Gestión del Conocimiento y de la Innovación para la vigencia 2025, el cual constituye uno de los componentes estratégicos de la Superintendencia Nacional de Salud. Este instrumento articula de manera estructurada las acciones orientadas a la implementación y sostenibilidad de la política de gestión y desempeño institucional en materia de conocimiento e innovación.
Este programa incluye líneas de acción concretas relacionadas con procesos de capacitación técnica y misional, estrategias orientadas al fortalecimiento del desempeño institucional en el marco de la medición FURAG, la formulación y seguimiento de indicadores de innovación, así como el desarrollo de actividades para la articulación interdependencias. Además, se han identificado temáticas prioritarias para la formulación de proyectos que permitan movilizar capacidades internas y aprovechar el conocimiento existente, contribuyendo de forma directa a la mejora continua de la gestión pública en salud.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​Durante el primer semestre se avanzó en la elaboración y formulación de un Programa de Gestión del Conocimiento, el cual busca alinear todas las iniciativas, acciones y proyectos que la Superintendencia Nacional de Salud debe seguir adelantando para la implementación de la Política GESCO+I. Éste se encuentra en validación.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e">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e">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e">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reporta un avance del 100% con respecto a la meta anual, con cumplimiento la meta para 2025. Sin embargo no es posible verificar las evidencias pues no es viable el enlace.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9DF51-8445-45E5-A998-41375A97AC48}">
  <sheetPr codeName="Hoja86"/>
  <dimension ref="A1:Q67"/>
  <sheetViews>
    <sheetView view="pageBreakPreview" topLeftCell="A56" zoomScale="80" zoomScaleNormal="73" zoomScaleSheetLayoutView="80" zoomScalePageLayoutView="55" workbookViewId="0">
      <selection activeCell="A63" sqref="A63:O63"/>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DIRECCIONAMIENTO ESTRATÉGICO</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Implementación del Programa de Gestión del Conocimiento</v>
      </c>
      <c r="D6" s="711"/>
      <c r="E6" s="711"/>
      <c r="F6" s="711"/>
      <c r="G6" s="711"/>
      <c r="H6" s="711"/>
      <c r="I6" s="711"/>
      <c r="J6" s="711"/>
      <c r="K6" s="711"/>
      <c r="L6" s="711"/>
      <c r="M6" s="711"/>
      <c r="N6" s="711"/>
      <c r="O6" s="791"/>
      <c r="P6" s="128"/>
    </row>
    <row r="7" spans="1:17" ht="58.5" customHeight="1">
      <c r="A7" s="789" t="s">
        <v>10</v>
      </c>
      <c r="B7" s="790"/>
      <c r="C7" s="711" t="str">
        <f>VLOOKUP(L12,Reporte!A5:M133,10,FALSE)</f>
        <v>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v>
      </c>
      <c r="D7" s="711"/>
      <c r="E7" s="711"/>
      <c r="F7" s="711"/>
      <c r="G7" s="711"/>
      <c r="H7" s="711"/>
      <c r="I7" s="711"/>
      <c r="J7" s="711"/>
      <c r="K7" s="711"/>
      <c r="L7" s="711"/>
      <c r="M7" s="711"/>
      <c r="N7" s="711"/>
      <c r="O7" s="791"/>
      <c r="P7" s="128"/>
    </row>
    <row r="8" spans="1:17" ht="30" customHeight="1">
      <c r="A8" s="792" t="s">
        <v>1594</v>
      </c>
      <c r="B8" s="774"/>
      <c r="C8" s="711" t="str">
        <f>VLOOKUP(L12,Reporte!$A$5:$N$133,13,FALSE)</f>
        <v>Ejecutar cronograma de actividades para la implementación y sostenibilidad de la política de gestión y desempeño de Gestión del Conocimiento y la Innovación: implementar el programa de gestión del conocimiento.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8.25" customHeight="1">
      <c r="A10" s="794"/>
      <c r="B10" s="795"/>
      <c r="C10" s="711" t="str">
        <f>VLOOKUP(L12,Reporte!$N$5:$BN$133,4,FALSE)</f>
        <v xml:space="preserve">Número de actividades ejecutadas para la implementación del Programa de Gestión del Conocimiento </v>
      </c>
      <c r="D10" s="711"/>
      <c r="E10" s="711"/>
      <c r="F10" s="799" t="str">
        <f>VLOOKUP(L12,Reporte!$N$5:$BN$133,6,FALSE)</f>
        <v>Mide la Implementación del Programa de Gestión del Conocimiento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8" customHeight="1" thickBot="1">
      <c r="A12" s="796"/>
      <c r="B12" s="768"/>
      <c r="C12" s="710" t="str">
        <f>VLOOKUP(L12,Reporte!$N$5:$BN$133,5,FALSE)</f>
        <v xml:space="preserve">  Número de actividades definidas para la implementación en la vigencia 2025 Programa de Gestión del Conocimiento *100</v>
      </c>
      <c r="D12" s="711"/>
      <c r="E12" s="711"/>
      <c r="F12" s="799"/>
      <c r="G12" s="799"/>
      <c r="H12" s="799"/>
      <c r="I12" s="799"/>
      <c r="J12" s="712" t="str">
        <f>VLOOKUP(L12,Reporte!$N$5:$BN$133,7,FALSE)</f>
        <v>Eficiencia</v>
      </c>
      <c r="K12" s="712"/>
      <c r="L12" s="713" t="s">
        <v>1306</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99">
        <f>VLOOKUP(L12,Reporte!$N$5:$BN$133,30,FALSE)</f>
        <v>0</v>
      </c>
      <c r="D22" s="199">
        <f>VLOOKUP(L12,Reporte!$N$5:$BN$133,31,FALSE)</f>
        <v>0</v>
      </c>
      <c r="E22" s="199">
        <f>VLOOKUP(L12,Reporte!$N$5:$BN$133,32,FALSE)</f>
        <v>0</v>
      </c>
      <c r="F22" s="200">
        <f>VLOOKUP(L12,Reporte!$N$5:$BN$133,33,FALSE)</f>
        <v>0</v>
      </c>
      <c r="G22" s="199">
        <f>VLOOKUP(L12,Reporte!$N$5:$BN$133,34,FALSE)</f>
        <v>0</v>
      </c>
      <c r="H22" s="200">
        <f>VLOOKUP(L12,Reporte!$N$5:$BN$133,35,FALSE)</f>
        <v>0</v>
      </c>
      <c r="I22" s="199">
        <f>VLOOKUP(L12,Reporte!$N$5:$BN$133,36,FALSE)</f>
        <v>0</v>
      </c>
      <c r="J22" s="200">
        <f>VLOOKUP(L12,Reporte!$N$5:$BN$133,37,FALSE)</f>
        <v>0</v>
      </c>
      <c r="K22" s="200">
        <f>VLOOKUP(L12,Reporte!$N$5:$BN$133,38,FALSE)</f>
        <v>0.5</v>
      </c>
      <c r="L22" s="200">
        <f>VLOOKUP(L12,Reporte!$N$5:$BN$133,39,FALSE)</f>
        <v>0</v>
      </c>
      <c r="M22" s="200">
        <f>VLOOKUP(L12,Reporte!$N$5:$BN$133,40,FALSE)</f>
        <v>0</v>
      </c>
      <c r="N22" s="201">
        <f>VLOOKUP(L12,Reporte!$N$5:$BN$133,41,FALSE)</f>
        <v>1</v>
      </c>
      <c r="O22" s="201">
        <f>MAX(C22:N22)</f>
        <v>1</v>
      </c>
      <c r="P22" s="128"/>
    </row>
    <row r="23" spans="1:17" ht="16.5" thickBot="1">
      <c r="A23" s="690" t="s">
        <v>76</v>
      </c>
      <c r="B23" s="691"/>
      <c r="C23" s="202">
        <f>VLOOKUP(L12,Reporte!$N$5:$BN$133,42,FALSE)</f>
        <v>0</v>
      </c>
      <c r="D23" s="202">
        <f>VLOOKUP(L12,Reporte!$N$5:$BN$133,43,FALSE)</f>
        <v>0</v>
      </c>
      <c r="E23" s="202">
        <f>VLOOKUP(L12,Reporte!$N$5:$BN$133,44,FALSE)</f>
        <v>0</v>
      </c>
      <c r="F23" s="202">
        <f>VLOOKUP(L12,Reporte!$N$5:$BN$133,45,FALSE)</f>
        <v>0</v>
      </c>
      <c r="G23" s="202">
        <f>VLOOKUP(L12,Reporte!$N$5:$BN$133,46,FALSE)</f>
        <v>0</v>
      </c>
      <c r="H23" s="202">
        <f>VLOOKUP(L12,Reporte!$N$5:$BN$133,47,FALSE)</f>
        <v>0</v>
      </c>
      <c r="I23" s="202">
        <f>VLOOKUP(L12,Reporte!$N$5:$BN$133,48,FALSE)</f>
        <v>0</v>
      </c>
      <c r="J23" s="202">
        <f>VLOOKUP(L12,Reporte!$N$5:$BN$133,49,FALSE)</f>
        <v>0</v>
      </c>
      <c r="K23" s="202">
        <f>VLOOKUP(L12,Reporte!$N$5:$BN$133,50,FALSE)</f>
        <v>1</v>
      </c>
      <c r="L23" s="202">
        <f>VLOOKUP(L12,Reporte!$N$5:$BN$133,51,FALSE)</f>
        <v>0</v>
      </c>
      <c r="M23" s="202">
        <f>VLOOKUP(L12,Reporte!$N$5:$BN$133,52,FALSE)</f>
        <v>0</v>
      </c>
      <c r="N23" s="203">
        <f>VLOOKUP(L12,Reporte!$N$5:$BN$133,53,FALSE)</f>
        <v>1</v>
      </c>
      <c r="O23" s="201">
        <f>MAX(C23:N23)</f>
        <v>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0.5</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81.75" customHeight="1" thickBot="1">
      <c r="A57" s="682" t="str">
        <f>VLOOKUP(L12,Reporte!$N$5:$BZ$133,62,FALSE)</f>
        <v xml:space="preserve">​Para la implementación del Programa de Gestión del Conocimiento, se avanzó en el envío a la Oficina Asesora de Planeación de una serie de documentos para formalizar este proceso. En el correo adjunto se puede evidenciar las solicitudes y documentos anexados.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306" customHeight="1" thickBot="1">
      <c r="A63" s="673" t="str">
        <f>VLOOKUP(L12,Reporte!$N$5:$BZ$133,65,FALSE)</f>
        <v xml:space="preserve">​Para el periodo de tiempo reportado, se avanzó en lo siguiente:
1. Para este indicador se avanzó En el marco del Sistema de Gestión de Innovación, se retomó la relación con SENATIC – una iniciativa entre MINTIC1 / OIT2/ SENA3 potenciar la formación por competencias en tecnologías de la información y contribuir al cierre de la brecha digital en el país.
Este es un programa de formación en diversos temas tecnológicos, digitales y con aptitudes blandas,
que busca fortalecer las competencias de los funcionarios de la Superintendencia Nacional de Salud  en temáticas como:
1. Tecnologías Emergentes.
2. Experiencia Digital.
3. Gestión de Proyectos.
4. Introducción a las tecnologías.
5. Lenguaje de programación
Durante el mes de septiembre se sostuvo la primera mesa de trabajo con la representante de esta alianza, la Dirección de Innovación y Desarrollo y la Dirección de Talento Humano vía TEAMS: SENATIC
El día 11 de noviembre se hizo el lanzamiento oficial en la sede principal de la Superintendencia y se hizo socialización por medio del correo electrónico, SUPERBOLETÍN.
2. Durante los meses de abril, mayo, septiembre, octubre, noviembre y diciembre se ejecutó la ESTRATEGIA TERRITORIAL denominada WORKSHOPS TERRITORIALES, en la cual se visitaron a ocho (8) direcciones regionales adelantando talleres prácticos y vivenciales con el fin de identificar necesidades territoriales y así mismo co-crear posibles soluciones las cuales se transformarán en proyectos para generar un "BANCO DE PROYECTOS" para la vigencia 2026: INFORME WORKSHOP INNOVACIÓN EN TERRITORIOS 2025.pptx
3. Los días 24 y 25 de octubre, la Supersalud adelantó la segunda versión de la Hackaton 2025 con el apoyo de la UNICAFAM en la cual se fomentó un espacio de Innovación Abierta y creación de soluciones. HACKATON 2025
4. Se ejecutó la primera semana de la Innovación en la Supersalud durante los días 1,2 y 3 de diciembre.
5. Se creó y formalizó el Manual de Innovación de ls Supersalud.(se adjunta en word, toda vez que a la fecha de este reporte elportal web de la entidad presenta fallas en su funcionamiento y no permite descargar el documento directamente)
6. Se realizaron los primeros "CAFÉ CON CONEXIÓN" como estrategia de interrelacionamiento institucional e identificación del conocimiento tácito de la entidad.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 xml:space="preserve">OBSERVACIONES: Se reporto el cumplimiento del 100% del Sistema de Gestión de innovación, relacionando un total de no se evidencia un cronograma de actividades que permita verificar el avance en la implementación del “Programa de Gestión del conocimiento”. </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C9A3E-F18B-40F9-AF4B-9B5D3AC576C0}">
  <sheetPr codeName="Hoja8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31.5" customHeight="1">
      <c r="A6" s="789" t="s">
        <v>8</v>
      </c>
      <c r="B6" s="790"/>
      <c r="C6" s="711" t="str">
        <f>VLOOKUP(L12,Reporte!$N$5:$BN$133,2,FALSE)</f>
        <v>Actividades correspondientes para realizar la convocatoria que permita fortalecer y actualizar el registro de agentes Liquidadores, Interventores y Contralores - RILCO</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Realizar convocatoria RILCO</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103.5" customHeight="1">
      <c r="A10" s="794"/>
      <c r="B10" s="795"/>
      <c r="C10" s="711" t="str">
        <f>VLOOKUP(L12,Reporte!$N$5:$BN$133,4,FALSE)</f>
        <v>Número de  actividades ejecutadas para realizar la convocatoria que permita fortalecer y actualizar el registro de agentes Liquidadores, Interventores y Contralores - RILCO</v>
      </c>
      <c r="D10" s="711"/>
      <c r="E10" s="711"/>
      <c r="F10" s="799" t="str">
        <f>VLOOKUP(L12,Reporte!$N$5:$BN$133,6,FALSE)</f>
        <v>Este indicador mide el número de actividades para la estructuración de RILCO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1313</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1</v>
      </c>
      <c r="D15" s="826"/>
      <c r="E15" s="827"/>
      <c r="F15" s="740" t="str">
        <f>VLOOKUP(L12,Reporte!$N$5:$BN$133,9,FALSE)</f>
        <v>Semestral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81">
        <f>VLOOKUP(L12,Reporte!$N$5:$BN$133,30,FALSE)</f>
        <v>0</v>
      </c>
      <c r="D22" s="181">
        <f>VLOOKUP(L12,Reporte!$N$5:$BN$133,31,FALSE)</f>
        <v>0</v>
      </c>
      <c r="E22" s="181">
        <f>VLOOKUP(L12,Reporte!$N$5:$BN$133,32,FALSE)</f>
        <v>0</v>
      </c>
      <c r="F22" s="182">
        <f>VLOOKUP(L12,Reporte!$N$5:$BN$133,33,FALSE)</f>
        <v>0</v>
      </c>
      <c r="G22" s="181">
        <f>VLOOKUP(L12,Reporte!$N$5:$BN$133,34,FALSE)</f>
        <v>0</v>
      </c>
      <c r="H22" s="182">
        <f>VLOOKUP(L12,Reporte!$N$5:$BN$133,35,FALSE)</f>
        <v>0</v>
      </c>
      <c r="I22" s="181">
        <f>VLOOKUP(L12,Reporte!$N$5:$BN$133,36,FALSE)</f>
        <v>0.5</v>
      </c>
      <c r="J22" s="182">
        <f>VLOOKUP(L12,Reporte!$N$5:$BN$133,37,FALSE)</f>
        <v>0</v>
      </c>
      <c r="K22" s="182">
        <f>VLOOKUP(L12,Reporte!$N$5:$BN$133,38,FALSE)</f>
        <v>0</v>
      </c>
      <c r="L22" s="182">
        <f>VLOOKUP(L12,Reporte!$N$5:$BN$133,39,FALSE)</f>
        <v>0</v>
      </c>
      <c r="M22" s="182">
        <f>VLOOKUP(L12,Reporte!$N$5:$BN$133,40,FALSE)</f>
        <v>0</v>
      </c>
      <c r="N22" s="183">
        <f>VLOOKUP(L12,Reporte!$N$5:$BN$133,41,FALSE)</f>
        <v>1</v>
      </c>
      <c r="O22" s="183">
        <f>MAX(C22:N22)</f>
        <v>1</v>
      </c>
      <c r="P22" s="128"/>
    </row>
    <row r="23" spans="1:17" ht="16.5" thickBot="1">
      <c r="A23" s="690" t="s">
        <v>76</v>
      </c>
      <c r="B23" s="691"/>
      <c r="C23" s="184">
        <f>VLOOKUP(L12,Reporte!$N$5:$BN$133,42,FALSE)</f>
        <v>0</v>
      </c>
      <c r="D23" s="184">
        <f>VLOOKUP(L12,Reporte!$N$5:$BN$133,43,FALSE)</f>
        <v>0</v>
      </c>
      <c r="E23" s="184">
        <f>VLOOKUP(L12,Reporte!$N$5:$BN$133,44,FALSE)</f>
        <v>0</v>
      </c>
      <c r="F23" s="184">
        <f>VLOOKUP(L12,Reporte!$N$5:$BN$133,45,FALSE)</f>
        <v>0</v>
      </c>
      <c r="G23" s="184">
        <f>VLOOKUP(L12,Reporte!$N$5:$BN$133,46,FALSE)</f>
        <v>0</v>
      </c>
      <c r="H23" s="184">
        <f>VLOOKUP(L12,Reporte!$N$5:$BN$133,47,FALSE)</f>
        <v>0</v>
      </c>
      <c r="I23" s="184">
        <f>VLOOKUP(L12,Reporte!$N$5:$BN$133,48,FALSE)</f>
        <v>1</v>
      </c>
      <c r="J23" s="184">
        <f>VLOOKUP(L12,Reporte!$N$5:$BN$133,49,FALSE)</f>
        <v>0</v>
      </c>
      <c r="K23" s="184">
        <f>VLOOKUP(L12,Reporte!$N$5:$BN$133,50,FALSE)</f>
        <v>0</v>
      </c>
      <c r="L23" s="184">
        <f>VLOOKUP(L12,Reporte!$N$5:$BN$133,51,FALSE)</f>
        <v>0</v>
      </c>
      <c r="M23" s="184">
        <f>VLOOKUP(L12,Reporte!$N$5:$BN$133,52,FALSE)</f>
        <v>0</v>
      </c>
      <c r="N23" s="185">
        <f>VLOOKUP(L12,Reporte!$N$5:$BN$133,53,FALSE)</f>
        <v>1</v>
      </c>
      <c r="O23" s="183">
        <f>MAX(C23:N23)</f>
        <v>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1</v>
      </c>
      <c r="D26" s="161">
        <f>+C26*0.98</f>
        <v>0.98</v>
      </c>
      <c r="E26" s="147"/>
      <c r="F26" s="147"/>
      <c r="G26" s="685"/>
      <c r="H26" s="685"/>
      <c r="I26" s="699"/>
      <c r="J26" s="699"/>
      <c r="K26" s="699"/>
      <c r="L26" s="685"/>
      <c r="M26" s="685"/>
      <c r="N26" s="685"/>
      <c r="O26" s="701"/>
      <c r="P26" s="148"/>
      <c r="Q26" s="149"/>
    </row>
    <row r="27" spans="1:17" s="127" customFormat="1" ht="15">
      <c r="A27" s="145" t="s">
        <v>95</v>
      </c>
      <c r="B27" s="161">
        <f>+D22</f>
        <v>0</v>
      </c>
      <c r="C27" s="161">
        <f>+C26</f>
        <v>1</v>
      </c>
      <c r="D27" s="161">
        <f>+D26</f>
        <v>0.98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1</v>
      </c>
      <c r="D28" s="161">
        <f t="shared" si="0"/>
        <v>0.98</v>
      </c>
      <c r="E28" s="147"/>
      <c r="F28" s="147"/>
      <c r="G28" s="685"/>
      <c r="H28" s="685"/>
      <c r="I28" s="685"/>
      <c r="J28" s="685"/>
      <c r="K28" s="147"/>
      <c r="L28" s="685"/>
      <c r="M28" s="685"/>
      <c r="N28" s="685"/>
      <c r="O28" s="701"/>
      <c r="P28" s="148"/>
      <c r="Q28" s="149"/>
    </row>
    <row r="29" spans="1:17" s="127" customFormat="1" ht="15">
      <c r="A29" s="145" t="s">
        <v>97</v>
      </c>
      <c r="B29" s="161">
        <f>+F22</f>
        <v>0</v>
      </c>
      <c r="C29" s="161">
        <f t="shared" si="0"/>
        <v>1</v>
      </c>
      <c r="D29" s="161">
        <f t="shared" si="0"/>
        <v>0.98</v>
      </c>
      <c r="E29" s="147"/>
      <c r="F29" s="147"/>
      <c r="G29" s="685"/>
      <c r="H29" s="685"/>
      <c r="I29" s="685"/>
      <c r="J29" s="685"/>
      <c r="K29" s="147"/>
      <c r="L29" s="685"/>
      <c r="M29" s="685"/>
      <c r="N29" s="685"/>
      <c r="O29" s="701"/>
      <c r="P29" s="148"/>
      <c r="Q29" s="149"/>
    </row>
    <row r="30" spans="1:17" s="127" customFormat="1" ht="15">
      <c r="A30" s="145" t="s">
        <v>98</v>
      </c>
      <c r="B30" s="161">
        <f>+G22</f>
        <v>0</v>
      </c>
      <c r="C30" s="161">
        <f t="shared" si="0"/>
        <v>1</v>
      </c>
      <c r="D30" s="161">
        <f t="shared" si="0"/>
        <v>0.98</v>
      </c>
      <c r="E30" s="147"/>
      <c r="F30" s="147"/>
      <c r="G30" s="685"/>
      <c r="H30" s="685"/>
      <c r="I30" s="685"/>
      <c r="J30" s="685"/>
      <c r="K30" s="147"/>
      <c r="L30" s="685"/>
      <c r="M30" s="685"/>
      <c r="N30" s="685"/>
      <c r="O30" s="701"/>
      <c r="P30" s="148"/>
      <c r="Q30" s="149"/>
    </row>
    <row r="31" spans="1:17" s="127" customFormat="1" ht="15">
      <c r="A31" s="145" t="s">
        <v>99</v>
      </c>
      <c r="B31" s="161">
        <f>+H22</f>
        <v>0</v>
      </c>
      <c r="C31" s="161">
        <f t="shared" si="0"/>
        <v>1</v>
      </c>
      <c r="D31" s="161">
        <f t="shared" si="0"/>
        <v>0.98</v>
      </c>
      <c r="E31" s="147"/>
      <c r="F31" s="147"/>
      <c r="G31" s="685"/>
      <c r="H31" s="685"/>
      <c r="I31" s="685"/>
      <c r="J31" s="685"/>
      <c r="K31" s="147"/>
      <c r="L31" s="685"/>
      <c r="M31" s="685"/>
      <c r="N31" s="685"/>
      <c r="O31" s="701"/>
      <c r="P31" s="148"/>
      <c r="Q31" s="149"/>
    </row>
    <row r="32" spans="1:17" s="127" customFormat="1" ht="15">
      <c r="A32" s="145" t="s">
        <v>100</v>
      </c>
      <c r="B32" s="161">
        <f>+I22</f>
        <v>0.5</v>
      </c>
      <c r="C32" s="161">
        <f t="shared" si="0"/>
        <v>1</v>
      </c>
      <c r="D32" s="161">
        <f t="shared" si="0"/>
        <v>0.98</v>
      </c>
      <c r="E32" s="147"/>
      <c r="F32" s="147"/>
      <c r="G32" s="685"/>
      <c r="H32" s="685"/>
      <c r="I32" s="685"/>
      <c r="J32" s="685"/>
      <c r="K32" s="147"/>
      <c r="L32" s="685"/>
      <c r="M32" s="685"/>
      <c r="N32" s="685"/>
      <c r="O32" s="701"/>
      <c r="P32" s="148"/>
      <c r="Q32" s="149"/>
    </row>
    <row r="33" spans="1:17" s="127" customFormat="1" ht="15">
      <c r="A33" s="145" t="s">
        <v>101</v>
      </c>
      <c r="B33" s="161">
        <f>+J22</f>
        <v>0</v>
      </c>
      <c r="C33" s="161">
        <f t="shared" si="0"/>
        <v>1</v>
      </c>
      <c r="D33" s="161">
        <f t="shared" si="0"/>
        <v>0.98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1</v>
      </c>
      <c r="D34" s="161">
        <f t="shared" si="0"/>
        <v>0.98</v>
      </c>
      <c r="E34" s="147"/>
      <c r="F34" s="147"/>
      <c r="G34" s="685"/>
      <c r="H34" s="685"/>
      <c r="I34" s="685"/>
      <c r="J34" s="685"/>
      <c r="K34" s="147"/>
      <c r="L34" s="685"/>
      <c r="M34" s="685"/>
      <c r="N34" s="685"/>
      <c r="O34" s="701"/>
      <c r="P34" s="148"/>
      <c r="Q34" s="149"/>
    </row>
    <row r="35" spans="1:17" s="127" customFormat="1" ht="15">
      <c r="A35" s="145" t="s">
        <v>103</v>
      </c>
      <c r="B35" s="161">
        <f>+L22</f>
        <v>0</v>
      </c>
      <c r="C35" s="161">
        <f t="shared" si="0"/>
        <v>1</v>
      </c>
      <c r="D35" s="161">
        <f t="shared" si="0"/>
        <v>0.98</v>
      </c>
      <c r="E35" s="147"/>
      <c r="F35" s="147"/>
      <c r="G35" s="685"/>
      <c r="H35" s="685"/>
      <c r="I35" s="685"/>
      <c r="J35" s="685"/>
      <c r="K35" s="147"/>
      <c r="L35" s="685"/>
      <c r="M35" s="685"/>
      <c r="N35" s="685"/>
      <c r="O35" s="701"/>
      <c r="P35" s="148"/>
      <c r="Q35" s="149"/>
    </row>
    <row r="36" spans="1:17" s="127" customFormat="1" ht="15">
      <c r="A36" s="145" t="s">
        <v>104</v>
      </c>
      <c r="B36" s="161">
        <f>+M22</f>
        <v>0</v>
      </c>
      <c r="C36" s="161">
        <f t="shared" si="0"/>
        <v>1</v>
      </c>
      <c r="D36" s="161">
        <f t="shared" si="0"/>
        <v>0.98</v>
      </c>
      <c r="E36" s="147"/>
      <c r="F36" s="147"/>
      <c r="G36" s="685"/>
      <c r="H36" s="685"/>
      <c r="I36" s="685"/>
      <c r="J36" s="685"/>
      <c r="K36" s="147"/>
      <c r="L36" s="685"/>
      <c r="M36" s="685"/>
      <c r="N36" s="685"/>
      <c r="O36" s="701"/>
      <c r="P36" s="148"/>
      <c r="Q36" s="149"/>
    </row>
    <row r="37" spans="1:17" s="127" customFormat="1" ht="15.75" thickBot="1">
      <c r="A37" s="150" t="s">
        <v>105</v>
      </c>
      <c r="B37" s="162">
        <f>+N22</f>
        <v>1</v>
      </c>
      <c r="C37" s="161">
        <f t="shared" si="0"/>
        <v>1</v>
      </c>
      <c r="D37" s="161">
        <f t="shared" si="0"/>
        <v>0.98</v>
      </c>
      <c r="E37" s="147"/>
      <c r="F37" s="147"/>
      <c r="G37" s="147"/>
      <c r="H37" s="147"/>
      <c r="I37" s="147"/>
      <c r="J37" s="147"/>
      <c r="K37" s="147"/>
      <c r="L37" s="685"/>
      <c r="M37" s="685"/>
      <c r="N37" s="685"/>
      <c r="O37" s="701"/>
      <c r="P37" s="148"/>
      <c r="Q37" s="149"/>
    </row>
    <row r="38" spans="1:17" s="127" customFormat="1" ht="15.75" thickBot="1">
      <c r="A38" s="152" t="s">
        <v>106</v>
      </c>
      <c r="B38" s="164">
        <f>+O22</f>
        <v>1</v>
      </c>
      <c r="C38" s="164">
        <f>+C37</f>
        <v>1</v>
      </c>
      <c r="D38" s="164">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 xml:space="preserve">​ El proyecto Rilco para el 2025 tiene la particularidad que se contrató un tercero externo la Universidad Nacional de Colombia y que se encargará de adelantaran todas las fases del proceso. Anteriormente la Universidad Nacional solo se encargaba de la prueba de conocimiento. El acta de inicio se firmó el 1 de mayo. Una I fase es la Verificación de Requisitos Mínimos- VRM durante el periodo de mayo a junio y se inició con el proceso y divulgación de la inscripción de los participantes a la convocatoria en la pagina web de la supersalud.
</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f>VLOOKUP(L12,Reporte!$N$5:$BZ$133,63,FALSE)</f>
        <v>0</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f>VLOOKUP(L12,Reporte!$N$5:$BZ$133,64,FALSE)</f>
        <v>0</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49.25" customHeight="1" thickBot="1">
      <c r="A63" s="673" t="str">
        <f>VLOOKUP(L12,Reporte!$N$5:$BZ$133,65,FALSE)</f>
        <v>​En el segundo sementre del 2025 se ejecutaron las fases II y II del proyecto asi:
En la Fase II (Estructuración, elaboración y aplicación de la prueba) se definieron perfiles y categorías, se diseñó y validó el banco de preguntas por rol (interventor, liquidador, contralor), se adoptaron guías y manuales de seguridad, se aplicó la prueba con soporte logístico y técnico, y se consolidaron informes de resultados y actas finales con puntajes y justificación de respuestas. En la Fase III (Análisis integral) se ejecutó el análisis de riesgos y la verificación de autenticidad/antecedentes según anexo técnico, y se administraron los análisis de personalidad, emitiendo informes individuales con perfiles comportamentales, recomendaciones y hallazgos. Todo lo anterior se documentó y remitió al supervisor dentro de los plazos establecidos, asegurando calidad metodológica, objetividad en la valoración y trazabilidad completa del RILCO. Con Entregables análisis de Riesgo, Entregables Análisis de Personalidad, Entregables Finales.
Por lo que Se expidió la resolución 2025100000008450-6 de 16 – 09 - 2025 mediante la cual se conformó y publicó el listado definitivo de inscritos en el registro de agentes interventores, liquidadores y contralores de la Superintendencia Nacional de Salud. Delegar en la Secretaría General – Dirección Administrativa, la administración del Registro de Interventores, Liquidadores y Contralores de la Superintendencia Nacional de Salud – RILCO.
 Con lo anterior, se cumplieron las tres fases (Actividades) previstas para la convocatoria que permita fortalecer y actualizar el registro de agentes Liquidadores, Interventores y Contralores - RILCO del 2025, con un complimiento del 100% del indicador .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realizo una convocatoria que permitió fortalecer y actualizar el registro de agentes Liquidadores, Interventores y Contralores - RILCO del 2025 en tres fases las cuales se llevaron a termino; con un cumplimiento del 100% del indicador . </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4865A-1E7F-4D2E-9E22-D363DEE40085}">
  <sheetPr codeName="Hoja8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30" customHeight="1">
      <c r="A6" s="789" t="s">
        <v>8</v>
      </c>
      <c r="B6" s="790"/>
      <c r="C6" s="711" t="str">
        <f>VLOOKUP(L12,Reporte!$N$5:$BN$133,2,FALSE)</f>
        <v>Porcentaje de cumplimiento de la estrategia definida para la caracterización</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Generar estrategia para la caracterización de grupos de interés y de valor para la SNS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72" customHeight="1">
      <c r="A10" s="794"/>
      <c r="B10" s="795"/>
      <c r="C10" s="711" t="str">
        <f>VLOOKUP(L12,Reporte!$N$5:$BN$133,4,FALSE)</f>
        <v xml:space="preserve">Número de actividades ejecutadas para generar la estrategia para la caracterización de grupos de interés y de valor para la SNS </v>
      </c>
      <c r="D10" s="711"/>
      <c r="E10" s="711"/>
      <c r="F10" s="799" t="str">
        <f>VLOOKUP(L12,Reporte!$N$5:$BN$133,6,FALSE)</f>
        <v>mide el grado de Cumplimiento de la estrategia definida para la caracterización</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72" customHeight="1" thickBot="1">
      <c r="A12" s="796"/>
      <c r="B12" s="768"/>
      <c r="C12" s="710" t="str">
        <f>VLOOKUP(L12,Reporte!$N$5:$BN$133,5,FALSE)</f>
        <v xml:space="preserve">  Número de actividades ejecutadas para generar la estrategia para la caracterización de grupos de interés y de valor para la SNS * 100</v>
      </c>
      <c r="D12" s="711"/>
      <c r="E12" s="711"/>
      <c r="F12" s="799"/>
      <c r="G12" s="799"/>
      <c r="H12" s="799"/>
      <c r="I12" s="799"/>
      <c r="J12" s="712" t="str">
        <f>VLOOKUP(L12,Reporte!$N$5:$BN$133,7,FALSE)</f>
        <v>Eficiencia</v>
      </c>
      <c r="K12" s="712"/>
      <c r="L12" s="713" t="s">
        <v>1320</v>
      </c>
      <c r="M12" s="713"/>
      <c r="N12" s="714">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Cuatrimestral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99">
        <f>VLOOKUP(L12,Reporte!$N$5:$BN$133,30,FALSE)</f>
        <v>0</v>
      </c>
      <c r="D22" s="199">
        <f>VLOOKUP(L12,Reporte!$N$5:$BN$133,31,FALSE)</f>
        <v>0</v>
      </c>
      <c r="E22" s="199">
        <f>VLOOKUP(L12,Reporte!$N$5:$BN$133,32,FALSE)</f>
        <v>0</v>
      </c>
      <c r="F22" s="200">
        <f>VLOOKUP(L12,Reporte!$N$5:$BN$133,33,FALSE)</f>
        <v>0.33</v>
      </c>
      <c r="G22" s="199">
        <f>VLOOKUP(L12,Reporte!$N$5:$BN$133,34,FALSE)</f>
        <v>0</v>
      </c>
      <c r="H22" s="200">
        <f>VLOOKUP(L12,Reporte!$N$5:$BN$133,35,FALSE)</f>
        <v>0</v>
      </c>
      <c r="I22" s="199">
        <f>VLOOKUP(L12,Reporte!$N$5:$BN$133,36,FALSE)</f>
        <v>0</v>
      </c>
      <c r="J22" s="200">
        <f>VLOOKUP(L12,Reporte!$N$5:$BN$133,37,FALSE)</f>
        <v>0.33</v>
      </c>
      <c r="K22" s="200">
        <f>VLOOKUP(L12,Reporte!$N$5:$BN$133,38,FALSE)</f>
        <v>0</v>
      </c>
      <c r="L22" s="200">
        <f>VLOOKUP(L12,Reporte!$N$5:$BN$133,39,FALSE)</f>
        <v>0</v>
      </c>
      <c r="M22" s="200">
        <f>VLOOKUP(L12,Reporte!$N$5:$BN$133,40,FALSE)</f>
        <v>0</v>
      </c>
      <c r="N22" s="201">
        <f>VLOOKUP(L12,Reporte!$N$5:$BN$133,41,FALSE)</f>
        <v>0.34</v>
      </c>
      <c r="O22" s="201">
        <f>SUM(C22:N22)</f>
        <v>1</v>
      </c>
      <c r="P22" s="128"/>
    </row>
    <row r="23" spans="1:17" ht="16.5" thickBot="1">
      <c r="A23" s="690" t="s">
        <v>76</v>
      </c>
      <c r="B23" s="691"/>
      <c r="C23" s="202">
        <f>VLOOKUP(L12,Reporte!$N$5:$BN$133,42,FALSE)</f>
        <v>0</v>
      </c>
      <c r="D23" s="202">
        <f>VLOOKUP(L12,Reporte!$N$5:$BN$133,43,FALSE)</f>
        <v>0</v>
      </c>
      <c r="E23" s="202">
        <f>VLOOKUP(L12,Reporte!$N$5:$BN$133,44,FALSE)</f>
        <v>0</v>
      </c>
      <c r="F23" s="202">
        <f>VLOOKUP(L12,Reporte!$N$5:$BN$133,45,FALSE)</f>
        <v>1</v>
      </c>
      <c r="G23" s="202">
        <f>VLOOKUP(L12,Reporte!$N$5:$BN$133,46,FALSE)</f>
        <v>0</v>
      </c>
      <c r="H23" s="202">
        <f>VLOOKUP(L12,Reporte!$N$5:$BN$133,47,FALSE)</f>
        <v>0</v>
      </c>
      <c r="I23" s="202">
        <f>VLOOKUP(L12,Reporte!$N$5:$BN$133,48,FALSE)</f>
        <v>0</v>
      </c>
      <c r="J23" s="202">
        <f>VLOOKUP(L12,Reporte!$N$5:$BN$133,49,FALSE)</f>
        <v>1</v>
      </c>
      <c r="K23" s="202">
        <f>VLOOKUP(L12,Reporte!$N$5:$BN$133,50,FALSE)</f>
        <v>0</v>
      </c>
      <c r="L23" s="202">
        <f>VLOOKUP(L12,Reporte!$N$5:$BN$133,51,FALSE)</f>
        <v>0</v>
      </c>
      <c r="M23" s="202">
        <f>VLOOKUP(L12,Reporte!$N$5:$BN$133,52,FALSE)</f>
        <v>0</v>
      </c>
      <c r="N23" s="203">
        <f>VLOOKUP(L12,Reporte!$N$5:$BN$133,53,FALSE)</f>
        <v>1</v>
      </c>
      <c r="O23" s="201">
        <f>MAX(C23:N23)</f>
        <v>1</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0.33</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0.33</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0.34</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 xml:space="preserve">En el marco de las acciones orientadas al fortalecimiento de la caracterización de los grupos de interés y de valor, y en concordancia con las funciones asignadas a la Dirección de Innovación y Desarrollo, se adjudicó un contrato al señor Jaiver Estupiñán. Esta contratación es resultado de la hackatón realizada en 2024, y tiene como objeto la actualización y automatización de las fichas de caracterización de tres grupos de vigilados.
El contrato inició su ejecución en la vigencia actual, y se anexa a este reporte el acta de inicio, el plan de trabajo y el acta del evento de kick-off, como evidencia del avance en la implementación.
</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NA</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​En el marco de la estrategia de caracterización de grupos de interés y de valor, se presentan los avances correspondientes al periodo establecido. Dichos avances reflejan el cumplimiento de la meta parcial programada para esta fase del proceso.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52.5" customHeight="1" thickBot="1">
      <c r="A63" s="673" t="str">
        <f>VLOOKUP(L12,Reporte!$N$5:$BZ$133,65,FALSE)</f>
        <v>Durante el periodo evaluado se han adelantado las actvidades correspondientes para mantener actualizada la Base Única de Vigilados (grupo de valor), realizando, además, procesos de revisiones y/o actualizaciones en los sistemas de Génesis y nRVCC sobre los vigilados. 
Y se alcanzó el 100% de propuesto en la vigencia, para lo cual se ha mantenido permanente interlocución con las Delegaturas y Direccciones de la Entidad como Financiera y el Grupo de Contribución.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logro el cumplimiento del 100% según lo informado por el área, sin embargo anexan adjuntos del cronograma del contrato sin embargo no se evidencia los productos generados dentro del mismo.</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sheetProtection selectLockedCells="1" selectUnlockedCells="1"/>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C1858-FB3F-48E4-801A-11C1CC818122}">
  <sheetPr codeName="Hoja8"/>
  <dimension ref="A1:I43"/>
  <sheetViews>
    <sheetView zoomScaleNormal="100" workbookViewId="0">
      <pane ySplit="9" topLeftCell="A10" activePane="bottomLeft" state="frozen"/>
      <selection activeCell="D16" sqref="D16"/>
      <selection pane="bottomLeft" activeCell="A10" sqref="A10"/>
    </sheetView>
  </sheetViews>
  <sheetFormatPr baseColWidth="10" defaultColWidth="0" defaultRowHeight="14.25" customHeight="1" zeroHeight="1"/>
  <cols>
    <col min="1" max="2" width="11" customWidth="1"/>
    <col min="3" max="3" width="11" style="55" customWidth="1"/>
    <col min="4" max="4" width="50.125" customWidth="1"/>
    <col min="5" max="6" width="11" customWidth="1"/>
    <col min="7" max="9" width="0" hidden="1" customWidth="1"/>
    <col min="10" max="16384" width="11" hidden="1"/>
  </cols>
  <sheetData>
    <row r="1" spans="1:7">
      <c r="A1" s="36"/>
      <c r="B1" s="36"/>
      <c r="C1" s="51"/>
      <c r="D1" s="36"/>
      <c r="E1" s="36"/>
      <c r="F1" s="36"/>
      <c r="G1" s="36"/>
    </row>
    <row r="2" spans="1:7">
      <c r="A2" s="36"/>
      <c r="B2" s="36"/>
      <c r="C2" s="51"/>
      <c r="D2" s="36"/>
      <c r="E2" s="36"/>
      <c r="F2" s="36"/>
      <c r="G2" s="36"/>
    </row>
    <row r="3" spans="1:7">
      <c r="A3" s="36"/>
      <c r="B3" s="36"/>
      <c r="C3" s="51"/>
      <c r="D3" s="36"/>
      <c r="E3" s="36"/>
      <c r="F3" s="36"/>
      <c r="G3" s="36"/>
    </row>
    <row r="4" spans="1:7">
      <c r="A4" s="36"/>
      <c r="B4" s="36"/>
      <c r="C4" s="51"/>
      <c r="D4" s="36"/>
      <c r="E4" s="36"/>
      <c r="F4" s="36"/>
      <c r="G4" s="36"/>
    </row>
    <row r="5" spans="1:7" ht="15" thickBot="1">
      <c r="A5" s="36"/>
      <c r="B5" s="36"/>
      <c r="C5" s="51"/>
      <c r="D5" s="36"/>
      <c r="E5" s="36"/>
      <c r="F5" s="36"/>
      <c r="G5" s="36"/>
    </row>
    <row r="6" spans="1:7">
      <c r="A6" s="36"/>
      <c r="B6" s="38"/>
      <c r="C6" s="52"/>
      <c r="D6" s="39"/>
      <c r="E6" s="40"/>
      <c r="F6" s="36"/>
      <c r="G6" s="36"/>
    </row>
    <row r="7" spans="1:7">
      <c r="A7" s="36"/>
      <c r="B7" s="41"/>
      <c r="C7" s="658" t="s">
        <v>391</v>
      </c>
      <c r="D7" s="658"/>
      <c r="E7" s="42"/>
      <c r="F7" s="36"/>
      <c r="G7" s="36"/>
    </row>
    <row r="8" spans="1:7" ht="20.25" customHeight="1">
      <c r="A8" s="36"/>
      <c r="B8" s="41"/>
      <c r="C8" s="658"/>
      <c r="D8" s="658"/>
      <c r="E8" s="42"/>
      <c r="F8" s="36"/>
      <c r="G8" s="36"/>
    </row>
    <row r="9" spans="1:7">
      <c r="A9" s="36"/>
      <c r="B9" s="41"/>
      <c r="C9" s="51"/>
      <c r="D9" s="36"/>
      <c r="E9" s="42"/>
      <c r="F9" s="36"/>
      <c r="G9" s="36"/>
    </row>
    <row r="10" spans="1:7">
      <c r="A10" s="36"/>
      <c r="B10" s="41"/>
      <c r="C10" s="56" t="s">
        <v>392</v>
      </c>
      <c r="D10" s="60" t="s">
        <v>1051</v>
      </c>
      <c r="E10" s="42"/>
      <c r="F10" s="36"/>
      <c r="G10" s="36"/>
    </row>
    <row r="11" spans="1:7" ht="42.75">
      <c r="A11" s="36"/>
      <c r="B11" s="41"/>
      <c r="C11" s="56" t="s">
        <v>435</v>
      </c>
      <c r="D11" s="60" t="s">
        <v>1062</v>
      </c>
      <c r="E11" s="42"/>
      <c r="F11" s="36"/>
      <c r="G11" s="36"/>
    </row>
    <row r="12" spans="1:7" s="36" customFormat="1" ht="28.5">
      <c r="B12" s="41"/>
      <c r="C12" s="56" t="s">
        <v>440</v>
      </c>
      <c r="D12" s="60" t="s">
        <v>1069</v>
      </c>
      <c r="E12" s="42"/>
    </row>
    <row r="13" spans="1:7" ht="28.5">
      <c r="A13" s="36"/>
      <c r="B13" s="41"/>
      <c r="C13" s="56" t="s">
        <v>214</v>
      </c>
      <c r="D13" s="60" t="s">
        <v>414</v>
      </c>
      <c r="E13" s="42"/>
      <c r="F13" s="36"/>
    </row>
    <row r="14" spans="1:7" ht="28.5">
      <c r="A14" s="36"/>
      <c r="B14" s="41"/>
      <c r="C14" s="56" t="s">
        <v>418</v>
      </c>
      <c r="D14" s="60" t="s">
        <v>1077</v>
      </c>
      <c r="E14" s="42"/>
      <c r="F14" s="36"/>
    </row>
    <row r="15" spans="1:7" ht="28.5">
      <c r="A15" s="36"/>
      <c r="B15" s="41"/>
      <c r="C15" s="56" t="s">
        <v>573</v>
      </c>
      <c r="D15" s="60" t="s">
        <v>661</v>
      </c>
      <c r="E15" s="42"/>
      <c r="F15" s="36"/>
    </row>
    <row r="16" spans="1:7" ht="28.5">
      <c r="A16" s="36"/>
      <c r="B16" s="41"/>
      <c r="C16" s="56" t="s">
        <v>444</v>
      </c>
      <c r="D16" s="60" t="s">
        <v>1088</v>
      </c>
      <c r="E16" s="42"/>
      <c r="F16" s="36"/>
    </row>
    <row r="17" spans="1:6" ht="28.5">
      <c r="A17" s="36"/>
      <c r="B17" s="41"/>
      <c r="C17" s="56" t="s">
        <v>449</v>
      </c>
      <c r="D17" s="60" t="s">
        <v>451</v>
      </c>
      <c r="E17" s="42"/>
      <c r="F17" s="36"/>
    </row>
    <row r="18" spans="1:6" ht="27.75" customHeight="1" thickBot="1">
      <c r="A18" s="36"/>
      <c r="B18" s="43"/>
      <c r="C18" s="54"/>
      <c r="D18" s="44"/>
      <c r="E18" s="45"/>
      <c r="F18" s="36"/>
    </row>
    <row r="19" spans="1:6">
      <c r="A19" s="36"/>
      <c r="B19" s="36"/>
      <c r="C19" s="51"/>
      <c r="D19" s="36"/>
      <c r="E19" s="36"/>
      <c r="F19" s="36"/>
    </row>
    <row r="20" spans="1:6" ht="14.25" customHeight="1"/>
    <row r="21" spans="1:6" ht="14.25" customHeight="1"/>
    <row r="22" spans="1:6" ht="14.25" customHeight="1"/>
    <row r="23" spans="1:6" ht="14.25" customHeight="1"/>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sheetData>
  <mergeCells count="1">
    <mergeCell ref="C7:D8"/>
  </mergeCells>
  <hyperlinks>
    <hyperlink ref="C10" location="'RL18'!Área_de_impresión" display="RL18" xr:uid="{A9E432BF-5EBF-41C1-BE73-D068A6F456E1}"/>
    <hyperlink ref="C11" location="'RL10'!Área_de_impresión" display="RL10" xr:uid="{90A450C1-D255-4187-8C46-A07519DB591B}"/>
    <hyperlink ref="C12" location="'RL23'!Área_de_impresión" display="RL23" xr:uid="{D6EF5AEB-C93E-41B5-A915-C8F6BED8E982}"/>
    <hyperlink ref="C13" location="'AT04'!Área_de_impresión" display="AT04" xr:uid="{1BED13FF-F118-4B6C-8B34-39942EE13499}"/>
    <hyperlink ref="C14" location="'RL04'!Área_de_impresión" display="RL04" xr:uid="{E85BD020-FF75-428F-AE6C-1B4505E6FA9F}"/>
    <hyperlink ref="C15" location="'RL03'!Área_de_impresión" display="RL03" xr:uid="{3EABAC0D-F04D-4FE3-B05D-2756D6957732}"/>
    <hyperlink ref="C16" location="'RL06'!Área_de_impresión" display="RL06" xr:uid="{F8C674EB-A30B-4180-B1B5-A29324E16DC9}"/>
    <hyperlink ref="C17" location="'RL24'!Área_de_impresión" display="RL24" xr:uid="{B02B4E2D-5438-4A48-A810-1C2B11DBE25C}"/>
  </hyperlinks>
  <pageMargins left="0.7" right="0.7" top="0.75" bottom="0.75" header="0.3" footer="0.3"/>
  <pageSetup paperSize="9" scale="76" orientation="portrait" r:id="rId1"/>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33E97-C241-4D55-AAB1-B7D8F77D015E}">
  <sheetPr codeName="Hoja89"/>
  <dimension ref="A1:R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33" customHeight="1">
      <c r="A6" s="789" t="s">
        <v>8</v>
      </c>
      <c r="B6" s="790"/>
      <c r="C6" s="711" t="str">
        <f>VLOOKUP(L12,Reporte!$N$5:$BN$133,2,FALSE)</f>
        <v>Acciones ejecutadas para el desarrollo de los programas de Gobernanza, Inteligencia de Negocios y Gestión de Datos y de Información de la SNS</v>
      </c>
      <c r="D6" s="711"/>
      <c r="E6" s="711"/>
      <c r="F6" s="711"/>
      <c r="G6" s="711"/>
      <c r="H6" s="711"/>
      <c r="I6" s="711"/>
      <c r="J6" s="711"/>
      <c r="K6" s="711"/>
      <c r="L6" s="711"/>
      <c r="M6" s="711"/>
      <c r="N6" s="711"/>
      <c r="O6" s="791"/>
      <c r="P6" s="128"/>
    </row>
    <row r="7" spans="1:17" ht="58.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Ejecutar acciones para el desarrollo de los programas de Gobernanza, Inteligencia de Negocios y Gestión de Datos y de Información de la SNS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94.5" customHeight="1">
      <c r="A10" s="794"/>
      <c r="B10" s="795"/>
      <c r="C10" s="711" t="str">
        <f>VLOOKUP(L12,Reporte!$N$5:$BN$133,4,FALSE)</f>
        <v>Número total de acciones ejecutada para el desarrollo de los programas de Gobernanza, inteligencia de negocios y Gestión de Datos y de Información de la SNS</v>
      </c>
      <c r="D10" s="711"/>
      <c r="E10" s="711"/>
      <c r="F10" s="799" t="str">
        <f>VLOOKUP(L12,Reporte!$N$5:$BN$133,6,FALSE)</f>
        <v>Este indicador mide la ejecución de los proyectos de gobernanza de datos.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252</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40</v>
      </c>
      <c r="D15" s="826"/>
      <c r="E15" s="827"/>
      <c r="F15" s="740" t="str">
        <f>VLOOKUP(L12,Reporte!$N$5:$BN$133,9,FALSE)</f>
        <v>Trimestral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8" ht="16.5" thickBot="1">
      <c r="A17" s="732"/>
      <c r="B17" s="733"/>
      <c r="C17" s="831"/>
      <c r="D17" s="832"/>
      <c r="E17" s="833"/>
      <c r="F17" s="744"/>
      <c r="G17" s="745"/>
      <c r="H17" s="749" t="s">
        <v>42</v>
      </c>
      <c r="I17" s="749"/>
      <c r="J17" s="716" t="s">
        <v>1597</v>
      </c>
      <c r="K17" s="717"/>
      <c r="L17" s="718"/>
      <c r="M17" s="781"/>
      <c r="N17" s="782"/>
      <c r="O17" s="783"/>
      <c r="P17" s="128"/>
    </row>
    <row r="18" spans="1:18" ht="16.5" thickBot="1">
      <c r="A18" s="687" t="s">
        <v>44</v>
      </c>
      <c r="B18" s="688"/>
      <c r="C18" s="688"/>
      <c r="D18" s="688"/>
      <c r="E18" s="688"/>
      <c r="F18" s="688"/>
      <c r="G18" s="688"/>
      <c r="H18" s="688"/>
      <c r="I18" s="688"/>
      <c r="J18" s="688"/>
      <c r="K18" s="688"/>
      <c r="L18" s="688"/>
      <c r="M18" s="688"/>
      <c r="N18" s="688"/>
      <c r="O18" s="689"/>
      <c r="P18" s="128"/>
    </row>
    <row r="19" spans="1:18"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c r="R19" s="247"/>
    </row>
    <row r="20" spans="1:18" ht="16.5" thickBot="1">
      <c r="A20" s="695" t="s">
        <v>48</v>
      </c>
      <c r="B20" s="696"/>
      <c r="C20" s="696"/>
      <c r="D20" s="696"/>
      <c r="E20" s="696"/>
      <c r="F20" s="696"/>
      <c r="G20" s="696"/>
      <c r="H20" s="696"/>
      <c r="I20" s="696"/>
      <c r="J20" s="696"/>
      <c r="K20" s="696"/>
      <c r="L20" s="696"/>
      <c r="M20" s="696"/>
      <c r="N20" s="696"/>
      <c r="O20" s="697"/>
      <c r="P20" s="128"/>
    </row>
    <row r="21" spans="1:18"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8" ht="15.75">
      <c r="A22" s="703" t="s">
        <v>63</v>
      </c>
      <c r="B22" s="704"/>
      <c r="C22" s="132">
        <f>VLOOKUP(L12,Reporte!$N$5:$BN$133,30,FALSE)</f>
        <v>0</v>
      </c>
      <c r="D22" s="132">
        <f>VLOOKUP(L12,Reporte!$N$5:$BN$133,31,FALSE)</f>
        <v>0</v>
      </c>
      <c r="E22" s="132">
        <f>VLOOKUP(L12,Reporte!$N$5:$BN$133,32,FALSE)</f>
        <v>13</v>
      </c>
      <c r="F22" s="139">
        <f>VLOOKUP(L12,Reporte!$N$5:$BN$133,33,FALSE)</f>
        <v>0</v>
      </c>
      <c r="G22" s="132">
        <f>VLOOKUP(L12,Reporte!$N$5:$BN$133,34,FALSE)</f>
        <v>0</v>
      </c>
      <c r="H22" s="139">
        <f>VLOOKUP(L12,Reporte!$N$5:$BN$133,35,FALSE)</f>
        <v>15</v>
      </c>
      <c r="I22" s="132">
        <f>VLOOKUP(L12,Reporte!$N$5:$BN$133,36,FALSE)</f>
        <v>0</v>
      </c>
      <c r="J22" s="139">
        <f>VLOOKUP(L12,Reporte!$N$5:$BN$133,37,FALSE)</f>
        <v>0</v>
      </c>
      <c r="K22" s="139">
        <f>VLOOKUP(L12,Reporte!$N$5:$BN$133,38,FALSE)</f>
        <v>5</v>
      </c>
      <c r="L22" s="139">
        <f>VLOOKUP(L12,Reporte!$N$5:$BN$133,39,FALSE)</f>
        <v>0</v>
      </c>
      <c r="M22" s="139">
        <f>VLOOKUP(L12,Reporte!$N$5:$BN$133,40,FALSE)</f>
        <v>0</v>
      </c>
      <c r="N22" s="133">
        <f>VLOOKUP(L12,Reporte!$N$5:$BN$133,41,FALSE)</f>
        <v>40</v>
      </c>
      <c r="O22" s="133">
        <f>SUM(C22:N22)</f>
        <v>73</v>
      </c>
      <c r="P22" s="128"/>
    </row>
    <row r="23" spans="1:18" ht="16.5" thickBot="1">
      <c r="A23" s="690" t="s">
        <v>76</v>
      </c>
      <c r="B23" s="691"/>
      <c r="C23" s="140">
        <f>VLOOKUP(L12,Reporte!$N$5:$BN$133,42,FALSE)</f>
        <v>0</v>
      </c>
      <c r="D23" s="140">
        <f>VLOOKUP(L12,Reporte!$N$5:$BN$133,43,FALSE)</f>
        <v>0</v>
      </c>
      <c r="E23" s="140">
        <f>VLOOKUP(L12,Reporte!$N$5:$BN$133,44,FALSE)</f>
        <v>13</v>
      </c>
      <c r="F23" s="140">
        <f>VLOOKUP(L12,Reporte!$N$5:$BN$133,45,FALSE)</f>
        <v>0</v>
      </c>
      <c r="G23" s="140">
        <f>VLOOKUP(L12,Reporte!$N$5:$BN$133,46,FALSE)</f>
        <v>0</v>
      </c>
      <c r="H23" s="140">
        <f>VLOOKUP(L12,Reporte!$N$5:$BN$133,47,FALSE)</f>
        <v>15</v>
      </c>
      <c r="I23" s="140">
        <f>VLOOKUP(L12,Reporte!$N$5:$BN$133,48,FALSE)</f>
        <v>0</v>
      </c>
      <c r="J23" s="140">
        <f>VLOOKUP(L12,Reporte!$N$5:$BN$133,49,FALSE)</f>
        <v>0</v>
      </c>
      <c r="K23" s="140">
        <f>VLOOKUP(L12,Reporte!$N$5:$BN$133,50,FALSE)</f>
        <v>5</v>
      </c>
      <c r="L23" s="140">
        <f>VLOOKUP(L12,Reporte!$N$5:$BN$133,51,FALSE)</f>
        <v>0</v>
      </c>
      <c r="M23" s="140">
        <f>VLOOKUP(L12,Reporte!$N$5:$BN$133,52,FALSE)</f>
        <v>0</v>
      </c>
      <c r="N23" s="141">
        <f>VLOOKUP(L12,Reporte!$N$5:$BN$133,53,FALSE)</f>
        <v>40</v>
      </c>
      <c r="O23" s="133">
        <f>SUM(C23:N23)</f>
        <v>73</v>
      </c>
      <c r="P23" s="128"/>
    </row>
    <row r="24" spans="1:18" ht="16.5" thickBot="1">
      <c r="A24" s="695" t="s">
        <v>89</v>
      </c>
      <c r="B24" s="696"/>
      <c r="C24" s="696"/>
      <c r="D24" s="696"/>
      <c r="E24" s="696"/>
      <c r="F24" s="696"/>
      <c r="G24" s="696"/>
      <c r="H24" s="696"/>
      <c r="I24" s="696"/>
      <c r="J24" s="696"/>
      <c r="K24" s="696"/>
      <c r="L24" s="696"/>
      <c r="M24" s="696"/>
      <c r="N24" s="696"/>
      <c r="O24" s="697"/>
      <c r="P24" s="128"/>
    </row>
    <row r="25" spans="1:18" ht="31.5">
      <c r="A25" s="142" t="s">
        <v>90</v>
      </c>
      <c r="B25" s="136" t="s">
        <v>91</v>
      </c>
      <c r="C25" s="136" t="s">
        <v>92</v>
      </c>
      <c r="D25" s="143" t="s">
        <v>93</v>
      </c>
      <c r="E25" s="144"/>
      <c r="F25" s="144"/>
      <c r="G25" s="698"/>
      <c r="H25" s="698"/>
      <c r="I25" s="698"/>
      <c r="J25" s="698"/>
      <c r="K25" s="698"/>
      <c r="L25" s="698"/>
      <c r="M25" s="698"/>
      <c r="N25" s="698"/>
      <c r="O25" s="700"/>
      <c r="P25" s="128"/>
    </row>
    <row r="26" spans="1:18" s="127" customFormat="1" ht="15">
      <c r="A26" s="145" t="s">
        <v>94</v>
      </c>
      <c r="B26" s="161">
        <f>+C22</f>
        <v>0</v>
      </c>
      <c r="C26" s="161">
        <f>+C15</f>
        <v>40</v>
      </c>
      <c r="D26" s="161">
        <f>+C26*0.98</f>
        <v>39.200000000000003</v>
      </c>
      <c r="E26" s="147"/>
      <c r="F26" s="147"/>
      <c r="G26" s="685"/>
      <c r="H26" s="685"/>
      <c r="I26" s="699"/>
      <c r="J26" s="699"/>
      <c r="K26" s="699"/>
      <c r="L26" s="685"/>
      <c r="M26" s="685"/>
      <c r="N26" s="685"/>
      <c r="O26" s="701"/>
      <c r="P26" s="148"/>
      <c r="Q26" s="149"/>
    </row>
    <row r="27" spans="1:18" s="127" customFormat="1" ht="15">
      <c r="A27" s="145" t="s">
        <v>95</v>
      </c>
      <c r="B27" s="161">
        <f>+D22</f>
        <v>0</v>
      </c>
      <c r="C27" s="161">
        <f>+C26</f>
        <v>40</v>
      </c>
      <c r="D27" s="161">
        <f>+D26</f>
        <v>39.200000000000003</v>
      </c>
      <c r="E27" s="147"/>
      <c r="F27" s="147"/>
      <c r="G27" s="685"/>
      <c r="H27" s="685"/>
      <c r="I27" s="685"/>
      <c r="J27" s="685"/>
      <c r="K27" s="147"/>
      <c r="L27" s="685"/>
      <c r="M27" s="685"/>
      <c r="N27" s="685"/>
      <c r="O27" s="701"/>
      <c r="P27" s="148"/>
      <c r="Q27" s="149"/>
    </row>
    <row r="28" spans="1:18" s="127" customFormat="1" ht="15">
      <c r="A28" s="145" t="s">
        <v>96</v>
      </c>
      <c r="B28" s="161">
        <f>+E22</f>
        <v>13</v>
      </c>
      <c r="C28" s="161">
        <f t="shared" ref="C28:D37" si="0">+C27</f>
        <v>40</v>
      </c>
      <c r="D28" s="161">
        <f t="shared" si="0"/>
        <v>39.200000000000003</v>
      </c>
      <c r="E28" s="147"/>
      <c r="F28" s="147"/>
      <c r="G28" s="685"/>
      <c r="H28" s="685"/>
      <c r="I28" s="685"/>
      <c r="J28" s="685"/>
      <c r="K28" s="147"/>
      <c r="L28" s="685"/>
      <c r="M28" s="685"/>
      <c r="N28" s="685"/>
      <c r="O28" s="701"/>
      <c r="P28" s="148"/>
      <c r="Q28" s="149"/>
    </row>
    <row r="29" spans="1:18" s="127" customFormat="1" ht="15">
      <c r="A29" s="145" t="s">
        <v>97</v>
      </c>
      <c r="B29" s="161">
        <f>+F22</f>
        <v>0</v>
      </c>
      <c r="C29" s="161">
        <f t="shared" si="0"/>
        <v>40</v>
      </c>
      <c r="D29" s="161">
        <f t="shared" si="0"/>
        <v>39.200000000000003</v>
      </c>
      <c r="E29" s="147"/>
      <c r="F29" s="147"/>
      <c r="G29" s="685"/>
      <c r="H29" s="685"/>
      <c r="I29" s="685"/>
      <c r="J29" s="685"/>
      <c r="K29" s="147"/>
      <c r="L29" s="685"/>
      <c r="M29" s="685"/>
      <c r="N29" s="685"/>
      <c r="O29" s="701"/>
      <c r="P29" s="148"/>
      <c r="Q29" s="149"/>
    </row>
    <row r="30" spans="1:18" s="127" customFormat="1" ht="15">
      <c r="A30" s="145" t="s">
        <v>98</v>
      </c>
      <c r="B30" s="161">
        <f>+G22</f>
        <v>0</v>
      </c>
      <c r="C30" s="161">
        <f t="shared" si="0"/>
        <v>40</v>
      </c>
      <c r="D30" s="161">
        <f t="shared" si="0"/>
        <v>39.200000000000003</v>
      </c>
      <c r="E30" s="147"/>
      <c r="F30" s="147"/>
      <c r="G30" s="685"/>
      <c r="H30" s="685"/>
      <c r="I30" s="685"/>
      <c r="J30" s="685"/>
      <c r="K30" s="147"/>
      <c r="L30" s="685"/>
      <c r="M30" s="685"/>
      <c r="N30" s="685"/>
      <c r="O30" s="701"/>
      <c r="P30" s="148"/>
      <c r="Q30" s="149"/>
    </row>
    <row r="31" spans="1:18" s="127" customFormat="1" ht="15">
      <c r="A31" s="145" t="s">
        <v>99</v>
      </c>
      <c r="B31" s="161">
        <f>+H22</f>
        <v>15</v>
      </c>
      <c r="C31" s="161">
        <f t="shared" si="0"/>
        <v>40</v>
      </c>
      <c r="D31" s="161">
        <f t="shared" si="0"/>
        <v>39.200000000000003</v>
      </c>
      <c r="E31" s="147"/>
      <c r="F31" s="147"/>
      <c r="G31" s="685"/>
      <c r="H31" s="685"/>
      <c r="I31" s="685"/>
      <c r="J31" s="685"/>
      <c r="K31" s="147"/>
      <c r="L31" s="685"/>
      <c r="M31" s="685"/>
      <c r="N31" s="685"/>
      <c r="O31" s="701"/>
      <c r="P31" s="148"/>
      <c r="Q31" s="149"/>
    </row>
    <row r="32" spans="1:18" s="127" customFormat="1" ht="15">
      <c r="A32" s="145" t="s">
        <v>100</v>
      </c>
      <c r="B32" s="161">
        <f>+I22</f>
        <v>0</v>
      </c>
      <c r="C32" s="161">
        <f t="shared" si="0"/>
        <v>40</v>
      </c>
      <c r="D32" s="161">
        <f t="shared" si="0"/>
        <v>39.200000000000003</v>
      </c>
      <c r="E32" s="147"/>
      <c r="F32" s="147"/>
      <c r="G32" s="685"/>
      <c r="H32" s="685"/>
      <c r="I32" s="685"/>
      <c r="J32" s="685"/>
      <c r="K32" s="147"/>
      <c r="L32" s="685"/>
      <c r="M32" s="685"/>
      <c r="N32" s="685"/>
      <c r="O32" s="701"/>
      <c r="P32" s="148"/>
      <c r="Q32" s="149"/>
    </row>
    <row r="33" spans="1:17" s="127" customFormat="1" ht="15">
      <c r="A33" s="145" t="s">
        <v>101</v>
      </c>
      <c r="B33" s="161">
        <f>+J22</f>
        <v>0</v>
      </c>
      <c r="C33" s="161">
        <f t="shared" si="0"/>
        <v>40</v>
      </c>
      <c r="D33" s="161">
        <f t="shared" si="0"/>
        <v>39.200000000000003</v>
      </c>
      <c r="E33" s="147"/>
      <c r="F33" s="147"/>
      <c r="G33" s="685"/>
      <c r="H33" s="685"/>
      <c r="I33" s="685"/>
      <c r="J33" s="685"/>
      <c r="K33" s="147"/>
      <c r="L33" s="685"/>
      <c r="M33" s="685"/>
      <c r="N33" s="685"/>
      <c r="O33" s="701"/>
      <c r="P33" s="148"/>
      <c r="Q33" s="149"/>
    </row>
    <row r="34" spans="1:17" s="127" customFormat="1" ht="15">
      <c r="A34" s="145" t="s">
        <v>102</v>
      </c>
      <c r="B34" s="161">
        <f>+K22</f>
        <v>5</v>
      </c>
      <c r="C34" s="161">
        <f t="shared" si="0"/>
        <v>40</v>
      </c>
      <c r="D34" s="161">
        <f t="shared" si="0"/>
        <v>39.200000000000003</v>
      </c>
      <c r="E34" s="147"/>
      <c r="F34" s="147"/>
      <c r="G34" s="685"/>
      <c r="H34" s="685"/>
      <c r="I34" s="685"/>
      <c r="J34" s="685"/>
      <c r="K34" s="147"/>
      <c r="L34" s="685"/>
      <c r="M34" s="685"/>
      <c r="N34" s="685"/>
      <c r="O34" s="701"/>
      <c r="P34" s="148"/>
      <c r="Q34" s="149"/>
    </row>
    <row r="35" spans="1:17" s="127" customFormat="1" ht="15">
      <c r="A35" s="145" t="s">
        <v>103</v>
      </c>
      <c r="B35" s="161">
        <f>+L22</f>
        <v>0</v>
      </c>
      <c r="C35" s="161">
        <f t="shared" si="0"/>
        <v>40</v>
      </c>
      <c r="D35" s="161">
        <f t="shared" si="0"/>
        <v>39.200000000000003</v>
      </c>
      <c r="E35" s="147"/>
      <c r="F35" s="147"/>
      <c r="G35" s="685"/>
      <c r="H35" s="685"/>
      <c r="I35" s="685"/>
      <c r="J35" s="685"/>
      <c r="K35" s="147"/>
      <c r="L35" s="685"/>
      <c r="M35" s="685"/>
      <c r="N35" s="685"/>
      <c r="O35" s="701"/>
      <c r="P35" s="148"/>
      <c r="Q35" s="149"/>
    </row>
    <row r="36" spans="1:17" s="127" customFormat="1" ht="15">
      <c r="A36" s="145" t="s">
        <v>104</v>
      </c>
      <c r="B36" s="161">
        <f>+M22</f>
        <v>0</v>
      </c>
      <c r="C36" s="161">
        <f t="shared" si="0"/>
        <v>40</v>
      </c>
      <c r="D36" s="161">
        <f t="shared" si="0"/>
        <v>39.200000000000003</v>
      </c>
      <c r="E36" s="147"/>
      <c r="F36" s="147"/>
      <c r="G36" s="685"/>
      <c r="H36" s="685"/>
      <c r="I36" s="685"/>
      <c r="J36" s="685"/>
      <c r="K36" s="147"/>
      <c r="L36" s="685"/>
      <c r="M36" s="685"/>
      <c r="N36" s="685"/>
      <c r="O36" s="701"/>
      <c r="P36" s="148"/>
      <c r="Q36" s="149"/>
    </row>
    <row r="37" spans="1:17" s="127" customFormat="1" ht="15.75" thickBot="1">
      <c r="A37" s="150" t="s">
        <v>105</v>
      </c>
      <c r="B37" s="162">
        <f>+N22</f>
        <v>40</v>
      </c>
      <c r="C37" s="161">
        <f t="shared" si="0"/>
        <v>40</v>
      </c>
      <c r="D37" s="161">
        <f t="shared" si="0"/>
        <v>39.200000000000003</v>
      </c>
      <c r="E37" s="147"/>
      <c r="F37" s="147"/>
      <c r="G37" s="147"/>
      <c r="H37" s="147"/>
      <c r="I37" s="147"/>
      <c r="J37" s="147"/>
      <c r="K37" s="147"/>
      <c r="L37" s="685"/>
      <c r="M37" s="685"/>
      <c r="N37" s="685"/>
      <c r="O37" s="701"/>
      <c r="P37" s="148"/>
      <c r="Q37" s="149"/>
    </row>
    <row r="38" spans="1:17" s="127" customFormat="1" ht="15.75" thickBot="1">
      <c r="A38" s="152" t="s">
        <v>106</v>
      </c>
      <c r="B38" s="164">
        <f>+O22</f>
        <v>73</v>
      </c>
      <c r="C38" s="164">
        <f>+C37</f>
        <v>40</v>
      </c>
      <c r="D38" s="164">
        <f>+D37</f>
        <v>39.200000000000003</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69" customHeight="1" thickBot="1">
      <c r="A45" s="682" t="str">
        <f>VLOOKUP(L12,Reporte!$N$5:$BZ$133,56,FALSE)</f>
        <v xml:space="preserve">Se hace el respectivo cargue que soporta los avances frente al Flujos de Información de la actividad clave de éxito, Gestionar Analítica de Datos e Información.
Igualmente se cargan evidencias frente a la Base única de vigilados, Catálogo de datos abiertos, Medición Indicadores de Calidad,
Mallas de validación,  Informe UIAF,
Scripts vigilados, Tablero de salud pública,
Tablero Fenix, Tableros de cartera actualizados.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83.25" customHeight="1" thickBot="1">
      <c r="A51" s="673" t="str">
        <f>VLOOKUP(L12,Reporte!$N$5:$BZ$133,59,FALSE)</f>
        <v xml:space="preserve">​Durante el segundo trimestre, en el marco de la definición del Modelo de Gobernanza y Gestión de Datos e Información, se adelantaron las siguientes actividades:
Socialización Flujograma Gestionar Analítica de datos e información (1)Base Única de Vigilados actualizada (1)Documentos Reglas de Negocio e Integración de Datos actualizado (1)Catálogo de Datos Abiertos actualizado (2)Informes Validación de mallas - Archivos Tipo (2)Reporting Services gestionados y actualizados (3) actividad mensualInformes Cartera y otros financieros de vigilados (1)Informe UIAF (1)Tableros de Mando gestionados y actualizados (2)Script (1) Se resalta que de acuerdo con la Oficina Asesora de Planeación, este indicador es acumulado, motivo por el cual y de acuerdo con los cronogramas definidos se tiene un avance del 27,7%.
Se adjunta enlace de carpeta para complementar evidencias de REPORTING SERVICES: Reporting Service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87.75" customHeight="1" thickBot="1">
      <c r="A57" s="682" t="str">
        <f>VLOOKUP(L12,Reporte!$N$5:$BZ$133,62,FALSE)</f>
        <v xml:space="preserve">​Durante el trimestre se desarrollaron 5 acciones  para el desarrollo de los programas de Gobernanza, inteligencia de negocios y Gestión de Datos y de Información de la SNS consistente en lo siguiente conforme al cronograma:
Base Unica de Vigilados actualizada (1)
Publicación de dos conjuntos de datos abiertos (2)
Informe UIAF (1) se adjuntan soportes de documentación
Tableros (1) se adjunta evidencia de la actualización de un tablero de control, específicamente el de reclamos, lo cual se hace los 25 de cada mes, se aclara que el corte tiene 31 de julio de 2025 pero su actualización se realizó en el presente trimestre debido a unos ajustes en el régimen de Nueva EPS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205.5" customHeight="1" thickBot="1">
      <c r="A63" s="673" t="str">
        <f>VLOOKUP(L12,Reporte!$N$5:$BZ$133,65,FALSE)</f>
        <v xml:space="preserve">En realizó la ejecución el contrato 116 de 2025 por valor de $1,634,000,000 con avance técnico del 100%. Este contrato abarca dos proyectos independientes que hacen parte de dos programas y el Objeto es: Desarrollar e Implementar el Programa de Gobernanza de Datos en las etapas restantes de diseño y arquitectura, implementación, y operación y control, y el Programa de Inteligencia de Negocios y Analítica de la Superintendencia Nacional de Salud 
ALCANCE: Terminar de desarrollar e implementar las etapas restantes del programa de Gobernanza de Datos, iniciado en el 2024: 
Fase 3: Arquitectura y Diseño en las subfases y actividades restantes no desarrolladas en el Contrato 131 de 2024 Subfase 3.1. actividad 3.1.3. para identificar herramientas y tecnología que apoye las capacidades de la GoD, subfases 
Subfase 3.2, Definición de Marcos de operación, 
Subfase 3.3, Formalización del compromiso y flujo de trabajo 
Fase 4: Implementación (implantación) 
Fase 5: Operación y Cambio 
* Desarrollar e Implementar el Programa de Inteligencia de Negocios de la Superintendencia Nacional de Salud: 
Fase 1 Estructuración 
Fase 2 Desarrollo 
Fase 3 Despliegue 
Fase 4 Implementación, operación, seguimiento y evaluación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40 acciones dentro del contrato 116 de 2025, para el desarrollo del programa GIN y GDyI, según reporte del área con cumplimiento la meta de establecida para 2025, sin embargo no se anexa evidencia de los productos generados en la Fase 3, Fase 4 y Fase 5.
Se presenta inconsistencias en el reporte de los datos de diciembre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AF4E-94F4-4BC5-B450-592FEE3C03BA}">
  <sheetPr codeName="Hoja90"/>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15.75">
      <c r="A3" s="755"/>
      <c r="B3" s="756"/>
      <c r="C3" s="765" t="s">
        <v>5</v>
      </c>
      <c r="D3" s="766"/>
      <c r="E3" s="766"/>
      <c r="F3" s="766"/>
      <c r="G3" s="766"/>
      <c r="H3" s="766"/>
      <c r="I3" s="766"/>
      <c r="J3" s="766"/>
      <c r="K3" s="766"/>
      <c r="L3" s="773" t="s">
        <v>6</v>
      </c>
      <c r="M3" s="774"/>
      <c r="N3" s="769">
        <v>1</v>
      </c>
      <c r="O3" s="770"/>
      <c r="P3" s="128"/>
    </row>
    <row r="4" spans="1:17" ht="16.5"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GOBIERNO Y GESTIÓN DE DATOS E INFORMACIÓN</v>
      </c>
      <c r="D5" s="787"/>
      <c r="E5" s="787"/>
      <c r="F5" s="787"/>
      <c r="G5" s="787"/>
      <c r="H5" s="787"/>
      <c r="I5" s="787"/>
      <c r="J5" s="787"/>
      <c r="K5" s="787"/>
      <c r="L5" s="787"/>
      <c r="M5" s="787"/>
      <c r="N5" s="787"/>
      <c r="O5" s="788"/>
      <c r="P5" s="130"/>
      <c r="Q5" s="131"/>
    </row>
    <row r="6" spans="1:17" ht="31.5" customHeight="1">
      <c r="A6" s="789" t="s">
        <v>8</v>
      </c>
      <c r="B6" s="790"/>
      <c r="C6" s="711" t="str">
        <f>VLOOKUP(L12,Reporte!$N$5:$BN$133,2,FALSE)</f>
        <v>Porcentaje de acciones ejecutadas para la implementación de la Política de Gestión de la Información Estadística en la SNS</v>
      </c>
      <c r="D6" s="711"/>
      <c r="E6" s="711"/>
      <c r="F6" s="711"/>
      <c r="G6" s="711"/>
      <c r="H6" s="711"/>
      <c r="I6" s="711"/>
      <c r="J6" s="711"/>
      <c r="K6" s="711"/>
      <c r="L6" s="711"/>
      <c r="M6" s="711"/>
      <c r="N6" s="711"/>
      <c r="O6" s="791"/>
      <c r="P6" s="128"/>
    </row>
    <row r="7" spans="1:17" ht="38.25" customHeight="1">
      <c r="A7" s="789" t="s">
        <v>10</v>
      </c>
      <c r="B7" s="790"/>
      <c r="C7" s="711" t="str">
        <f>VLOOKUP(L12,Reporte!A5:M133,10,FALSE)</f>
        <v>Gestionar los datos y la información como un activo con el propósito de tomar decisiones basadas en evidencias.</v>
      </c>
      <c r="D7" s="711"/>
      <c r="E7" s="711"/>
      <c r="F7" s="711"/>
      <c r="G7" s="711"/>
      <c r="H7" s="711"/>
      <c r="I7" s="711"/>
      <c r="J7" s="711"/>
      <c r="K7" s="711"/>
      <c r="L7" s="711"/>
      <c r="M7" s="711"/>
      <c r="N7" s="711"/>
      <c r="O7" s="791"/>
      <c r="P7" s="128"/>
    </row>
    <row r="8" spans="1:17" ht="15.75">
      <c r="A8" s="792" t="s">
        <v>1594</v>
      </c>
      <c r="B8" s="774"/>
      <c r="C8" s="711" t="str">
        <f>VLOOKUP(L12,Reporte!$A$5:$N$133,13,FALSE)</f>
        <v>Ejecutar acciones para la implementación de la Política de Gestión de la Información Estadística en la SNS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3.25" customHeight="1">
      <c r="A10" s="794"/>
      <c r="B10" s="795"/>
      <c r="C10" s="711" t="str">
        <f>VLOOKUP(L12,Reporte!$N$5:$BN$133,4,FALSE)</f>
        <v xml:space="preserve">Número de acciones ejecutados para la Gestión de la Información Estadística </v>
      </c>
      <c r="D10" s="711"/>
      <c r="E10" s="711"/>
      <c r="F10" s="799" t="str">
        <f>VLOOKUP(L12,Reporte!$N$5:$BN$133,6,FALSE)</f>
        <v>Este indicador mide el Número de actividades realizadas frente al plan de brechas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60" customHeight="1" thickBot="1">
      <c r="A12" s="796"/>
      <c r="B12" s="768"/>
      <c r="C12" s="710" t="str">
        <f>VLOOKUP(L12,Reporte!$N$5:$BN$133,5,FALSE)</f>
        <v xml:space="preserve"> Número de acciones definidas en la vigencia 2025 para Gestión de la Información Estadística * 100</v>
      </c>
      <c r="D12" s="711"/>
      <c r="E12" s="711"/>
      <c r="F12" s="799"/>
      <c r="G12" s="799"/>
      <c r="H12" s="799"/>
      <c r="I12" s="799"/>
      <c r="J12" s="712" t="str">
        <f>VLOOKUP(L12,Reporte!$N$5:$BN$133,7,FALSE)</f>
        <v>Eficiencia</v>
      </c>
      <c r="K12" s="712"/>
      <c r="L12" s="713" t="s">
        <v>245</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Cuatrimestral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2</v>
      </c>
      <c r="F22" s="139">
        <f>VLOOKUP(L12,Reporte!$N$5:$BN$133,33,FALSE)</f>
        <v>0</v>
      </c>
      <c r="G22" s="132">
        <f>VLOOKUP(L12,Reporte!$N$5:$BN$133,34,FALSE)</f>
        <v>0</v>
      </c>
      <c r="H22" s="139">
        <f>VLOOKUP(L12,Reporte!$N$5:$BN$133,35,FALSE)</f>
        <v>8</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10</v>
      </c>
      <c r="O22" s="133">
        <f>MAX(C22:N22)</f>
        <v>10</v>
      </c>
      <c r="P22" s="128"/>
    </row>
    <row r="23" spans="1:17" ht="16.5" thickBot="1">
      <c r="A23" s="690" t="s">
        <v>76</v>
      </c>
      <c r="B23" s="691"/>
      <c r="C23" s="140">
        <f>VLOOKUP(L12,Reporte!$N$5:$BN$133,42,FALSE)</f>
        <v>0</v>
      </c>
      <c r="D23" s="140">
        <f>VLOOKUP(L12,Reporte!$N$5:$BN$133,43,FALSE)</f>
        <v>0</v>
      </c>
      <c r="E23" s="140">
        <f>VLOOKUP(L12,Reporte!$N$5:$BN$133,44,FALSE)</f>
        <v>10</v>
      </c>
      <c r="F23" s="140">
        <f>VLOOKUP(L12,Reporte!$N$5:$BN$133,45,FALSE)</f>
        <v>0</v>
      </c>
      <c r="G23" s="140">
        <f>VLOOKUP(L12,Reporte!$N$5:$BN$133,46,FALSE)</f>
        <v>0</v>
      </c>
      <c r="H23" s="140">
        <f>VLOOKUP(L12,Reporte!$N$5:$BN$133,47,FALSE)</f>
        <v>10</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10</v>
      </c>
      <c r="O23" s="133">
        <f>MAX(C23:N23)</f>
        <v>10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0.2</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0.8</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 xml:space="preserve">​Se procede con el cargue de evidencias frente a la política de Gestión de Información Estadística, es decir, flujo de actividades versión 1, modelo institucional para el desarrollo de producción estadística, manual para el desarrollo del plan estadístico versión en construcción, que dan cuenta de los avances.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77.25" customHeight="1" thickBot="1">
      <c r="A51" s="673" t="str">
        <f>VLOOKUP(L12,Reporte!$N$5:$BZ$133,59,FALSE)</f>
        <v xml:space="preserve">En el periodo de tiempo evaluado, se adelantaron las siguientes acciones para la implementación de la Política de Gestión de Información Estadística, con un avance de 6 actividades de las programadas: 
Soportes inicio etapa precontractual para la Política de Gestión de Información Estadística, se adjunta modificación PAA y por lo tanto esta etapa no ha iniciado por cambio de objeto contractual para transferencia de conocimiento aun sin definir por decisiones gerenciales asociadas al concurso y cambio de personal (1)
Línea base de demandas insatisfechas (1)
Implementación de Buenas Prácticas DANE SEN en el flujo de actividades clave de éxito (1)
Línea Base Registros Administrativos (1)
Línea base de operaciones estadísticas (1)
Documento Estrategia de Difusión (1)
Se hace la aclaración que de acuerdo con indicaciones de la Oficina Asesora de Planeación, el avance acumulado de este indicador es del 80%.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26" customHeight="1" thickBot="1">
      <c r="A63" s="673" t="str">
        <f>VLOOKUP(L12,Reporte!$N$5:$BZ$133,65,FALSE)</f>
        <v xml:space="preserve">En lo relacionado con la Implementación de la Política de Gestión de Información Estadística, para lo cual se realizó la contratación prestación de servicios de dos OPS, por valor de $71,093,972, que apoyaron a la entidad en avanzar en la formulación del Plan Estadístico Institucional y en la preparación para la certificación de las operaciones estadísticas y en el desarrollo de los mecanismos de la Política de Gestión de la Información Estadística de la Superintendencia Nacional de Salud. 
Los profesionales contratados fueron Yamit Juliana Tovar y Hernado Trilleros, con los cuales se realizó ajuste y socialización del Procedimiento de Gestión de Información Estadística (PRGIE) en la SNS.  
Se envió a Planeación el procedimiento PRGIE actualizado para su publicación. 
Se revisó el procedimiento de Formular y Gestionar el Plan Estadístico Institucional PESI.
Se participó en reuniones con las Delegaturas y Direcciones para revisar la calidad de los archivos tipos y su uso, para generar análisis de fortalecimiento de registros administrativos (RRAA). 
Se trabajó en la metodología para el fortalecimiento de RRAA, en la metodología para anonimización de bases de datos, y en una Propuesta de actualización del Plan estadístico institucional.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realizado 10 acciones para la Gestión estadística, con cumplimiento la meta de establecida para 2025.No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7B006-789B-418A-84CE-6FB5F1AE53A2}">
  <sheetPr codeName="Hoja91"/>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0.25"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DIRECCIONAMIENTO ESTRATÉGICO</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solicitudes gestionadas de políticas, instrumentos, guías, metodologías y lineamientos </v>
      </c>
      <c r="D6" s="711"/>
      <c r="E6" s="711"/>
      <c r="F6" s="711"/>
      <c r="G6" s="711"/>
      <c r="H6" s="711"/>
      <c r="I6" s="711"/>
      <c r="J6" s="711"/>
      <c r="K6" s="711"/>
      <c r="L6" s="711"/>
      <c r="M6" s="711"/>
      <c r="N6" s="711"/>
      <c r="O6" s="791"/>
      <c r="P6" s="128"/>
    </row>
    <row r="7" spans="1:17" ht="58.5" customHeight="1">
      <c r="A7" s="789" t="s">
        <v>10</v>
      </c>
      <c r="B7" s="790"/>
      <c r="C7" s="711" t="str">
        <f>VLOOKUP(L12,Reporte!A5:M133,10,FALSE)</f>
        <v>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v>
      </c>
      <c r="D7" s="711"/>
      <c r="E7" s="711"/>
      <c r="F7" s="711"/>
      <c r="G7" s="711"/>
      <c r="H7" s="711"/>
      <c r="I7" s="711"/>
      <c r="J7" s="711"/>
      <c r="K7" s="711"/>
      <c r="L7" s="711"/>
      <c r="M7" s="711"/>
      <c r="N7" s="711"/>
      <c r="O7" s="791"/>
      <c r="P7" s="128"/>
    </row>
    <row r="8" spans="1:17" ht="15.75">
      <c r="A8" s="792" t="s">
        <v>1594</v>
      </c>
      <c r="B8" s="774"/>
      <c r="C8" s="711" t="str">
        <f>VLOOKUP(L12,Reporte!$A$5:$N$133,13,FALSE)</f>
        <v xml:space="preserve">Diseñar las políticas. instrumentos, guías, metodologías y lineamientos, a partir de las solicitudes y necesidades identificadas y gestionadas </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9.25" customHeight="1">
      <c r="A10" s="794"/>
      <c r="B10" s="795"/>
      <c r="C10" s="711" t="str">
        <f>VLOOKUP(L12,Reporte!$N$5:$BN$133,4,FALSE)</f>
        <v xml:space="preserve">Número de solicitudes de políticas, instrumentos, guías, metodologías y lineamientos gestionadas </v>
      </c>
      <c r="D10" s="711"/>
      <c r="E10" s="711"/>
      <c r="F10" s="799" t="str">
        <f>VLOOKUP(L12,Reporte!$N$5:$BN$133,6,FALSE)</f>
        <v>Este indicador mide el número de de actividades programadas para la elaboración,  evaluación y ajuste de Metodologías, instrumento</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9.25" customHeight="1" thickBot="1">
      <c r="A12" s="796"/>
      <c r="B12" s="768"/>
      <c r="C12" s="710" t="str">
        <f>VLOOKUP(L12,Reporte!$N$5:$BN$133,5,FALSE)</f>
        <v xml:space="preserve"> Número de solicitudes de políticas, instrumentos, guías, metodologías y lineamientos identificadas * 100</v>
      </c>
      <c r="D12" s="711"/>
      <c r="E12" s="711"/>
      <c r="F12" s="799"/>
      <c r="G12" s="799"/>
      <c r="H12" s="799"/>
      <c r="I12" s="799"/>
      <c r="J12" s="712" t="str">
        <f>VLOOKUP(L12,Reporte!$N$5:$BN$133,7,FALSE)</f>
        <v>Eficiencia</v>
      </c>
      <c r="K12" s="712"/>
      <c r="L12" s="713" t="s">
        <v>259</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Trimestral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10</v>
      </c>
      <c r="F22" s="139">
        <f>VLOOKUP(L12,Reporte!$N$5:$BN$133,33,FALSE)</f>
        <v>0</v>
      </c>
      <c r="G22" s="132">
        <f>VLOOKUP(L12,Reporte!$N$5:$BN$133,34,FALSE)</f>
        <v>0</v>
      </c>
      <c r="H22" s="139">
        <f>VLOOKUP(L12,Reporte!$N$5:$BN$133,35,FALSE)</f>
        <v>14</v>
      </c>
      <c r="I22" s="132">
        <f>VLOOKUP(L12,Reporte!$N$5:$BN$133,36,FALSE)</f>
        <v>0</v>
      </c>
      <c r="J22" s="139">
        <f>VLOOKUP(L12,Reporte!$N$5:$BN$133,37,FALSE)</f>
        <v>0</v>
      </c>
      <c r="K22" s="139">
        <f>VLOOKUP(L12,Reporte!$N$5:$BN$133,38,FALSE)</f>
        <v>2</v>
      </c>
      <c r="L22" s="139">
        <f>VLOOKUP(L12,Reporte!$N$5:$BN$133,39,FALSE)</f>
        <v>0</v>
      </c>
      <c r="M22" s="139">
        <f>VLOOKUP(L12,Reporte!$N$5:$BN$133,40,FALSE)</f>
        <v>0</v>
      </c>
      <c r="N22" s="133">
        <f>VLOOKUP(L12,Reporte!$N$5:$BN$133,41,FALSE)</f>
        <v>6</v>
      </c>
      <c r="O22" s="133">
        <f>SUM(C22:N22)</f>
        <v>32</v>
      </c>
      <c r="P22" s="128"/>
    </row>
    <row r="23" spans="1:17" ht="16.5" thickBot="1">
      <c r="A23" s="690" t="s">
        <v>76</v>
      </c>
      <c r="B23" s="691"/>
      <c r="C23" s="140">
        <f>VLOOKUP(L12,Reporte!$N$5:$BN$133,42,FALSE)</f>
        <v>0</v>
      </c>
      <c r="D23" s="140">
        <f>VLOOKUP(L12,Reporte!$N$5:$BN$133,43,FALSE)</f>
        <v>0</v>
      </c>
      <c r="E23" s="140">
        <f>VLOOKUP(L12,Reporte!$N$5:$BN$133,44,FALSE)</f>
        <v>10</v>
      </c>
      <c r="F23" s="140">
        <f>VLOOKUP(L12,Reporte!$N$5:$BN$133,45,FALSE)</f>
        <v>0</v>
      </c>
      <c r="G23" s="140">
        <f>VLOOKUP(L12,Reporte!$N$5:$BN$133,46,FALSE)</f>
        <v>0</v>
      </c>
      <c r="H23" s="140">
        <f>VLOOKUP(L12,Reporte!$N$5:$BN$133,47,FALSE)</f>
        <v>14</v>
      </c>
      <c r="I23" s="140">
        <f>VLOOKUP(L12,Reporte!$N$5:$BN$133,48,FALSE)</f>
        <v>0</v>
      </c>
      <c r="J23" s="140">
        <f>VLOOKUP(L12,Reporte!$N$5:$BN$133,49,FALSE)</f>
        <v>0</v>
      </c>
      <c r="K23" s="140">
        <f>VLOOKUP(L12,Reporte!$N$5:$BN$133,50,FALSE)</f>
        <v>2</v>
      </c>
      <c r="L23" s="140">
        <f>VLOOKUP(L12,Reporte!$N$5:$BN$133,51,FALSE)</f>
        <v>0</v>
      </c>
      <c r="M23" s="140">
        <f>VLOOKUP(L12,Reporte!$N$5:$BN$133,52,FALSE)</f>
        <v>0</v>
      </c>
      <c r="N23" s="141">
        <f>VLOOKUP(L12,Reporte!$N$5:$BN$133,53,FALSE)</f>
        <v>6</v>
      </c>
      <c r="O23" s="133">
        <f>SUM(C23:N23)</f>
        <v>32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1</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1</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58.5" customHeight="1" thickBot="1">
      <c r="A45" s="682" t="str">
        <f>VLOOKUP(L12,Reporte!$N$5:$BZ$133,56,FALSE)</f>
        <v xml:space="preserve">Durante el primer trimestre del año se adelantaron mesas de trabajo orientadas a la construcción y ajuste de metodologías, lineamientos y proyectos de circular. Estas acciones buscan fortalecer la gestión institucional y brindar herramientas claras a los vigilados para el cumplimiento de sus obligaciones. A continuación, se relacionan los documentos que se encuentran en desarrollo o en proceso de ajuste:Expedición Circular de Datos GeneralesExpedición Circular 001 Proyecto Circular FT015Proyecto Circular 011Proyecto Circular ADRESProyecto Circular de AutorizacionesProyecto Circular GAUDIProyecto Circular SIARCMetodologías de Reclamos en SaludPolítica de Vejez - acciones SNS
Cabe resaltar que estos documentos continúan en proceso de trabajo y ajustes.
</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58.5" customHeight="1" thickBot="1">
      <c r="A51" s="670" t="str">
        <f>VLOOKUP(L12,Reporte!$N$5:$BZ$133,59,FALSE)</f>
        <v xml:space="preserve">​Teniendo en cuenta que este indicador es a demanda, durante el segundo trimestre, se gestionaron las seiguientes actividades y documentos: 
1. Circular externa de liquidaciones con la actualización de los formatos FT015 Y FT012  
2. Circular 030 de 2013 
3. Formulario de reclamos realizado con la DID -DPU - DGFOLTS 
4. Metodología de reclamos en Salud I1 
5. Metodología para el calculo de los IOSC. 
6. Circular externa para actualizar archivos de la 006 de 2018 con ADRES
7. Sentencia T760 
8. Circular 011 
9. Capacidad técnica, para agente interventor , liquidador o contralor . 
10. Circular externa 001 de 2020 
11. ABC- Reclamos en Salud. 
12. Metodología SOAT 
13. Circular SIARC
14. Metodología Siniestralidad
</v>
      </c>
      <c r="B51" s="671"/>
      <c r="C51" s="671"/>
      <c r="D51" s="671"/>
      <c r="E51" s="671"/>
      <c r="F51" s="671"/>
      <c r="G51" s="671"/>
      <c r="H51" s="671"/>
      <c r="I51" s="671"/>
      <c r="J51" s="671"/>
      <c r="K51" s="671"/>
      <c r="L51" s="671"/>
      <c r="M51" s="671"/>
      <c r="N51" s="671"/>
      <c r="O51" s="672"/>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Para este trimestre Se gestionaron  2 solicitudes mediante el DIFT33  de las cuales se gestionaron las 2 cumpliendo el  100 %, se anexa los respectivos soportes en elenlace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​De las 6 solicitudes identificadas del DIFT 33 que llegaron a la SMIS se gestionaron 6 solicitudes en el ultimo trimestre del año dando un cumplimiento del 100% frente a la meta programada de realizar gestion al 100% de las solicitudes identificadas. esto se debe al plan de trabajo de cada una de las solicitudes realizadas.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gestionaron 32 solicitudes de políticas, instrumentos, guías, metodologías y lineamientos, con el cumplimiento de la meta porcentual del 100%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BBE36-E813-41BE-8A93-2F89DF91C3E4}">
  <sheetPr codeName="Hoja92"/>
  <dimension ref="A1:Q67"/>
  <sheetViews>
    <sheetView view="pageBreakPreview" zoomScale="80" zoomScaleNormal="73" zoomScaleSheetLayoutView="80" zoomScalePageLayoutView="55" workbookViewId="0">
      <selection activeCell="Q20" sqref="Q20"/>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DIRECCIONAMIENTO ESTRATÉGICO</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avance en el diseño e implementación de estrategias de uso y apropiación del Marco Integral de Supervisión.</v>
      </c>
      <c r="D6" s="711"/>
      <c r="E6" s="711"/>
      <c r="F6" s="711"/>
      <c r="G6" s="711"/>
      <c r="H6" s="711"/>
      <c r="I6" s="711"/>
      <c r="J6" s="711"/>
      <c r="K6" s="711"/>
      <c r="L6" s="711"/>
      <c r="M6" s="711"/>
      <c r="N6" s="711"/>
      <c r="O6" s="791"/>
      <c r="P6" s="128"/>
    </row>
    <row r="7" spans="1:17" ht="58.5" customHeight="1">
      <c r="A7" s="789" t="s">
        <v>10</v>
      </c>
      <c r="B7" s="790"/>
      <c r="C7" s="711" t="str">
        <f>VLOOKUP(L12,Reporte!A5:M133,10,FALSE)</f>
        <v>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v>
      </c>
      <c r="D7" s="711"/>
      <c r="E7" s="711"/>
      <c r="F7" s="711"/>
      <c r="G7" s="711"/>
      <c r="H7" s="711"/>
      <c r="I7" s="711"/>
      <c r="J7" s="711"/>
      <c r="K7" s="711"/>
      <c r="L7" s="711"/>
      <c r="M7" s="711"/>
      <c r="N7" s="711"/>
      <c r="O7" s="791"/>
      <c r="P7" s="128"/>
    </row>
    <row r="8" spans="1:17" ht="15.75">
      <c r="A8" s="792" t="s">
        <v>1594</v>
      </c>
      <c r="B8" s="774"/>
      <c r="C8" s="711" t="str">
        <f>VLOOKUP(L12,Reporte!$A$5:$N$133,13,FALSE)</f>
        <v>Diseñar el Marco Integral de Supervisión y generar estrategias de uso y apropiación</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  Número de productos términados del  Marco Integral de Supervisión </v>
      </c>
      <c r="D10" s="711"/>
      <c r="E10" s="711"/>
      <c r="F10" s="799" t="str">
        <f>VLOOKUP(L12,Reporte!$N$5:$BN$133,6,FALSE)</f>
        <v>Este indicador mide el porcentaje de avance en la elaboración del modelo integral de supervisión.</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8.5" customHeight="1" thickBot="1">
      <c r="A12" s="796"/>
      <c r="B12" s="768"/>
      <c r="C12" s="710" t="str">
        <f>VLOOKUP(L12,Reporte!$N$5:$BN$133,5,FALSE)</f>
        <v xml:space="preserve"> Número total de productos programados para el diseño del Marco Integral de Supervisión</v>
      </c>
      <c r="D12" s="711"/>
      <c r="E12" s="711"/>
      <c r="F12" s="799"/>
      <c r="G12" s="799"/>
      <c r="H12" s="799"/>
      <c r="I12" s="799"/>
      <c r="J12" s="712" t="str">
        <f>VLOOKUP(L12,Reporte!$N$5:$BN$133,7,FALSE)</f>
        <v>Eficacia</v>
      </c>
      <c r="K12" s="712"/>
      <c r="L12" s="713" t="s">
        <v>353</v>
      </c>
      <c r="M12" s="713"/>
      <c r="N12" s="714">
        <f>VLOOKUP(L12,Reporte!$AP$5:$CAB$133,38,FALSE)</f>
        <v>2</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2</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4</v>
      </c>
      <c r="O22" s="133">
        <f>MAX(C22:N22)</f>
        <v>4</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4</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4</v>
      </c>
      <c r="O23" s="133">
        <f>MAX(C23:N23)</f>
        <v>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0.5</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82.5" customHeight="1" thickBot="1">
      <c r="A51" s="673" t="str">
        <f>VLOOKUP(L12,Reporte!$N$5:$BZ$133,59,FALSE)</f>
        <v xml:space="preserve">​En cumplimiento del objetivo de diseñar el Marco Integral de Supervisión y promover su apropiación institucional, durante el periodo reportado se llevaron a cabo mesas de trabajo con las diferentes áreas de la Superintendencia Nacional de Salud. Estos espacios de articulación permitieron avanzar en la validación técnica y conceptual del marco, realizar los ajustes necesarios y dar respuesta a los comentarios y observaciones emitidos por las dependencias involucradas.
Las mesas de trabajo no solo facilitaron la retroalimentación oportuna, sino que también contribuyeron a generar sentido de pertenencia y compromiso institucional con el instrumento, sentando las bases para la implementación gradual de estrategias de uso y apropiación en los distintos niveles de la entidad. Esta fase participativa garantiza que el Marco responda a las necesidades reales del ejercicio de la supervisión, fortaleciendo su aplicabilidad y sostenibilidad en el tiempo.
Se adjunta documento del MIS ajustado.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114.75" customHeight="1" thickBot="1">
      <c r="A63" s="673" t="str">
        <f>VLOOKUP(L12,Reporte!$N$5:$BZ$133,65,FALSE)</f>
        <v xml:space="preserve">El resultado para el año 2025 corresponde a la consolidacion de los  4 modelos  de supervision :
 1. modelo de supervision para PSS
 2. Modelo de supervision para entidades territoriales
 3. Modelo de supervision DEAS
 4. Modelo de supervision para operadores Logisticos y/o gestores farmaceuticos.
De las 4 actividades programadas se ejecutaron todas dando cumplimiento al 100% frente a las metas establecidas para está vigencia; esto se debe al trabajo colaborativo entre las diferentes delegaturas, la UDEA y la Subdirección de Metodologías e Instrumentos de Supervisión.
Para el 2026 el 20% faltante corresponde a la implementacion de los modelos, la construccion de la caja de herramientas y el diseño de alertas tempranas.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concluyeron 4 modelos, los cuales en 2026 serán sometidos a validación por las áreas misionales para implementar el Marco integral de Supervisión, con cumplimiento la meta de establecida para 2025 enfocada en Diseño del modelo.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1038B-5FB7-4225-B9BA-2411A31C06B1}">
  <sheetPr codeName="Hoja93"/>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DIRECCIONAMIENTO ESTRATÉGICO</v>
      </c>
      <c r="D5" s="787"/>
      <c r="E5" s="787"/>
      <c r="F5" s="787"/>
      <c r="G5" s="787"/>
      <c r="H5" s="787"/>
      <c r="I5" s="787"/>
      <c r="J5" s="787"/>
      <c r="K5" s="787"/>
      <c r="L5" s="787"/>
      <c r="M5" s="787"/>
      <c r="N5" s="787"/>
      <c r="O5" s="788"/>
      <c r="P5" s="130"/>
      <c r="Q5" s="131"/>
    </row>
    <row r="6" spans="1:17" ht="28.5" customHeight="1">
      <c r="A6" s="789" t="s">
        <v>8</v>
      </c>
      <c r="B6" s="790"/>
      <c r="C6" s="711" t="str">
        <f>VLOOKUP(L12,Reporte!$N$5:$BN$133,2,FALSE)</f>
        <v>Jornadas de socialización y acompañamiento técnico de instrumentos, guías, metodologías y lineamientos durante la vigencia 2025</v>
      </c>
      <c r="D6" s="711"/>
      <c r="E6" s="711"/>
      <c r="F6" s="711"/>
      <c r="G6" s="711"/>
      <c r="H6" s="711"/>
      <c r="I6" s="711"/>
      <c r="J6" s="711"/>
      <c r="K6" s="711"/>
      <c r="L6" s="711"/>
      <c r="M6" s="711"/>
      <c r="N6" s="711"/>
      <c r="O6" s="791"/>
      <c r="P6" s="128"/>
    </row>
    <row r="7" spans="1:17" ht="58.5" customHeight="1">
      <c r="A7" s="789" t="s">
        <v>10</v>
      </c>
      <c r="B7" s="790"/>
      <c r="C7" s="711" t="str">
        <f>VLOOKUP(L12,Reporte!A5:M133,10,FALSE)</f>
        <v>Formular la planeación estratégica de la entidad, así como los lineamientos, metodologías e instrumentos para ejercer la supervisión integral a los sujetos vigilados, a través de la articulación de las necesidades de gobierno, del sector, de la alta dirección, partes interesadas y grupos de valor, con el fin de dar cumplimiento a la misión, visión y objetivos institucionales.</v>
      </c>
      <c r="D7" s="711"/>
      <c r="E7" s="711"/>
      <c r="F7" s="711"/>
      <c r="G7" s="711"/>
      <c r="H7" s="711"/>
      <c r="I7" s="711"/>
      <c r="J7" s="711"/>
      <c r="K7" s="711"/>
      <c r="L7" s="711"/>
      <c r="M7" s="711"/>
      <c r="N7" s="711"/>
      <c r="O7" s="791"/>
      <c r="P7" s="128"/>
    </row>
    <row r="8" spans="1:17" ht="34.5" customHeight="1">
      <c r="A8" s="792" t="s">
        <v>1594</v>
      </c>
      <c r="B8" s="774"/>
      <c r="C8" s="711" t="str">
        <f>VLOOKUP(L12,Reporte!$A$5:$N$133,13,FALSE)</f>
        <v>Socializar, divulgar y brindar acompañamiento técnico para la implementación de instrumentos, guías, metodologías y lineamientos a nivel interno (nacional y regional) y externo (cuando aplique).</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56.25" customHeight="1">
      <c r="A10" s="794"/>
      <c r="B10" s="795"/>
      <c r="C10" s="711" t="str">
        <f>VLOOKUP(L12,Reporte!$N$5:$BN$133,4,FALSE)</f>
        <v>Número de jornadas de socializacion e implementación de  instrumentos, guías, metodologías y lineamientos</v>
      </c>
      <c r="D10" s="711"/>
      <c r="E10" s="711"/>
      <c r="F10" s="799" t="str">
        <f>VLOOKUP(L12,Reporte!$N$5:$BN$133,6,FALSE)</f>
        <v>numero de Jornadas de socialización y acompañamiento técnico de instrumentos, guías, metodologías y lineamientos durante la vigencia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v>
      </c>
      <c r="D12" s="711"/>
      <c r="E12" s="711"/>
      <c r="F12" s="799"/>
      <c r="G12" s="799"/>
      <c r="H12" s="799"/>
      <c r="I12" s="799"/>
      <c r="J12" s="712" t="str">
        <f>VLOOKUP(L12,Reporte!$N$5:$BN$133,7,FALSE)</f>
        <v>Eficacia</v>
      </c>
      <c r="K12" s="712"/>
      <c r="L12" s="713" t="s">
        <v>364</v>
      </c>
      <c r="M12" s="713"/>
      <c r="N12" s="714">
        <f>VLOOKUP(L12,Reporte!$AP$5:$CAB$133,38,FALSE)</f>
        <v>0</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Numérica</v>
      </c>
      <c r="B15" s="729"/>
      <c r="C15" s="825">
        <f>VLOOKUP(L12,Reporte!$N$5:$BN$133,11,FALSE)</f>
        <v>6</v>
      </c>
      <c r="D15" s="826"/>
      <c r="E15" s="827"/>
      <c r="F15" s="740" t="str">
        <f>VLOOKUP(L12,Reporte!$N$5:$BN$133,9,FALSE)</f>
        <v xml:space="preserve">Mensual </v>
      </c>
      <c r="G15" s="741"/>
      <c r="H15" s="707" t="s">
        <v>37</v>
      </c>
      <c r="I15" s="707"/>
      <c r="J15" s="746" t="s">
        <v>1595</v>
      </c>
      <c r="K15" s="747"/>
      <c r="L15" s="748"/>
      <c r="M15" s="775" t="str">
        <f>VLOOKUP(L12,Reporte!$N$5:$BN$133,28,FALSE)</f>
        <v>Dirección de Innovación y Desarrollo</v>
      </c>
      <c r="N15" s="776"/>
      <c r="O15" s="777"/>
      <c r="P15" s="128"/>
    </row>
    <row r="16" spans="1:17" ht="15.75">
      <c r="A16" s="730"/>
      <c r="B16" s="731"/>
      <c r="C16" s="828"/>
      <c r="D16" s="829"/>
      <c r="E16" s="830"/>
      <c r="F16" s="742"/>
      <c r="G16" s="743"/>
      <c r="H16" s="707" t="s">
        <v>40</v>
      </c>
      <c r="I16" s="707"/>
      <c r="J16" s="746" t="s">
        <v>1596</v>
      </c>
      <c r="K16" s="747"/>
      <c r="L16" s="748"/>
      <c r="M16" s="778"/>
      <c r="N16" s="779"/>
      <c r="O16" s="780"/>
      <c r="P16" s="128"/>
    </row>
    <row r="17" spans="1:17" ht="16.5" thickBot="1">
      <c r="A17" s="732"/>
      <c r="B17" s="733"/>
      <c r="C17" s="831"/>
      <c r="D17" s="832"/>
      <c r="E17" s="8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2</v>
      </c>
      <c r="I22" s="132">
        <f>VLOOKUP(L12,Reporte!$N$5:$BN$133,36,FALSE)</f>
        <v>0</v>
      </c>
      <c r="J22" s="139">
        <f>VLOOKUP(L12,Reporte!$N$5:$BN$133,37,FALSE)</f>
        <v>2</v>
      </c>
      <c r="K22" s="139">
        <f>VLOOKUP(L12,Reporte!$N$5:$BN$133,38,FALSE)</f>
        <v>0</v>
      </c>
      <c r="L22" s="139">
        <f>VLOOKUP(L12,Reporte!$N$5:$BN$133,39,FALSE)</f>
        <v>1</v>
      </c>
      <c r="M22" s="139">
        <f>VLOOKUP(L12,Reporte!$N$5:$BN$133,40,FALSE)</f>
        <v>1</v>
      </c>
      <c r="N22" s="133">
        <f>VLOOKUP(L12,Reporte!$N$5:$BN$133,41,FALSE)</f>
        <v>0</v>
      </c>
      <c r="O22" s="133">
        <f>SUM(C22:N22)</f>
        <v>6</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2</v>
      </c>
      <c r="I23" s="140">
        <f>VLOOKUP(L12,Reporte!$N$5:$BN$133,48,FALSE)</f>
        <v>0</v>
      </c>
      <c r="J23" s="140">
        <f>VLOOKUP(L12,Reporte!$N$5:$BN$133,49,FALSE)</f>
        <v>1</v>
      </c>
      <c r="K23" s="140">
        <f>VLOOKUP(L12,Reporte!$N$5:$BN$133,50,FALSE)</f>
        <v>1</v>
      </c>
      <c r="L23" s="140">
        <f>VLOOKUP(L12,Reporte!$N$5:$BN$133,51,FALSE)</f>
        <v>1</v>
      </c>
      <c r="M23" s="140">
        <f>VLOOKUP(L12,Reporte!$N$5:$BN$133,52,FALSE)</f>
        <v>1</v>
      </c>
      <c r="N23" s="141">
        <f>VLOOKUP(L12,Reporte!$N$5:$BN$133,53,FALSE)</f>
        <v>0</v>
      </c>
      <c r="O23" s="133">
        <f>SUM(C23:N23)</f>
        <v>6</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61">
        <f>+C22</f>
        <v>0</v>
      </c>
      <c r="C26" s="161">
        <f>+C15</f>
        <v>6</v>
      </c>
      <c r="D26" s="161">
        <f>+C26*0.98</f>
        <v>5.88</v>
      </c>
      <c r="E26" s="147"/>
      <c r="F26" s="147"/>
      <c r="G26" s="685"/>
      <c r="H26" s="685"/>
      <c r="I26" s="699"/>
      <c r="J26" s="699"/>
      <c r="K26" s="699"/>
      <c r="L26" s="685"/>
      <c r="M26" s="685"/>
      <c r="N26" s="685"/>
      <c r="O26" s="701"/>
      <c r="P26" s="148"/>
      <c r="Q26" s="149"/>
    </row>
    <row r="27" spans="1:17" s="127" customFormat="1" ht="15">
      <c r="A27" s="145" t="s">
        <v>95</v>
      </c>
      <c r="B27" s="161">
        <f>+D22</f>
        <v>0</v>
      </c>
      <c r="C27" s="161">
        <f>+C26</f>
        <v>6</v>
      </c>
      <c r="D27" s="161">
        <f>+D26</f>
        <v>5.88</v>
      </c>
      <c r="E27" s="147"/>
      <c r="F27" s="147"/>
      <c r="G27" s="685"/>
      <c r="H27" s="685"/>
      <c r="I27" s="685"/>
      <c r="J27" s="685"/>
      <c r="K27" s="147"/>
      <c r="L27" s="685"/>
      <c r="M27" s="685"/>
      <c r="N27" s="685"/>
      <c r="O27" s="701"/>
      <c r="P27" s="148"/>
      <c r="Q27" s="149"/>
    </row>
    <row r="28" spans="1:17" s="127" customFormat="1" ht="15">
      <c r="A28" s="145" t="s">
        <v>96</v>
      </c>
      <c r="B28" s="161">
        <f>+E22</f>
        <v>0</v>
      </c>
      <c r="C28" s="161">
        <f t="shared" ref="C28:D37" si="0">+C27</f>
        <v>6</v>
      </c>
      <c r="D28" s="161">
        <f t="shared" si="0"/>
        <v>5.88</v>
      </c>
      <c r="E28" s="147"/>
      <c r="F28" s="147"/>
      <c r="G28" s="685"/>
      <c r="H28" s="685"/>
      <c r="I28" s="685"/>
      <c r="J28" s="685"/>
      <c r="K28" s="147"/>
      <c r="L28" s="685"/>
      <c r="M28" s="685"/>
      <c r="N28" s="685"/>
      <c r="O28" s="701"/>
      <c r="P28" s="148"/>
      <c r="Q28" s="149"/>
    </row>
    <row r="29" spans="1:17" s="127" customFormat="1" ht="15">
      <c r="A29" s="145" t="s">
        <v>97</v>
      </c>
      <c r="B29" s="161">
        <f>+F22</f>
        <v>0</v>
      </c>
      <c r="C29" s="161">
        <f t="shared" si="0"/>
        <v>6</v>
      </c>
      <c r="D29" s="161">
        <f t="shared" si="0"/>
        <v>5.88</v>
      </c>
      <c r="E29" s="147"/>
      <c r="F29" s="147"/>
      <c r="G29" s="685"/>
      <c r="H29" s="685"/>
      <c r="I29" s="685"/>
      <c r="J29" s="685"/>
      <c r="K29" s="147"/>
      <c r="L29" s="685"/>
      <c r="M29" s="685"/>
      <c r="N29" s="685"/>
      <c r="O29" s="701"/>
      <c r="P29" s="148"/>
      <c r="Q29" s="149"/>
    </row>
    <row r="30" spans="1:17" s="127" customFormat="1" ht="15">
      <c r="A30" s="145" t="s">
        <v>98</v>
      </c>
      <c r="B30" s="161">
        <f>+G22</f>
        <v>0</v>
      </c>
      <c r="C30" s="161">
        <f t="shared" si="0"/>
        <v>6</v>
      </c>
      <c r="D30" s="161">
        <f t="shared" si="0"/>
        <v>5.88</v>
      </c>
      <c r="E30" s="147"/>
      <c r="F30" s="147"/>
      <c r="G30" s="685"/>
      <c r="H30" s="685"/>
      <c r="I30" s="685"/>
      <c r="J30" s="685"/>
      <c r="K30" s="147"/>
      <c r="L30" s="685"/>
      <c r="M30" s="685"/>
      <c r="N30" s="685"/>
      <c r="O30" s="701"/>
      <c r="P30" s="148"/>
      <c r="Q30" s="149"/>
    </row>
    <row r="31" spans="1:17" s="127" customFormat="1" ht="15">
      <c r="A31" s="145" t="s">
        <v>99</v>
      </c>
      <c r="B31" s="161">
        <f>+H22</f>
        <v>2</v>
      </c>
      <c r="C31" s="161">
        <f t="shared" si="0"/>
        <v>6</v>
      </c>
      <c r="D31" s="161">
        <f t="shared" si="0"/>
        <v>5.88</v>
      </c>
      <c r="E31" s="147"/>
      <c r="F31" s="147"/>
      <c r="G31" s="685"/>
      <c r="H31" s="685"/>
      <c r="I31" s="685"/>
      <c r="J31" s="685"/>
      <c r="K31" s="147"/>
      <c r="L31" s="685"/>
      <c r="M31" s="685"/>
      <c r="N31" s="685"/>
      <c r="O31" s="701"/>
      <c r="P31" s="148"/>
      <c r="Q31" s="149"/>
    </row>
    <row r="32" spans="1:17" s="127" customFormat="1" ht="15">
      <c r="A32" s="145" t="s">
        <v>100</v>
      </c>
      <c r="B32" s="161">
        <f>+I22</f>
        <v>0</v>
      </c>
      <c r="C32" s="161">
        <f t="shared" si="0"/>
        <v>6</v>
      </c>
      <c r="D32" s="161">
        <f t="shared" si="0"/>
        <v>5.88</v>
      </c>
      <c r="E32" s="147"/>
      <c r="F32" s="147"/>
      <c r="G32" s="685"/>
      <c r="H32" s="685"/>
      <c r="I32" s="685"/>
      <c r="J32" s="685"/>
      <c r="K32" s="147"/>
      <c r="L32" s="685"/>
      <c r="M32" s="685"/>
      <c r="N32" s="685"/>
      <c r="O32" s="701"/>
      <c r="P32" s="148"/>
      <c r="Q32" s="149"/>
    </row>
    <row r="33" spans="1:17" s="127" customFormat="1" ht="15">
      <c r="A33" s="145" t="s">
        <v>101</v>
      </c>
      <c r="B33" s="161">
        <f>+J22</f>
        <v>2</v>
      </c>
      <c r="C33" s="161">
        <f t="shared" si="0"/>
        <v>6</v>
      </c>
      <c r="D33" s="161">
        <f t="shared" si="0"/>
        <v>5.88</v>
      </c>
      <c r="E33" s="147"/>
      <c r="F33" s="147"/>
      <c r="G33" s="685"/>
      <c r="H33" s="685"/>
      <c r="I33" s="685"/>
      <c r="J33" s="685"/>
      <c r="K33" s="147"/>
      <c r="L33" s="685"/>
      <c r="M33" s="685"/>
      <c r="N33" s="685"/>
      <c r="O33" s="701"/>
      <c r="P33" s="148"/>
      <c r="Q33" s="149"/>
    </row>
    <row r="34" spans="1:17" s="127" customFormat="1" ht="15">
      <c r="A34" s="145" t="s">
        <v>102</v>
      </c>
      <c r="B34" s="161">
        <f>+K22</f>
        <v>0</v>
      </c>
      <c r="C34" s="161">
        <f t="shared" si="0"/>
        <v>6</v>
      </c>
      <c r="D34" s="161">
        <f t="shared" si="0"/>
        <v>5.88</v>
      </c>
      <c r="E34" s="147"/>
      <c r="F34" s="147"/>
      <c r="G34" s="685"/>
      <c r="H34" s="685"/>
      <c r="I34" s="685"/>
      <c r="J34" s="685"/>
      <c r="K34" s="147"/>
      <c r="L34" s="685"/>
      <c r="M34" s="685"/>
      <c r="N34" s="685"/>
      <c r="O34" s="701"/>
      <c r="P34" s="148"/>
      <c r="Q34" s="149"/>
    </row>
    <row r="35" spans="1:17" s="127" customFormat="1" ht="15">
      <c r="A35" s="145" t="s">
        <v>103</v>
      </c>
      <c r="B35" s="161">
        <f>+L22</f>
        <v>1</v>
      </c>
      <c r="C35" s="161">
        <f t="shared" si="0"/>
        <v>6</v>
      </c>
      <c r="D35" s="161">
        <f t="shared" si="0"/>
        <v>5.88</v>
      </c>
      <c r="E35" s="147"/>
      <c r="F35" s="147"/>
      <c r="G35" s="685"/>
      <c r="H35" s="685"/>
      <c r="I35" s="685"/>
      <c r="J35" s="685"/>
      <c r="K35" s="147"/>
      <c r="L35" s="685"/>
      <c r="M35" s="685"/>
      <c r="N35" s="685"/>
      <c r="O35" s="701"/>
      <c r="P35" s="148"/>
      <c r="Q35" s="149"/>
    </row>
    <row r="36" spans="1:17" s="127" customFormat="1" ht="15">
      <c r="A36" s="145" t="s">
        <v>104</v>
      </c>
      <c r="B36" s="161">
        <f>+M22</f>
        <v>1</v>
      </c>
      <c r="C36" s="161">
        <f t="shared" si="0"/>
        <v>6</v>
      </c>
      <c r="D36" s="161">
        <f t="shared" si="0"/>
        <v>5.88</v>
      </c>
      <c r="E36" s="147"/>
      <c r="F36" s="147"/>
      <c r="G36" s="685"/>
      <c r="H36" s="685"/>
      <c r="I36" s="685"/>
      <c r="J36" s="685"/>
      <c r="K36" s="147"/>
      <c r="L36" s="685"/>
      <c r="M36" s="685"/>
      <c r="N36" s="685"/>
      <c r="O36" s="701"/>
      <c r="P36" s="148"/>
      <c r="Q36" s="149"/>
    </row>
    <row r="37" spans="1:17" s="127" customFormat="1" ht="15.75" thickBot="1">
      <c r="A37" s="150" t="s">
        <v>105</v>
      </c>
      <c r="B37" s="162">
        <f>+N22</f>
        <v>0</v>
      </c>
      <c r="C37" s="161">
        <f t="shared" si="0"/>
        <v>6</v>
      </c>
      <c r="D37" s="161">
        <f t="shared" si="0"/>
        <v>5.88</v>
      </c>
      <c r="E37" s="147"/>
      <c r="F37" s="147"/>
      <c r="G37" s="147"/>
      <c r="H37" s="147"/>
      <c r="I37" s="147"/>
      <c r="J37" s="147"/>
      <c r="K37" s="147"/>
      <c r="L37" s="685"/>
      <c r="M37" s="685"/>
      <c r="N37" s="685"/>
      <c r="O37" s="701"/>
      <c r="P37" s="148"/>
      <c r="Q37" s="149"/>
    </row>
    <row r="38" spans="1:17" s="127" customFormat="1" ht="15.75" thickBot="1">
      <c r="A38" s="152" t="s">
        <v>106</v>
      </c>
      <c r="B38" s="164">
        <f>+O22</f>
        <v>6</v>
      </c>
      <c r="C38" s="164">
        <f>+C37</f>
        <v>6</v>
      </c>
      <c r="D38" s="164">
        <f>+D37</f>
        <v>5.88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2.75" customHeight="1" thickBot="1">
      <c r="A51" s="673" t="str">
        <f>VLOOKUP(L12,Reporte!$N$5:$BZ$133,59,FALSE)</f>
        <v xml:space="preserve">Se realizaron dos (2) socializaciones: 
1. Bogota-Circular SIARC.
2. Cali- Reporte de información, Sistema integrado de gestión de riesgos , SIARC.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 xml:space="preserve">​Se realizaron dos socializaciones durante el mes de agosto adelantando la socializacion del mes de septiembre, cumpliendo el 100% de las actividades programadas.
Estas  socializaciones se realizaron  en la ciudades de Pasto y Cali, en la cuales se aboradron los temas de Marco Integral de Supervisión y SIARC respectivamente.
</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 xml:space="preserve">​Esta actividad fue   ejecutada durante el mes de agosto 
se realizaron dos socializaciones en la ciudades de Pasto y Cali, en la cuales se aboradron los temas de Marco Integral de Supervisión y SIARC respectivamente
</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 xml:space="preserve">​Durante el mes de octubre se realizo visita tecnica a la  regional  Norte ( Barranquilla ) para realizar socializacion  del marco y de los modelos de supervision, en el marco del Plan de Fortalecimiento Institucional de la Estrategia  Territorial de la Dirección de Innovación y Desarrollo.
</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N/A</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realizaron 6 socializaciones, con sobrecumplimiento de la meta de 6 socializaciones para  2025.
Se presentan inconsistencias en el reporte de noviembre.</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04933-4F77-48E0-80E6-CA23D1C58D94}">
  <sheetPr codeName="Hoja94"/>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sanciones enviadas en grado de consulta en contra de la SNS.</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35.25" customHeight="1">
      <c r="A8" s="792" t="s">
        <v>1594</v>
      </c>
      <c r="B8" s="774"/>
      <c r="C8" s="711" t="str">
        <f>VLOOKUP(L12,Reporte!$A$5:$N$133,13,FALSE)</f>
        <v>Solicitar, en grado de consulta, la inaplicación y/o revocatoria de sanciones impuestas por desacato, en contra de la superintendencia nacional de salud.</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Numero de sanciones revocadas en grado de consulta en el periodo </v>
      </c>
      <c r="D10" s="711"/>
      <c r="E10" s="711"/>
      <c r="F10" s="799" t="str">
        <f>VLOOKUP(L12,Reporte!$N$5:$BN$133,6,FALSE)</f>
        <v>Este indicador mide el porcentaje de sanciones enviadas en grado de consulta a la SNS.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Numero de sanciones enviadas al grado de consulta en el periodox100. </v>
      </c>
      <c r="D12" s="711"/>
      <c r="E12" s="711"/>
      <c r="F12" s="799"/>
      <c r="G12" s="799"/>
      <c r="H12" s="799"/>
      <c r="I12" s="799"/>
      <c r="J12" s="712" t="str">
        <f>VLOOKUP(L12,Reporte!$N$5:$BN$133,7,FALSE)</f>
        <v>Eficiencia</v>
      </c>
      <c r="K12" s="712"/>
      <c r="L12" s="713" t="s">
        <v>509</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Dirección Jurídica</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7</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21</v>
      </c>
      <c r="O22" s="133">
        <f>SUM(C22:N22)</f>
        <v>28</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8</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21</v>
      </c>
      <c r="O23" s="133">
        <f>SUM(C23:N23)</f>
        <v>29</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0.875</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0.96551724137931039</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​De las  8 sanciones enviadas en grado de consulta, solamente una sanción no fue revocada, dado que el Despacho entendió que nuestras acciones no habían sido efectivas para garantizar el derecho a la salud de la accionante.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 De 21 sanciones enviadas en grado de consulta, 21 sanciones fueron  revocadas. En el periodo informado no se materializó  ninguna sancion en contra del superintendente.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De las 29 Sanciones que se remitieron en grado de consulta 28 fueron revocadas, es decir el 97%, es decir se incumplió la meta porcentual de 100% para la vigencia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A45E6-1BE8-4102-ADFE-33E4824548B4}">
  <sheetPr codeName="Hoja95"/>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0.25"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Porcentaje de requerimientos tramitados oportunamente en desarrollo de las acciones constitucionales de tutela</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15.75">
      <c r="A8" s="792" t="s">
        <v>1594</v>
      </c>
      <c r="B8" s="774"/>
      <c r="C8" s="711" t="str">
        <f>VLOOKUP(L12,Reporte!$A$5:$N$133,13,FALSE)</f>
        <v>Gestionar los requerimientos radicados por los despachos judiciales en el grupo de tutelas</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48.75" customHeight="1">
      <c r="A10" s="794"/>
      <c r="B10" s="795"/>
      <c r="C10" s="711" t="str">
        <f>VLOOKUP(L12,Reporte!$N$5:$BN$133,4,FALSE)</f>
        <v xml:space="preserve">Número de requerimientos gestionados por el grupo de tutelas </v>
      </c>
      <c r="D10" s="711"/>
      <c r="E10" s="711"/>
      <c r="F10" s="799" t="str">
        <f>VLOOKUP(L12,Reporte!$N$5:$BN$133,6,FALSE)</f>
        <v>Mide los requerimientos tramitados oportunamente en desarrollo de las acciones constitucionales de tutela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48.75" customHeight="1" thickBot="1">
      <c r="A12" s="796"/>
      <c r="B12" s="768"/>
      <c r="C12" s="710" t="str">
        <f>VLOOKUP(L12,Reporte!$N$5:$BN$133,5,FALSE)</f>
        <v xml:space="preserve"> Número de requerimientos notificados al grupo de tutelas en el periodo x100.</v>
      </c>
      <c r="D12" s="711"/>
      <c r="E12" s="711"/>
      <c r="F12" s="799"/>
      <c r="G12" s="799"/>
      <c r="H12" s="799"/>
      <c r="I12" s="799"/>
      <c r="J12" s="712" t="str">
        <f>VLOOKUP(L12,Reporte!$N$5:$BN$133,7,FALSE)</f>
        <v>Eficiencia</v>
      </c>
      <c r="K12" s="712"/>
      <c r="L12" s="713" t="s">
        <v>471</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Dirección Jurídica</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88</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115491</v>
      </c>
      <c r="O22" s="133">
        <f>SUM(C22:N22)</f>
        <v>115579</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88</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123166</v>
      </c>
      <c r="O23" s="133">
        <f>SUM(C23:N23)</f>
        <v>123254</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0.93768572495656266</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0.93773021565223036</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En el primer semestre de 2025, todos los requerimientos por incidentes de desacato derivados de acciones de tutela en las que se consideró por parte del accionante la vulneración a derechos fundamentales por acciones u omisiones propias de la Entidad, fueron tramitados por el grupo de tutelas.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​El grupo de tutelas obtuvo un 93.76% de efectividad frente a las respuestas de procesos de tutelas asignadas.  El porcentaje de efectividad disminuyó frente al reporte del semestre anterior en la medida que se aumentó  progresivamente el flujo de tutelas en los que la SNS hace parte  y la capacidad instalada de la Dirección jurídica no creció en la misma proporción.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123.116 requerimientos asignados a los abogados se dio respuesta a 116.850, es decir al 93,61%, incumpliendo la meta porcentual del 100% para 2025.
El reporte de los datos con especto a la evidencia presentada no es exacto.</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46BEC-F5D9-4A34-9BB7-F969B2EA590F}">
  <sheetPr codeName="Hoja96"/>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actos administrativos entregados para firma, numeración y su posterior notificación, que resuelven los recursos y solicitudes de revocatoria directa que se presenten dentro de los procesos de única instancia. </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3" customHeight="1">
      <c r="A8" s="792" t="s">
        <v>1594</v>
      </c>
      <c r="B8" s="774"/>
      <c r="C8" s="711" t="str">
        <f>VLOOKUP(L12,Reporte!$A$5:$N$133,13,FALSE)</f>
        <v>Proyectar los actos administrativos que resuelven los recursos de reposición,  y solicitudes de revocatoria directa que se presenten dentro de los procesos de única  instancia.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111.75" customHeight="1">
      <c r="A10" s="794"/>
      <c r="B10" s="795"/>
      <c r="C10" s="711" t="str">
        <f>VLOOKUP(L12,Reporte!$N$5:$BN$133,4,FALSE)</f>
        <v xml:space="preserve">Número de proyectos de actos administrativos entregados para firma del Superintendente Nacional de Salud, que resuelven recursos y solicitudes de única instancia, que vencen dentro del periodo a reportar </v>
      </c>
      <c r="D10" s="711"/>
      <c r="E10" s="711"/>
      <c r="F10" s="799" t="str">
        <f>VLOOKUP(L12,Reporte!$N$5:$BN$133,6,FALSE)</f>
        <v>Este indicador mide el porcentaje de actos asministrativos para firma del superintendente</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6.25" customHeight="1" thickBot="1">
      <c r="A12" s="796"/>
      <c r="B12" s="768"/>
      <c r="C12" s="710" t="str">
        <f>VLOOKUP(L12,Reporte!$N$5:$BN$133,5,FALSE)</f>
        <v xml:space="preserve"> No solicitudes de única instancia con vencimiento dentro del periodo a reportar x 100.</v>
      </c>
      <c r="D12" s="711"/>
      <c r="E12" s="711"/>
      <c r="F12" s="799"/>
      <c r="G12" s="799"/>
      <c r="H12" s="799"/>
      <c r="I12" s="799"/>
      <c r="J12" s="712" t="str">
        <f>VLOOKUP(L12,Reporte!$N$5:$BN$133,7,FALSE)</f>
        <v>Eficiencia</v>
      </c>
      <c r="K12" s="712"/>
      <c r="L12" s="713" t="s">
        <v>277</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Dirección Jurídica</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14</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6</v>
      </c>
      <c r="O22" s="133">
        <f>SUM(C22:N22)</f>
        <v>20</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14</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6</v>
      </c>
      <c r="O23" s="133">
        <f>SUM(C23:N23)</f>
        <v>20</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​Dentro del periodo a reportar la Subdirección de Recursos Jurídicos cumplió con el indicador propuesto (100%), toda vez que, resolvió  los recursos de única instancia en el termino de oportunidad de dos meses desde la fecha de recepción del recursos. 
 Dentro de los asuntos gestionados se encuentran 13 recursos de reposición y una solicitud de revocatoria directa.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3.5" customHeight="1" thickBot="1">
      <c r="A63" s="673" t="str">
        <f>VLOOKUP(L12,Reporte!$N$5:$BZ$133,65,FALSE)</f>
        <v xml:space="preserve">Dentro del período objeto de reporte se cumplió en su totalidad con el indicador propuesto (100%), en la medida en que los recursos de única instancia fueron resueltos y entregados dentro del término de oportunidad de dos (2) meses contados a partir de la fecha de recepción del respectivo recurso.
A la fecha, se remitieron seis (6) solicitudes para el trámite de recursos de reposición en única instancia, de las cuales seis (6) fueron resueltas dentro del término establecido.
​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crearon en su totalidad los proyectos de actos administrativos del total de las 20 solicitudes de única instancia, cumplimiento con la meta propuesta para lo corrido de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A2031-AB6F-4B6B-958D-4862FF998CFA}">
  <sheetPr codeName="Hoja97"/>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CONTROL</v>
      </c>
      <c r="D5" s="787"/>
      <c r="E5" s="787"/>
      <c r="F5" s="787"/>
      <c r="G5" s="787"/>
      <c r="H5" s="787"/>
      <c r="I5" s="787"/>
      <c r="J5" s="787"/>
      <c r="K5" s="787"/>
      <c r="L5" s="787"/>
      <c r="M5" s="787"/>
      <c r="N5" s="787"/>
      <c r="O5" s="788"/>
      <c r="P5" s="130"/>
      <c r="Q5" s="131"/>
    </row>
    <row r="6" spans="1:17" ht="28.5" customHeight="1">
      <c r="A6" s="789" t="s">
        <v>8</v>
      </c>
      <c r="B6" s="790"/>
      <c r="C6" s="711" t="str">
        <f>VLOOKUP(L12,Reporte!$N$5:$BN$133,2,FALSE)</f>
        <v>Actos administrativos entregados  para firma, numeración y su posterior notificación oportuna, que resuelven los recursos de apelación, queja y solicitudes de revocatoria directa que se presentaron dentro de los procesos sancionatorios en  segunda instancia.</v>
      </c>
      <c r="D6" s="711"/>
      <c r="E6" s="711"/>
      <c r="F6" s="711"/>
      <c r="G6" s="711"/>
      <c r="H6" s="711"/>
      <c r="I6" s="711"/>
      <c r="J6" s="711"/>
      <c r="K6" s="711"/>
      <c r="L6" s="711"/>
      <c r="M6" s="711"/>
      <c r="N6" s="711"/>
      <c r="O6" s="791"/>
      <c r="P6" s="128"/>
    </row>
    <row r="7" spans="1:17" ht="58.5" customHeight="1">
      <c r="A7" s="789" t="s">
        <v>10</v>
      </c>
      <c r="B7" s="790"/>
      <c r="C7" s="711" t="str">
        <f>VLOOKUP(L12,Reporte!A5:M133,10,FALSE)</f>
        <v>Establecer las medidas de control a los sujetos vigilados , mediante el análisis de su viabilidad, la determinación, adopción y seguimiento de las órdenes, acciones o medidas especiales y la ejecución del proceso administrativo sancionatorio, con el fin de asegurar el cumplimiento de las obligaciones de los vigilados, la adecuada prestación de los servicios de salud en el marco del SGSSS y la generación de recursos para el mismo.</v>
      </c>
      <c r="D7" s="711"/>
      <c r="E7" s="711"/>
      <c r="F7" s="711"/>
      <c r="G7" s="711"/>
      <c r="H7" s="711"/>
      <c r="I7" s="711"/>
      <c r="J7" s="711"/>
      <c r="K7" s="711"/>
      <c r="L7" s="711"/>
      <c r="M7" s="711"/>
      <c r="N7" s="711"/>
      <c r="O7" s="791"/>
      <c r="P7" s="128"/>
    </row>
    <row r="8" spans="1:17" ht="30" customHeight="1">
      <c r="A8" s="792" t="s">
        <v>1594</v>
      </c>
      <c r="B8" s="774"/>
      <c r="C8" s="711" t="str">
        <f>VLOOKUP(L12,Reporte!$A$5:$N$133,13,FALSE)</f>
        <v>Proyectar los actos administrativos que resuelven los recursos de apelación y queja y solicitudes de revocatoria directa que se presentaron dentro de los procesos administrativos sancionatorios en segunda instancia.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100.5" customHeight="1">
      <c r="A10" s="794"/>
      <c r="B10" s="795"/>
      <c r="C10" s="711" t="str">
        <f>VLOOKUP(L12,Reporte!$N$5:$BN$133,4,FALSE)</f>
        <v xml:space="preserve">Número de recursos entregados para la firma del Superintendente Nacional de Salud resolviendo solicitudes de segunda instancia que se vencen dentro del periodo a reportar </v>
      </c>
      <c r="D10" s="711"/>
      <c r="E10" s="711"/>
      <c r="F10" s="799" t="str">
        <f>VLOOKUP(L12,Reporte!$N$5:$BN$133,6,FALSE)</f>
        <v>Este indicador mide el porcentaje de actos admisnitrativos entregados para firma oportuna de los procesos sancionatorios en segunda estancia.</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56.25" customHeight="1" thickBot="1">
      <c r="A12" s="796"/>
      <c r="B12" s="768"/>
      <c r="C12" s="710" t="str">
        <f>VLOOKUP(L12,Reporte!$N$5:$BN$133,5,FALSE)</f>
        <v xml:space="preserve"> No solicitudes de segunda instancia con vencimiento dentro del periodo a reportar x 100</v>
      </c>
      <c r="D12" s="711"/>
      <c r="E12" s="711"/>
      <c r="F12" s="799"/>
      <c r="G12" s="799"/>
      <c r="H12" s="799"/>
      <c r="I12" s="799"/>
      <c r="J12" s="712" t="str">
        <f>VLOOKUP(L12,Reporte!$N$5:$BN$133,7,FALSE)</f>
        <v>Eficiencia</v>
      </c>
      <c r="K12" s="712"/>
      <c r="L12" s="713" t="s">
        <v>282</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Dirección Jurídica</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114</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58</v>
      </c>
      <c r="O22" s="133">
        <f>SUM(C22:N22)</f>
        <v>172</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114</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58</v>
      </c>
      <c r="O23" s="133">
        <f>SUM(C23:N23)</f>
        <v>172</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1</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1</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56.25" customHeight="1" thickBot="1">
      <c r="A51" s="673" t="str">
        <f>VLOOKUP(L12,Reporte!$N$5:$BZ$133,59,FALSE)</f>
        <v xml:space="preserve">​Durante el periodo a reportar (2025-1) está Subdirección  cumplió con el indicador propuesto (100%),  entregando para firma y notificación los actos administrativos en el termino previsto por el artículo 52 de la Ley 1437.
 Dentro del periodo a reportar, se encuentran 102 asuntos que resuelven apelación, 5 que resuelven recurso de queja y  7 que resuelven solicitudes de revocatoria directa.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 xml:space="preserve">Dentro del período objeto de reporte se cumplió con el indicador propuesto (100%),  entregando para firma y notificación 58 actos administrativos que resuelven los recursos de apelación,  queja y solicitudes de revocatoria directa  antes de la fecha de caducidad de que trata el artículo 52 de la ley 1437 de 2011- Código de Procedimiento Administrativo y de lo Contencioso Administrativo.
</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proyectaron en su totalidad los actos administrativos de las 172 solicitudes de segunda instancia que ingresaron a la dependencia, cumplimiento con la meta del 100%, propuesta para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49DC0-9155-4761-BAA9-291102D1D683}">
  <sheetPr codeName="Hoja98"/>
  <dimension ref="A1:Q67"/>
  <sheetViews>
    <sheetView view="pageBreakPreview" zoomScale="80" zoomScaleNormal="73" zoomScaleSheetLayoutView="80" zoomScalePageLayoutView="55" workbookViewId="0">
      <selection sqref="A1:B4"/>
    </sheetView>
  </sheetViews>
  <sheetFormatPr baseColWidth="10" defaultColWidth="21.625" defaultRowHeight="0" customHeight="1" zeroHeight="1"/>
  <cols>
    <col min="1" max="1" width="12.625" style="129" customWidth="1"/>
    <col min="2" max="2" width="11.75" style="129" customWidth="1"/>
    <col min="3" max="15" width="9.5" style="129" customWidth="1"/>
    <col min="16" max="16" width="0.75" style="129" customWidth="1"/>
    <col min="17" max="17" width="21.625" style="129"/>
    <col min="18" max="16384" width="21.625" style="57"/>
  </cols>
  <sheetData>
    <row r="1" spans="1:17" ht="13.5" customHeight="1">
      <c r="A1" s="753"/>
      <c r="B1" s="754"/>
      <c r="C1" s="661" t="s">
        <v>918</v>
      </c>
      <c r="D1" s="759"/>
      <c r="E1" s="759"/>
      <c r="F1" s="759"/>
      <c r="G1" s="759"/>
      <c r="H1" s="759"/>
      <c r="I1" s="759"/>
      <c r="J1" s="759"/>
      <c r="K1" s="759"/>
      <c r="L1" s="661" t="s">
        <v>2</v>
      </c>
      <c r="M1" s="662"/>
      <c r="N1" s="761" t="s">
        <v>1592</v>
      </c>
      <c r="O1" s="762"/>
      <c r="P1" s="128"/>
    </row>
    <row r="2" spans="1:17" ht="13.5" customHeight="1">
      <c r="A2" s="755"/>
      <c r="B2" s="756"/>
      <c r="C2" s="663"/>
      <c r="D2" s="760"/>
      <c r="E2" s="760"/>
      <c r="F2" s="760"/>
      <c r="G2" s="760"/>
      <c r="H2" s="760"/>
      <c r="I2" s="760"/>
      <c r="J2" s="760"/>
      <c r="K2" s="760"/>
      <c r="L2" s="663"/>
      <c r="M2" s="664"/>
      <c r="N2" s="763"/>
      <c r="O2" s="764"/>
      <c r="P2" s="128"/>
    </row>
    <row r="3" spans="1:17" ht="20.25" customHeight="1">
      <c r="A3" s="755"/>
      <c r="B3" s="756"/>
      <c r="C3" s="765" t="s">
        <v>5</v>
      </c>
      <c r="D3" s="766"/>
      <c r="E3" s="766"/>
      <c r="F3" s="766"/>
      <c r="G3" s="766"/>
      <c r="H3" s="766"/>
      <c r="I3" s="766"/>
      <c r="J3" s="766"/>
      <c r="K3" s="766"/>
      <c r="L3" s="773" t="s">
        <v>6</v>
      </c>
      <c r="M3" s="774"/>
      <c r="N3" s="769">
        <v>1</v>
      </c>
      <c r="O3" s="770"/>
      <c r="P3" s="128"/>
    </row>
    <row r="4" spans="1:17" ht="21" customHeight="1" thickBot="1">
      <c r="A4" s="757"/>
      <c r="B4" s="758"/>
      <c r="C4" s="767"/>
      <c r="D4" s="768"/>
      <c r="E4" s="768"/>
      <c r="F4" s="768"/>
      <c r="G4" s="768"/>
      <c r="H4" s="768"/>
      <c r="I4" s="768"/>
      <c r="J4" s="768"/>
      <c r="K4" s="768"/>
      <c r="L4" s="665" t="s">
        <v>1593</v>
      </c>
      <c r="M4" s="666"/>
      <c r="N4" s="771">
        <v>45077</v>
      </c>
      <c r="O4" s="772"/>
      <c r="P4" s="128"/>
    </row>
    <row r="5" spans="1:17" s="58" customFormat="1" ht="16.5" thickBot="1">
      <c r="A5" s="784" t="s">
        <v>0</v>
      </c>
      <c r="B5" s="785"/>
      <c r="C5" s="786" t="str">
        <f>VLOOKUP(L12,Reporte!$A$5:$M$133,9,FALSE)</f>
        <v>GESTIÓN JURÍDICA</v>
      </c>
      <c r="D5" s="787"/>
      <c r="E5" s="787"/>
      <c r="F5" s="787"/>
      <c r="G5" s="787"/>
      <c r="H5" s="787"/>
      <c r="I5" s="787"/>
      <c r="J5" s="787"/>
      <c r="K5" s="787"/>
      <c r="L5" s="787"/>
      <c r="M5" s="787"/>
      <c r="N5" s="787"/>
      <c r="O5" s="788"/>
      <c r="P5" s="130"/>
      <c r="Q5" s="131"/>
    </row>
    <row r="6" spans="1:17" ht="28.5" customHeight="1">
      <c r="A6" s="789" t="s">
        <v>8</v>
      </c>
      <c r="B6" s="790"/>
      <c r="C6" s="711" t="str">
        <f>VLOOKUP(L12,Reporte!$N$5:$BN$133,2,FALSE)</f>
        <v xml:space="preserve">Porcentaje de conceptos, solicitudes y derechos de petición tramitados. </v>
      </c>
      <c r="D6" s="711"/>
      <c r="E6" s="711"/>
      <c r="F6" s="711"/>
      <c r="G6" s="711"/>
      <c r="H6" s="711"/>
      <c r="I6" s="711"/>
      <c r="J6" s="711"/>
      <c r="K6" s="711"/>
      <c r="L6" s="711"/>
      <c r="M6" s="711"/>
      <c r="N6" s="711"/>
      <c r="O6" s="791"/>
      <c r="P6" s="128"/>
    </row>
    <row r="7" spans="1:17" ht="58.5" customHeight="1">
      <c r="A7" s="789" t="s">
        <v>10</v>
      </c>
      <c r="B7" s="790"/>
      <c r="C7" s="711" t="str">
        <f>VLOOKUP(L12,Reporte!A5:M133,10,FALSE)</f>
        <v>Ejercer la defensa técnica de la entidad mediante la representación judicial y extrajudicial con el fin de garantizar su derecho a la defensa y al debido proceso; asimismo, emitir conceptos y publicar el Boletín Jurídico, mediante la aplicación de la normativa vigente en materia de Seguridad Social en salud, para definir el alcance de esta. </v>
      </c>
      <c r="D7" s="711"/>
      <c r="E7" s="711"/>
      <c r="F7" s="711"/>
      <c r="G7" s="711"/>
      <c r="H7" s="711"/>
      <c r="I7" s="711"/>
      <c r="J7" s="711"/>
      <c r="K7" s="711"/>
      <c r="L7" s="711"/>
      <c r="M7" s="711"/>
      <c r="N7" s="711"/>
      <c r="O7" s="791"/>
      <c r="P7" s="128"/>
    </row>
    <row r="8" spans="1:17" ht="32.25" customHeight="1">
      <c r="A8" s="792" t="s">
        <v>1594</v>
      </c>
      <c r="B8" s="774"/>
      <c r="C8" s="711" t="str">
        <f>VLOOKUP(L12,Reporte!$A$5:$N$133,13,FALSE)</f>
        <v>Proyectar dentro de los términos de ley, las respuestas conceptos,  solicitudes y derechos de petición  recibidos que sean competencia del grupo de conceptos de la Dirección  Jurídica</v>
      </c>
      <c r="D8" s="711"/>
      <c r="E8" s="711"/>
      <c r="F8" s="711"/>
      <c r="G8" s="711"/>
      <c r="H8" s="711"/>
      <c r="I8" s="711"/>
      <c r="J8" s="711"/>
      <c r="K8" s="711"/>
      <c r="L8" s="711"/>
      <c r="M8" s="711"/>
      <c r="N8" s="711"/>
      <c r="O8" s="791"/>
      <c r="P8" s="128"/>
    </row>
    <row r="9" spans="1:17" ht="15.75">
      <c r="A9" s="793" t="s">
        <v>12</v>
      </c>
      <c r="B9" s="766"/>
      <c r="C9" s="797" t="s">
        <v>13</v>
      </c>
      <c r="D9" s="797"/>
      <c r="E9" s="797"/>
      <c r="F9" s="797" t="s">
        <v>14</v>
      </c>
      <c r="G9" s="797"/>
      <c r="H9" s="797"/>
      <c r="I9" s="797"/>
      <c r="J9" s="797" t="s">
        <v>15</v>
      </c>
      <c r="K9" s="797"/>
      <c r="L9" s="797"/>
      <c r="M9" s="797"/>
      <c r="N9" s="797"/>
      <c r="O9" s="798"/>
      <c r="P9" s="128"/>
    </row>
    <row r="10" spans="1:17" ht="60.75" customHeight="1">
      <c r="A10" s="794"/>
      <c r="B10" s="795"/>
      <c r="C10" s="711" t="str">
        <f>VLOOKUP(L12,Reporte!$N$5:$BN$133,4,FALSE)</f>
        <v>Número de conceptos, derechos de petición y solicitudes tramitados  en el semestre</v>
      </c>
      <c r="D10" s="711"/>
      <c r="E10" s="711"/>
      <c r="F10" s="799" t="str">
        <f>VLOOKUP(L12,Reporte!$N$5:$BN$133,6,FALSE)</f>
        <v>Este indicador mide el porcentaje de de conceptos y solictudes tramitados</v>
      </c>
      <c r="G10" s="799"/>
      <c r="H10" s="799"/>
      <c r="I10" s="799"/>
      <c r="J10" s="707" t="s">
        <v>18</v>
      </c>
      <c r="K10" s="707"/>
      <c r="L10" s="707" t="s">
        <v>19</v>
      </c>
      <c r="M10" s="707"/>
      <c r="N10" s="707" t="s">
        <v>20</v>
      </c>
      <c r="O10" s="708"/>
      <c r="P10" s="128"/>
    </row>
    <row r="11" spans="1:17" ht="15.75">
      <c r="A11" s="794"/>
      <c r="B11" s="795"/>
      <c r="C11" s="709" t="s">
        <v>21</v>
      </c>
      <c r="D11" s="709"/>
      <c r="E11" s="709"/>
      <c r="F11" s="799"/>
      <c r="G11" s="799"/>
      <c r="H11" s="799"/>
      <c r="I11" s="799"/>
      <c r="J11" s="707"/>
      <c r="K11" s="707"/>
      <c r="L11" s="707"/>
      <c r="M11" s="707"/>
      <c r="N11" s="707"/>
      <c r="O11" s="708"/>
      <c r="P11" s="128"/>
    </row>
    <row r="12" spans="1:17" ht="60.75" customHeight="1" thickBot="1">
      <c r="A12" s="796"/>
      <c r="B12" s="768"/>
      <c r="C12" s="710" t="str">
        <f>VLOOKUP(L12,Reporte!$N$5:$BN$133,5,FALSE)</f>
        <v xml:space="preserve"> Número de conceptos, solicitudes y derechos de petición recibidos en el periodox 100 </v>
      </c>
      <c r="D12" s="711"/>
      <c r="E12" s="711"/>
      <c r="F12" s="799"/>
      <c r="G12" s="799"/>
      <c r="H12" s="799"/>
      <c r="I12" s="799"/>
      <c r="J12" s="712" t="str">
        <f>VLOOKUP(L12,Reporte!$N$5:$BN$133,7,FALSE)</f>
        <v>Eficiencia</v>
      </c>
      <c r="K12" s="712"/>
      <c r="L12" s="713" t="s">
        <v>475</v>
      </c>
      <c r="M12" s="713"/>
      <c r="N12" s="714">
        <f>VLOOKUP(L12,Reporte!$AP$5:$CAB$133,38,FALSE)</f>
        <v>1</v>
      </c>
      <c r="O12" s="715"/>
      <c r="P12" s="128"/>
    </row>
    <row r="13" spans="1:17" ht="16.5" thickBot="1">
      <c r="A13" s="719" t="s">
        <v>26</v>
      </c>
      <c r="B13" s="720"/>
      <c r="C13" s="721"/>
      <c r="D13" s="721"/>
      <c r="E13" s="721"/>
      <c r="F13" s="721"/>
      <c r="G13" s="721"/>
      <c r="H13" s="721"/>
      <c r="I13" s="721"/>
      <c r="J13" s="721"/>
      <c r="K13" s="721"/>
      <c r="L13" s="721"/>
      <c r="M13" s="721"/>
      <c r="N13" s="721"/>
      <c r="O13" s="722"/>
      <c r="P13" s="128"/>
    </row>
    <row r="14" spans="1:17" ht="15.75">
      <c r="A14" s="723" t="s">
        <v>27</v>
      </c>
      <c r="B14" s="707"/>
      <c r="C14" s="724" t="s">
        <v>28</v>
      </c>
      <c r="D14" s="724"/>
      <c r="E14" s="725"/>
      <c r="F14" s="726" t="s">
        <v>30</v>
      </c>
      <c r="G14" s="725"/>
      <c r="H14" s="727" t="s">
        <v>31</v>
      </c>
      <c r="I14" s="727"/>
      <c r="J14" s="727"/>
      <c r="K14" s="727"/>
      <c r="L14" s="727"/>
      <c r="M14" s="750" t="s">
        <v>32</v>
      </c>
      <c r="N14" s="751"/>
      <c r="O14" s="752"/>
      <c r="P14" s="128"/>
    </row>
    <row r="15" spans="1:17" ht="15.75" customHeight="1">
      <c r="A15" s="728" t="str">
        <f>VLOOKUP(L12,Reporte!$N$5:$BN$133,8,FALSE)</f>
        <v xml:space="preserve">Porcentual </v>
      </c>
      <c r="B15" s="729"/>
      <c r="C15" s="734">
        <f>VLOOKUP(L12,Reporte!$N$5:$BN$133,11,FALSE)</f>
        <v>1</v>
      </c>
      <c r="D15" s="735"/>
      <c r="E15" s="729"/>
      <c r="F15" s="740" t="str">
        <f>VLOOKUP(L12,Reporte!$N$5:$BN$133,9,FALSE)</f>
        <v>Semestral</v>
      </c>
      <c r="G15" s="741"/>
      <c r="H15" s="707" t="s">
        <v>37</v>
      </c>
      <c r="I15" s="707"/>
      <c r="J15" s="746" t="s">
        <v>1595</v>
      </c>
      <c r="K15" s="747"/>
      <c r="L15" s="748"/>
      <c r="M15" s="775" t="str">
        <f>VLOOKUP(L12,Reporte!$N$5:$BN$133,28,FALSE)</f>
        <v>Dirección Jurídica</v>
      </c>
      <c r="N15" s="776"/>
      <c r="O15" s="777"/>
      <c r="P15" s="128"/>
    </row>
    <row r="16" spans="1:17" ht="15.75">
      <c r="A16" s="730"/>
      <c r="B16" s="731"/>
      <c r="C16" s="736"/>
      <c r="D16" s="737"/>
      <c r="E16" s="731"/>
      <c r="F16" s="742"/>
      <c r="G16" s="743"/>
      <c r="H16" s="707" t="s">
        <v>40</v>
      </c>
      <c r="I16" s="707"/>
      <c r="J16" s="746" t="s">
        <v>1596</v>
      </c>
      <c r="K16" s="747"/>
      <c r="L16" s="748"/>
      <c r="M16" s="778"/>
      <c r="N16" s="779"/>
      <c r="O16" s="780"/>
      <c r="P16" s="128"/>
    </row>
    <row r="17" spans="1:17" ht="16.5" thickBot="1">
      <c r="A17" s="732"/>
      <c r="B17" s="733"/>
      <c r="C17" s="738"/>
      <c r="D17" s="739"/>
      <c r="E17" s="733"/>
      <c r="F17" s="744"/>
      <c r="G17" s="745"/>
      <c r="H17" s="749" t="s">
        <v>42</v>
      </c>
      <c r="I17" s="749"/>
      <c r="J17" s="716" t="s">
        <v>1597</v>
      </c>
      <c r="K17" s="717"/>
      <c r="L17" s="718"/>
      <c r="M17" s="781"/>
      <c r="N17" s="782"/>
      <c r="O17" s="783"/>
      <c r="P17" s="128"/>
    </row>
    <row r="18" spans="1:17" ht="16.5" thickBot="1">
      <c r="A18" s="687" t="s">
        <v>44</v>
      </c>
      <c r="B18" s="688"/>
      <c r="C18" s="688"/>
      <c r="D18" s="688"/>
      <c r="E18" s="688"/>
      <c r="F18" s="688"/>
      <c r="G18" s="688"/>
      <c r="H18" s="688"/>
      <c r="I18" s="688"/>
      <c r="J18" s="688"/>
      <c r="K18" s="688"/>
      <c r="L18" s="688"/>
      <c r="M18" s="688"/>
      <c r="N18" s="688"/>
      <c r="O18" s="689"/>
      <c r="P18" s="128"/>
    </row>
    <row r="19" spans="1:17" ht="33.75" customHeight="1" thickBot="1">
      <c r="A19" s="692" t="str">
        <f>+IF(C12=0,"Compuesto A)","Compuesto 
(A/B)*100")</f>
        <v>Compuesto 
(A/B)*100</v>
      </c>
      <c r="B19" s="693"/>
      <c r="C19" s="693"/>
      <c r="D19" s="693"/>
      <c r="E19" s="694"/>
      <c r="F19" s="692" t="s">
        <v>46</v>
      </c>
      <c r="G19" s="693"/>
      <c r="H19" s="693"/>
      <c r="I19" s="693"/>
      <c r="J19" s="694"/>
      <c r="K19" s="693" t="s">
        <v>1598</v>
      </c>
      <c r="L19" s="693"/>
      <c r="M19" s="693"/>
      <c r="N19" s="693"/>
      <c r="O19" s="694"/>
      <c r="P19" s="128"/>
    </row>
    <row r="20" spans="1:17" ht="16.5" thickBot="1">
      <c r="A20" s="695" t="s">
        <v>48</v>
      </c>
      <c r="B20" s="696"/>
      <c r="C20" s="696"/>
      <c r="D20" s="696"/>
      <c r="E20" s="696"/>
      <c r="F20" s="696"/>
      <c r="G20" s="696"/>
      <c r="H20" s="696"/>
      <c r="I20" s="696"/>
      <c r="J20" s="696"/>
      <c r="K20" s="696"/>
      <c r="L20" s="696"/>
      <c r="M20" s="696"/>
      <c r="N20" s="696"/>
      <c r="O20" s="697"/>
      <c r="P20" s="128"/>
    </row>
    <row r="21" spans="1:17" ht="15.75">
      <c r="A21" s="705" t="s">
        <v>49</v>
      </c>
      <c r="B21" s="706"/>
      <c r="C21" s="134" t="s">
        <v>50</v>
      </c>
      <c r="D21" s="134" t="s">
        <v>51</v>
      </c>
      <c r="E21" s="134" t="s">
        <v>52</v>
      </c>
      <c r="F21" s="134" t="s">
        <v>53</v>
      </c>
      <c r="G21" s="134" t="s">
        <v>54</v>
      </c>
      <c r="H21" s="135" t="s">
        <v>55</v>
      </c>
      <c r="I21" s="136" t="s">
        <v>56</v>
      </c>
      <c r="J21" s="135" t="s">
        <v>57</v>
      </c>
      <c r="K21" s="135" t="s">
        <v>58</v>
      </c>
      <c r="L21" s="137" t="s">
        <v>59</v>
      </c>
      <c r="M21" s="137" t="s">
        <v>60</v>
      </c>
      <c r="N21" s="138" t="s">
        <v>61</v>
      </c>
      <c r="O21" s="138" t="s">
        <v>62</v>
      </c>
      <c r="P21" s="128"/>
    </row>
    <row r="22" spans="1:17" ht="15.75">
      <c r="A22" s="703" t="s">
        <v>63</v>
      </c>
      <c r="B22" s="704"/>
      <c r="C22" s="132">
        <f>VLOOKUP(L12,Reporte!$N$5:$BN$133,30,FALSE)</f>
        <v>0</v>
      </c>
      <c r="D22" s="132">
        <f>VLOOKUP(L12,Reporte!$N$5:$BN$133,31,FALSE)</f>
        <v>0</v>
      </c>
      <c r="E22" s="132">
        <f>VLOOKUP(L12,Reporte!$N$5:$BN$133,32,FALSE)</f>
        <v>0</v>
      </c>
      <c r="F22" s="139">
        <f>VLOOKUP(L12,Reporte!$N$5:$BN$133,33,FALSE)</f>
        <v>0</v>
      </c>
      <c r="G22" s="132">
        <f>VLOOKUP(L12,Reporte!$N$5:$BN$133,34,FALSE)</f>
        <v>0</v>
      </c>
      <c r="H22" s="139">
        <f>VLOOKUP(L12,Reporte!$N$5:$BN$133,35,FALSE)</f>
        <v>475</v>
      </c>
      <c r="I22" s="132">
        <f>VLOOKUP(L12,Reporte!$N$5:$BN$133,36,FALSE)</f>
        <v>0</v>
      </c>
      <c r="J22" s="139">
        <f>VLOOKUP(L12,Reporte!$N$5:$BN$133,37,FALSE)</f>
        <v>0</v>
      </c>
      <c r="K22" s="139">
        <f>VLOOKUP(L12,Reporte!$N$5:$BN$133,38,FALSE)</f>
        <v>0</v>
      </c>
      <c r="L22" s="139">
        <f>VLOOKUP(L12,Reporte!$N$5:$BN$133,39,FALSE)</f>
        <v>0</v>
      </c>
      <c r="M22" s="139">
        <f>VLOOKUP(L12,Reporte!$N$5:$BN$133,40,FALSE)</f>
        <v>0</v>
      </c>
      <c r="N22" s="133">
        <f>VLOOKUP(L12,Reporte!$N$5:$BN$133,41,FALSE)</f>
        <v>524</v>
      </c>
      <c r="O22" s="133">
        <f>SUM(C22:N22)</f>
        <v>999</v>
      </c>
      <c r="P22" s="128"/>
    </row>
    <row r="23" spans="1:17" ht="16.5" thickBot="1">
      <c r="A23" s="690" t="s">
        <v>76</v>
      </c>
      <c r="B23" s="691"/>
      <c r="C23" s="140">
        <f>VLOOKUP(L12,Reporte!$N$5:$BN$133,42,FALSE)</f>
        <v>0</v>
      </c>
      <c r="D23" s="140">
        <f>VLOOKUP(L12,Reporte!$N$5:$BN$133,43,FALSE)</f>
        <v>0</v>
      </c>
      <c r="E23" s="140">
        <f>VLOOKUP(L12,Reporte!$N$5:$BN$133,44,FALSE)</f>
        <v>0</v>
      </c>
      <c r="F23" s="140">
        <f>VLOOKUP(L12,Reporte!$N$5:$BN$133,45,FALSE)</f>
        <v>0</v>
      </c>
      <c r="G23" s="140">
        <f>VLOOKUP(L12,Reporte!$N$5:$BN$133,46,FALSE)</f>
        <v>0</v>
      </c>
      <c r="H23" s="140">
        <f>VLOOKUP(L12,Reporte!$N$5:$BN$133,47,FALSE)</f>
        <v>484</v>
      </c>
      <c r="I23" s="140">
        <f>VLOOKUP(L12,Reporte!$N$5:$BN$133,48,FALSE)</f>
        <v>0</v>
      </c>
      <c r="J23" s="140">
        <f>VLOOKUP(L12,Reporte!$N$5:$BN$133,49,FALSE)</f>
        <v>0</v>
      </c>
      <c r="K23" s="140">
        <f>VLOOKUP(L12,Reporte!$N$5:$BN$133,50,FALSE)</f>
        <v>0</v>
      </c>
      <c r="L23" s="140">
        <f>VLOOKUP(L12,Reporte!$N$5:$BN$133,51,FALSE)</f>
        <v>0</v>
      </c>
      <c r="M23" s="140">
        <f>VLOOKUP(L12,Reporte!$N$5:$BN$133,52,FALSE)</f>
        <v>0</v>
      </c>
      <c r="N23" s="141">
        <f>VLOOKUP(L12,Reporte!$N$5:$BN$133,53,FALSE)</f>
        <v>524</v>
      </c>
      <c r="O23" s="133">
        <f>SUM(C23:N23)</f>
        <v>1008</v>
      </c>
      <c r="P23" s="128"/>
    </row>
    <row r="24" spans="1:17" ht="16.5" thickBot="1">
      <c r="A24" s="695" t="s">
        <v>89</v>
      </c>
      <c r="B24" s="696"/>
      <c r="C24" s="696"/>
      <c r="D24" s="696"/>
      <c r="E24" s="696"/>
      <c r="F24" s="696"/>
      <c r="G24" s="696"/>
      <c r="H24" s="696"/>
      <c r="I24" s="696"/>
      <c r="J24" s="696"/>
      <c r="K24" s="696"/>
      <c r="L24" s="696"/>
      <c r="M24" s="696"/>
      <c r="N24" s="696"/>
      <c r="O24" s="697"/>
      <c r="P24" s="128"/>
    </row>
    <row r="25" spans="1:17" ht="31.5">
      <c r="A25" s="142" t="s">
        <v>90</v>
      </c>
      <c r="B25" s="136" t="s">
        <v>91</v>
      </c>
      <c r="C25" s="136" t="s">
        <v>92</v>
      </c>
      <c r="D25" s="143" t="s">
        <v>93</v>
      </c>
      <c r="E25" s="144"/>
      <c r="F25" s="144"/>
      <c r="G25" s="698"/>
      <c r="H25" s="698"/>
      <c r="I25" s="698"/>
      <c r="J25" s="698"/>
      <c r="K25" s="698"/>
      <c r="L25" s="698"/>
      <c r="M25" s="698"/>
      <c r="N25" s="698"/>
      <c r="O25" s="700"/>
      <c r="P25" s="128"/>
    </row>
    <row r="26" spans="1:17" s="127" customFormat="1" ht="15">
      <c r="A26" s="145" t="s">
        <v>94</v>
      </c>
      <c r="B26" s="146">
        <f>IF(ISERROR($C$22/$C$23),0,$C$22/$C$23)</f>
        <v>0</v>
      </c>
      <c r="C26" s="146">
        <f>+C15</f>
        <v>1</v>
      </c>
      <c r="D26" s="146">
        <f>+C26*0.98</f>
        <v>0.98</v>
      </c>
      <c r="E26" s="147"/>
      <c r="F26" s="147"/>
      <c r="G26" s="685"/>
      <c r="H26" s="685"/>
      <c r="I26" s="699"/>
      <c r="J26" s="699"/>
      <c r="K26" s="699"/>
      <c r="L26" s="685"/>
      <c r="M26" s="685"/>
      <c r="N26" s="685"/>
      <c r="O26" s="701"/>
      <c r="P26" s="148"/>
      <c r="Q26" s="149"/>
    </row>
    <row r="27" spans="1:17" s="127" customFormat="1" ht="15">
      <c r="A27" s="145" t="s">
        <v>95</v>
      </c>
      <c r="B27" s="146">
        <f>IF(ISERROR($D$22/$D$23),0,$D$22/$D$23)</f>
        <v>0</v>
      </c>
      <c r="C27" s="146">
        <f>+C26</f>
        <v>1</v>
      </c>
      <c r="D27" s="146">
        <f>+D26</f>
        <v>0.98</v>
      </c>
      <c r="E27" s="147"/>
      <c r="F27" s="147"/>
      <c r="G27" s="685"/>
      <c r="H27" s="685"/>
      <c r="I27" s="685"/>
      <c r="J27" s="685"/>
      <c r="K27" s="147"/>
      <c r="L27" s="685"/>
      <c r="M27" s="685"/>
      <c r="N27" s="685"/>
      <c r="O27" s="701"/>
      <c r="P27" s="148"/>
      <c r="Q27" s="149"/>
    </row>
    <row r="28" spans="1:17" s="127" customFormat="1" ht="15">
      <c r="A28" s="145" t="s">
        <v>96</v>
      </c>
      <c r="B28" s="146">
        <f>IF(ISERROR($E$22/$E$23),0,$E$22/$E$23)</f>
        <v>0</v>
      </c>
      <c r="C28" s="146">
        <f t="shared" ref="C28:D37" si="0">+C27</f>
        <v>1</v>
      </c>
      <c r="D28" s="146">
        <f t="shared" si="0"/>
        <v>0.98</v>
      </c>
      <c r="E28" s="147"/>
      <c r="F28" s="147"/>
      <c r="G28" s="685"/>
      <c r="H28" s="685"/>
      <c r="I28" s="685"/>
      <c r="J28" s="685"/>
      <c r="K28" s="147"/>
      <c r="L28" s="685"/>
      <c r="M28" s="685"/>
      <c r="N28" s="685"/>
      <c r="O28" s="701"/>
      <c r="P28" s="148"/>
      <c r="Q28" s="149"/>
    </row>
    <row r="29" spans="1:17" s="127" customFormat="1" ht="15">
      <c r="A29" s="145" t="s">
        <v>97</v>
      </c>
      <c r="B29" s="146">
        <f>IF(ISERROR($F$22/$F$23),0,$F$22/$F$23)</f>
        <v>0</v>
      </c>
      <c r="C29" s="146">
        <f t="shared" si="0"/>
        <v>1</v>
      </c>
      <c r="D29" s="146">
        <f t="shared" si="0"/>
        <v>0.98</v>
      </c>
      <c r="E29" s="147"/>
      <c r="F29" s="147"/>
      <c r="G29" s="685"/>
      <c r="H29" s="685"/>
      <c r="I29" s="685"/>
      <c r="J29" s="685"/>
      <c r="K29" s="147"/>
      <c r="L29" s="685"/>
      <c r="M29" s="685"/>
      <c r="N29" s="685"/>
      <c r="O29" s="701"/>
      <c r="P29" s="148"/>
      <c r="Q29" s="149"/>
    </row>
    <row r="30" spans="1:17" s="127" customFormat="1" ht="15">
      <c r="A30" s="145" t="s">
        <v>98</v>
      </c>
      <c r="B30" s="146">
        <f>IF(ISERROR($G$22/$G$23),0,$G$22/$G$23)</f>
        <v>0</v>
      </c>
      <c r="C30" s="146">
        <f t="shared" si="0"/>
        <v>1</v>
      </c>
      <c r="D30" s="146">
        <f t="shared" si="0"/>
        <v>0.98</v>
      </c>
      <c r="E30" s="147"/>
      <c r="F30" s="147"/>
      <c r="G30" s="685"/>
      <c r="H30" s="685"/>
      <c r="I30" s="685"/>
      <c r="J30" s="685"/>
      <c r="K30" s="147"/>
      <c r="L30" s="685"/>
      <c r="M30" s="685"/>
      <c r="N30" s="685"/>
      <c r="O30" s="701"/>
      <c r="P30" s="148"/>
      <c r="Q30" s="149"/>
    </row>
    <row r="31" spans="1:17" s="127" customFormat="1" ht="15">
      <c r="A31" s="145" t="s">
        <v>99</v>
      </c>
      <c r="B31" s="146">
        <f>IF(ISERROR($H$22/$H$23),0,$H$22/$H$23)</f>
        <v>0.98140495867768596</v>
      </c>
      <c r="C31" s="146">
        <f t="shared" si="0"/>
        <v>1</v>
      </c>
      <c r="D31" s="146">
        <f t="shared" si="0"/>
        <v>0.98</v>
      </c>
      <c r="E31" s="147"/>
      <c r="F31" s="147"/>
      <c r="G31" s="685"/>
      <c r="H31" s="685"/>
      <c r="I31" s="685"/>
      <c r="J31" s="685"/>
      <c r="K31" s="147"/>
      <c r="L31" s="685"/>
      <c r="M31" s="685"/>
      <c r="N31" s="685"/>
      <c r="O31" s="701"/>
      <c r="P31" s="148"/>
      <c r="Q31" s="149"/>
    </row>
    <row r="32" spans="1:17" s="127" customFormat="1" ht="15">
      <c r="A32" s="145" t="s">
        <v>100</v>
      </c>
      <c r="B32" s="146">
        <f>IF(ISERROR($I$22/$I$23),0,$I$22/$I$23)</f>
        <v>0</v>
      </c>
      <c r="C32" s="146">
        <f t="shared" si="0"/>
        <v>1</v>
      </c>
      <c r="D32" s="146">
        <f t="shared" si="0"/>
        <v>0.98</v>
      </c>
      <c r="E32" s="147"/>
      <c r="F32" s="147"/>
      <c r="G32" s="685"/>
      <c r="H32" s="685"/>
      <c r="I32" s="685"/>
      <c r="J32" s="685"/>
      <c r="K32" s="147"/>
      <c r="L32" s="685"/>
      <c r="M32" s="685"/>
      <c r="N32" s="685"/>
      <c r="O32" s="701"/>
      <c r="P32" s="148"/>
      <c r="Q32" s="149"/>
    </row>
    <row r="33" spans="1:17" s="127" customFormat="1" ht="15">
      <c r="A33" s="145" t="s">
        <v>101</v>
      </c>
      <c r="B33" s="146">
        <f>IF(ISERROR($J$22/$J$23),0,$J$22/$J$23)</f>
        <v>0</v>
      </c>
      <c r="C33" s="146">
        <f t="shared" si="0"/>
        <v>1</v>
      </c>
      <c r="D33" s="146">
        <f t="shared" si="0"/>
        <v>0.98</v>
      </c>
      <c r="E33" s="147"/>
      <c r="F33" s="147"/>
      <c r="G33" s="685"/>
      <c r="H33" s="685"/>
      <c r="I33" s="685"/>
      <c r="J33" s="685"/>
      <c r="K33" s="147"/>
      <c r="L33" s="685"/>
      <c r="M33" s="685"/>
      <c r="N33" s="685"/>
      <c r="O33" s="701"/>
      <c r="P33" s="148"/>
      <c r="Q33" s="149"/>
    </row>
    <row r="34" spans="1:17" s="127" customFormat="1" ht="15">
      <c r="A34" s="145" t="s">
        <v>102</v>
      </c>
      <c r="B34" s="146">
        <f>IF(ISERROR($K$22/$K$23),0,$K$22/$K$23)</f>
        <v>0</v>
      </c>
      <c r="C34" s="146">
        <f t="shared" si="0"/>
        <v>1</v>
      </c>
      <c r="D34" s="146">
        <f t="shared" si="0"/>
        <v>0.98</v>
      </c>
      <c r="E34" s="147"/>
      <c r="F34" s="147"/>
      <c r="G34" s="685"/>
      <c r="H34" s="685"/>
      <c r="I34" s="685"/>
      <c r="J34" s="685"/>
      <c r="K34" s="147"/>
      <c r="L34" s="685"/>
      <c r="M34" s="685"/>
      <c r="N34" s="685"/>
      <c r="O34" s="701"/>
      <c r="P34" s="148"/>
      <c r="Q34" s="149"/>
    </row>
    <row r="35" spans="1:17" s="127" customFormat="1" ht="15">
      <c r="A35" s="145" t="s">
        <v>103</v>
      </c>
      <c r="B35" s="146">
        <f>IF(ISERROR($L$22/$L$23),0,$L$22/$L$23)</f>
        <v>0</v>
      </c>
      <c r="C35" s="146">
        <f t="shared" si="0"/>
        <v>1</v>
      </c>
      <c r="D35" s="146">
        <f t="shared" si="0"/>
        <v>0.98</v>
      </c>
      <c r="E35" s="147"/>
      <c r="F35" s="147"/>
      <c r="G35" s="685"/>
      <c r="H35" s="685"/>
      <c r="I35" s="685"/>
      <c r="J35" s="685"/>
      <c r="K35" s="147"/>
      <c r="L35" s="685"/>
      <c r="M35" s="685"/>
      <c r="N35" s="685"/>
      <c r="O35" s="701"/>
      <c r="P35" s="148"/>
      <c r="Q35" s="149"/>
    </row>
    <row r="36" spans="1:17" s="127" customFormat="1" ht="15">
      <c r="A36" s="145" t="s">
        <v>104</v>
      </c>
      <c r="B36" s="146">
        <f>IF(ISERROR($M$22/$M$23),0,$M$22/$M$23)</f>
        <v>0</v>
      </c>
      <c r="C36" s="146">
        <f t="shared" si="0"/>
        <v>1</v>
      </c>
      <c r="D36" s="146">
        <f t="shared" si="0"/>
        <v>0.98</v>
      </c>
      <c r="E36" s="147"/>
      <c r="F36" s="147"/>
      <c r="G36" s="685"/>
      <c r="H36" s="685"/>
      <c r="I36" s="685"/>
      <c r="J36" s="685"/>
      <c r="K36" s="147"/>
      <c r="L36" s="685"/>
      <c r="M36" s="685"/>
      <c r="N36" s="685"/>
      <c r="O36" s="701"/>
      <c r="P36" s="148"/>
      <c r="Q36" s="149"/>
    </row>
    <row r="37" spans="1:17" s="127" customFormat="1" ht="15.75" thickBot="1">
      <c r="A37" s="150" t="s">
        <v>105</v>
      </c>
      <c r="B37" s="151">
        <f>IF(ISERROR($N$22/$N$23),0,$N$22/$N$23)</f>
        <v>1</v>
      </c>
      <c r="C37" s="146">
        <f t="shared" si="0"/>
        <v>1</v>
      </c>
      <c r="D37" s="146">
        <f t="shared" si="0"/>
        <v>0.98</v>
      </c>
      <c r="E37" s="147"/>
      <c r="F37" s="147"/>
      <c r="G37" s="147"/>
      <c r="H37" s="147"/>
      <c r="I37" s="147"/>
      <c r="J37" s="147"/>
      <c r="K37" s="147"/>
      <c r="L37" s="685"/>
      <c r="M37" s="685"/>
      <c r="N37" s="685"/>
      <c r="O37" s="701"/>
      <c r="P37" s="148"/>
      <c r="Q37" s="149"/>
    </row>
    <row r="38" spans="1:17" s="127" customFormat="1" ht="15.75" thickBot="1">
      <c r="A38" s="152" t="s">
        <v>106</v>
      </c>
      <c r="B38" s="153">
        <f>IF(ISERROR($O$22/$O$23),0,$O$22/$O$23)</f>
        <v>0.9910714285714286</v>
      </c>
      <c r="C38" s="153">
        <f>+C37</f>
        <v>1</v>
      </c>
      <c r="D38" s="153">
        <f>+D37</f>
        <v>0.98</v>
      </c>
      <c r="E38" s="154"/>
      <c r="F38" s="154"/>
      <c r="G38" s="686"/>
      <c r="H38" s="686"/>
      <c r="I38" s="686"/>
      <c r="J38" s="686"/>
      <c r="K38" s="154"/>
      <c r="L38" s="686"/>
      <c r="M38" s="686"/>
      <c r="N38" s="686"/>
      <c r="O38" s="702"/>
      <c r="P38" s="148"/>
      <c r="Q38" s="149"/>
    </row>
    <row r="39" spans="1:17" ht="16.5" thickBot="1">
      <c r="A39" s="687" t="s">
        <v>1599</v>
      </c>
      <c r="B39" s="688"/>
      <c r="C39" s="688"/>
      <c r="D39" s="688"/>
      <c r="E39" s="688"/>
      <c r="F39" s="688"/>
      <c r="G39" s="688"/>
      <c r="H39" s="688"/>
      <c r="I39" s="688"/>
      <c r="J39" s="688"/>
      <c r="K39" s="688"/>
      <c r="L39" s="688"/>
      <c r="M39" s="688"/>
      <c r="N39" s="688"/>
      <c r="O39" s="689"/>
      <c r="P39" s="128"/>
    </row>
    <row r="40" spans="1:17" ht="12">
      <c r="A40" s="667" t="s">
        <v>108</v>
      </c>
      <c r="B40" s="668"/>
      <c r="C40" s="668"/>
      <c r="D40" s="668"/>
      <c r="E40" s="668"/>
      <c r="F40" s="668"/>
      <c r="G40" s="668"/>
      <c r="H40" s="668"/>
      <c r="I40" s="668"/>
      <c r="J40" s="668"/>
      <c r="K40" s="668"/>
      <c r="L40" s="668"/>
      <c r="M40" s="668"/>
      <c r="N40" s="668"/>
      <c r="O40" s="669"/>
      <c r="P40" s="128"/>
    </row>
    <row r="41" spans="1:17" ht="45" customHeight="1" thickBot="1">
      <c r="A41" s="682" t="str">
        <f>VLOOKUP(L12,Reporte!$N$5:$BZ$133,54,FALSE)</f>
        <v>NA</v>
      </c>
      <c r="B41" s="683"/>
      <c r="C41" s="683"/>
      <c r="D41" s="683"/>
      <c r="E41" s="683"/>
      <c r="F41" s="683"/>
      <c r="G41" s="683"/>
      <c r="H41" s="683"/>
      <c r="I41" s="683"/>
      <c r="J41" s="683"/>
      <c r="K41" s="683"/>
      <c r="L41" s="683"/>
      <c r="M41" s="683"/>
      <c r="N41" s="683"/>
      <c r="O41" s="684"/>
      <c r="P41" s="128"/>
    </row>
    <row r="42" spans="1:17" ht="12">
      <c r="A42" s="667" t="s">
        <v>109</v>
      </c>
      <c r="B42" s="668"/>
      <c r="C42" s="668"/>
      <c r="D42" s="668"/>
      <c r="E42" s="668"/>
      <c r="F42" s="668"/>
      <c r="G42" s="668"/>
      <c r="H42" s="668"/>
      <c r="I42" s="668"/>
      <c r="J42" s="668"/>
      <c r="K42" s="668"/>
      <c r="L42" s="668"/>
      <c r="M42" s="668"/>
      <c r="N42" s="668"/>
      <c r="O42" s="669"/>
      <c r="P42" s="128"/>
    </row>
    <row r="43" spans="1:17" s="59" customFormat="1" ht="45" customHeight="1" thickBot="1">
      <c r="A43" s="670" t="str">
        <f>VLOOKUP(L12,Reporte!$N$5:$BZ$133,55,FALSE)</f>
        <v>NA</v>
      </c>
      <c r="B43" s="671"/>
      <c r="C43" s="671"/>
      <c r="D43" s="671"/>
      <c r="E43" s="671"/>
      <c r="F43" s="671"/>
      <c r="G43" s="671"/>
      <c r="H43" s="671"/>
      <c r="I43" s="671"/>
      <c r="J43" s="671"/>
      <c r="K43" s="671"/>
      <c r="L43" s="671"/>
      <c r="M43" s="671"/>
      <c r="N43" s="671"/>
      <c r="O43" s="672"/>
      <c r="P43" s="155"/>
      <c r="Q43" s="156"/>
    </row>
    <row r="44" spans="1:17" ht="12">
      <c r="A44" s="667" t="s">
        <v>110</v>
      </c>
      <c r="B44" s="668"/>
      <c r="C44" s="668"/>
      <c r="D44" s="668"/>
      <c r="E44" s="668"/>
      <c r="F44" s="668"/>
      <c r="G44" s="668"/>
      <c r="H44" s="668"/>
      <c r="I44" s="668"/>
      <c r="J44" s="668"/>
      <c r="K44" s="668"/>
      <c r="L44" s="668"/>
      <c r="M44" s="668"/>
      <c r="N44" s="668"/>
      <c r="O44" s="669"/>
      <c r="P44" s="128"/>
    </row>
    <row r="45" spans="1:17" s="59" customFormat="1" ht="45" customHeight="1" thickBot="1">
      <c r="A45" s="682" t="str">
        <f>VLOOKUP(L12,Reporte!$N$5:$BZ$133,56,FALSE)</f>
        <v>NA</v>
      </c>
      <c r="B45" s="683"/>
      <c r="C45" s="683"/>
      <c r="D45" s="683"/>
      <c r="E45" s="683"/>
      <c r="F45" s="683"/>
      <c r="G45" s="683"/>
      <c r="H45" s="683"/>
      <c r="I45" s="683"/>
      <c r="J45" s="683"/>
      <c r="K45" s="683"/>
      <c r="L45" s="683"/>
      <c r="M45" s="683"/>
      <c r="N45" s="683"/>
      <c r="O45" s="684"/>
      <c r="P45" s="155"/>
      <c r="Q45" s="156"/>
    </row>
    <row r="46" spans="1:17" ht="12">
      <c r="A46" s="667" t="s">
        <v>111</v>
      </c>
      <c r="B46" s="668"/>
      <c r="C46" s="668"/>
      <c r="D46" s="668"/>
      <c r="E46" s="668"/>
      <c r="F46" s="668"/>
      <c r="G46" s="668"/>
      <c r="H46" s="668"/>
      <c r="I46" s="668"/>
      <c r="J46" s="668"/>
      <c r="K46" s="668"/>
      <c r="L46" s="668"/>
      <c r="M46" s="668"/>
      <c r="N46" s="668"/>
      <c r="O46" s="669"/>
      <c r="P46" s="128"/>
    </row>
    <row r="47" spans="1:17" s="59" customFormat="1" ht="45" customHeight="1" thickBot="1">
      <c r="A47" s="670" t="str">
        <f>VLOOKUP(L12,Reporte!$N$5:$BZ$133,57,FALSE)</f>
        <v>NA</v>
      </c>
      <c r="B47" s="671"/>
      <c r="C47" s="671"/>
      <c r="D47" s="671"/>
      <c r="E47" s="671"/>
      <c r="F47" s="671"/>
      <c r="G47" s="671"/>
      <c r="H47" s="671"/>
      <c r="I47" s="671"/>
      <c r="J47" s="671"/>
      <c r="K47" s="671"/>
      <c r="L47" s="671"/>
      <c r="M47" s="671"/>
      <c r="N47" s="671"/>
      <c r="O47" s="672"/>
      <c r="P47" s="155"/>
      <c r="Q47" s="156"/>
    </row>
    <row r="48" spans="1:17" ht="12">
      <c r="A48" s="667" t="s">
        <v>112</v>
      </c>
      <c r="B48" s="668"/>
      <c r="C48" s="668"/>
      <c r="D48" s="668"/>
      <c r="E48" s="668"/>
      <c r="F48" s="668"/>
      <c r="G48" s="668"/>
      <c r="H48" s="668"/>
      <c r="I48" s="668"/>
      <c r="J48" s="668"/>
      <c r="K48" s="668"/>
      <c r="L48" s="668"/>
      <c r="M48" s="668"/>
      <c r="N48" s="668"/>
      <c r="O48" s="669"/>
      <c r="P48" s="128"/>
    </row>
    <row r="49" spans="1:17" s="59" customFormat="1" ht="45" customHeight="1" thickBot="1">
      <c r="A49" s="670" t="str">
        <f>VLOOKUP(L12,Reporte!$N$5:$BZ$133,58,FALSE)</f>
        <v>NA</v>
      </c>
      <c r="B49" s="671"/>
      <c r="C49" s="671"/>
      <c r="D49" s="671"/>
      <c r="E49" s="671"/>
      <c r="F49" s="671"/>
      <c r="G49" s="671"/>
      <c r="H49" s="671"/>
      <c r="I49" s="671"/>
      <c r="J49" s="671"/>
      <c r="K49" s="671"/>
      <c r="L49" s="671"/>
      <c r="M49" s="671"/>
      <c r="N49" s="671"/>
      <c r="O49" s="672"/>
      <c r="P49" s="155"/>
      <c r="Q49" s="156"/>
    </row>
    <row r="50" spans="1:17" s="59" customFormat="1" ht="12">
      <c r="A50" s="667" t="s">
        <v>113</v>
      </c>
      <c r="B50" s="668"/>
      <c r="C50" s="668"/>
      <c r="D50" s="668"/>
      <c r="E50" s="668"/>
      <c r="F50" s="668"/>
      <c r="G50" s="668"/>
      <c r="H50" s="668"/>
      <c r="I50" s="668"/>
      <c r="J50" s="668"/>
      <c r="K50" s="668"/>
      <c r="L50" s="668"/>
      <c r="M50" s="668"/>
      <c r="N50" s="668"/>
      <c r="O50" s="669"/>
      <c r="P50" s="155"/>
      <c r="Q50" s="156"/>
    </row>
    <row r="51" spans="1:17" s="59" customFormat="1" ht="45" customHeight="1" thickBot="1">
      <c r="A51" s="673" t="str">
        <f>VLOOKUP(L12,Reporte!$N$5:$BZ$133,59,FALSE)</f>
        <v xml:space="preserve">Durante el primer semestre de 2025 se obtuvieron los resultados relacionados en el documento adjunto, en el cual se evidencian tanto los porcentajes de respuesta a peticiones en tiempo como los porcentajes de aquellas que fueron atendidas de manera extemporánea, en su mayoría porque llegaron vencidos a la Dirección Jurídica. ​
</v>
      </c>
      <c r="B51" s="674"/>
      <c r="C51" s="674"/>
      <c r="D51" s="674"/>
      <c r="E51" s="674"/>
      <c r="F51" s="674"/>
      <c r="G51" s="674"/>
      <c r="H51" s="674"/>
      <c r="I51" s="674"/>
      <c r="J51" s="674"/>
      <c r="K51" s="674"/>
      <c r="L51" s="674"/>
      <c r="M51" s="674"/>
      <c r="N51" s="674"/>
      <c r="O51" s="675"/>
      <c r="P51" s="155"/>
      <c r="Q51" s="156"/>
    </row>
    <row r="52" spans="1:17" ht="12">
      <c r="A52" s="667" t="s">
        <v>114</v>
      </c>
      <c r="B52" s="668"/>
      <c r="C52" s="668"/>
      <c r="D52" s="668"/>
      <c r="E52" s="668"/>
      <c r="F52" s="668"/>
      <c r="G52" s="668"/>
      <c r="H52" s="668"/>
      <c r="I52" s="668"/>
      <c r="J52" s="668"/>
      <c r="K52" s="668"/>
      <c r="L52" s="668"/>
      <c r="M52" s="668"/>
      <c r="N52" s="668"/>
      <c r="O52" s="669"/>
      <c r="P52" s="128"/>
    </row>
    <row r="53" spans="1:17" s="59" customFormat="1" ht="45" customHeight="1" thickBot="1">
      <c r="A53" s="670" t="str">
        <f>VLOOKUP(L12,Reporte!$N$5:$BZ$133,60,FALSE)</f>
        <v>NA</v>
      </c>
      <c r="B53" s="671"/>
      <c r="C53" s="671"/>
      <c r="D53" s="671"/>
      <c r="E53" s="671"/>
      <c r="F53" s="671"/>
      <c r="G53" s="671"/>
      <c r="H53" s="671"/>
      <c r="I53" s="671"/>
      <c r="J53" s="671"/>
      <c r="K53" s="671"/>
      <c r="L53" s="671"/>
      <c r="M53" s="671"/>
      <c r="N53" s="671"/>
      <c r="O53" s="672"/>
      <c r="P53" s="155"/>
      <c r="Q53" s="156"/>
    </row>
    <row r="54" spans="1:17" ht="12">
      <c r="A54" s="667" t="s">
        <v>115</v>
      </c>
      <c r="B54" s="668"/>
      <c r="C54" s="668"/>
      <c r="D54" s="668"/>
      <c r="E54" s="668"/>
      <c r="F54" s="668"/>
      <c r="G54" s="668"/>
      <c r="H54" s="668"/>
      <c r="I54" s="668"/>
      <c r="J54" s="668"/>
      <c r="K54" s="668"/>
      <c r="L54" s="668"/>
      <c r="M54" s="668"/>
      <c r="N54" s="668"/>
      <c r="O54" s="669"/>
      <c r="P54" s="128"/>
    </row>
    <row r="55" spans="1:17" s="59" customFormat="1" ht="45" customHeight="1" thickBot="1">
      <c r="A55" s="670" t="str">
        <f>VLOOKUP(L12,Reporte!$N$5:$BZ$133,61,FALSE)</f>
        <v>NA</v>
      </c>
      <c r="B55" s="671"/>
      <c r="C55" s="671"/>
      <c r="D55" s="671"/>
      <c r="E55" s="671"/>
      <c r="F55" s="671"/>
      <c r="G55" s="671"/>
      <c r="H55" s="671"/>
      <c r="I55" s="671"/>
      <c r="J55" s="671"/>
      <c r="K55" s="671"/>
      <c r="L55" s="671"/>
      <c r="M55" s="671"/>
      <c r="N55" s="671"/>
      <c r="O55" s="672"/>
      <c r="P55" s="155"/>
      <c r="Q55" s="156"/>
    </row>
    <row r="56" spans="1:17" s="59" customFormat="1" ht="12">
      <c r="A56" s="667" t="s">
        <v>116</v>
      </c>
      <c r="B56" s="668"/>
      <c r="C56" s="668"/>
      <c r="D56" s="668"/>
      <c r="E56" s="668"/>
      <c r="F56" s="668"/>
      <c r="G56" s="668"/>
      <c r="H56" s="668"/>
      <c r="I56" s="668"/>
      <c r="J56" s="668"/>
      <c r="K56" s="668"/>
      <c r="L56" s="668"/>
      <c r="M56" s="668"/>
      <c r="N56" s="668"/>
      <c r="O56" s="669"/>
      <c r="P56" s="155"/>
      <c r="Q56" s="156"/>
    </row>
    <row r="57" spans="1:17" s="59" customFormat="1" ht="45" customHeight="1" thickBot="1">
      <c r="A57" s="682" t="str">
        <f>VLOOKUP(L12,Reporte!$N$5:$BZ$133,62,FALSE)</f>
        <v>NA</v>
      </c>
      <c r="B57" s="683"/>
      <c r="C57" s="683"/>
      <c r="D57" s="683"/>
      <c r="E57" s="683"/>
      <c r="F57" s="683"/>
      <c r="G57" s="683"/>
      <c r="H57" s="683"/>
      <c r="I57" s="683"/>
      <c r="J57" s="683"/>
      <c r="K57" s="683"/>
      <c r="L57" s="683"/>
      <c r="M57" s="683"/>
      <c r="N57" s="683"/>
      <c r="O57" s="684"/>
      <c r="P57" s="155"/>
      <c r="Q57" s="156"/>
    </row>
    <row r="58" spans="1:17" s="59" customFormat="1" ht="12">
      <c r="A58" s="667" t="s">
        <v>117</v>
      </c>
      <c r="B58" s="668"/>
      <c r="C58" s="668"/>
      <c r="D58" s="668"/>
      <c r="E58" s="668"/>
      <c r="F58" s="668"/>
      <c r="G58" s="668"/>
      <c r="H58" s="668"/>
      <c r="I58" s="668"/>
      <c r="J58" s="668"/>
      <c r="K58" s="668"/>
      <c r="L58" s="668"/>
      <c r="M58" s="668"/>
      <c r="N58" s="668"/>
      <c r="O58" s="669"/>
      <c r="P58" s="155"/>
      <c r="Q58" s="156"/>
    </row>
    <row r="59" spans="1:17" s="59" customFormat="1" ht="45" customHeight="1" thickBot="1">
      <c r="A59" s="670" t="str">
        <f>VLOOKUP(L12,Reporte!$N$5:$BZ$133,63,FALSE)</f>
        <v>N/A</v>
      </c>
      <c r="B59" s="671"/>
      <c r="C59" s="671"/>
      <c r="D59" s="671"/>
      <c r="E59" s="671"/>
      <c r="F59" s="671"/>
      <c r="G59" s="671"/>
      <c r="H59" s="671"/>
      <c r="I59" s="671"/>
      <c r="J59" s="671"/>
      <c r="K59" s="671"/>
      <c r="L59" s="671"/>
      <c r="M59" s="671"/>
      <c r="N59" s="671"/>
      <c r="O59" s="672"/>
      <c r="P59" s="155"/>
      <c r="Q59" s="156"/>
    </row>
    <row r="60" spans="1:17" ht="12">
      <c r="A60" s="667" t="s">
        <v>118</v>
      </c>
      <c r="B60" s="668"/>
      <c r="C60" s="668"/>
      <c r="D60" s="668"/>
      <c r="E60" s="668"/>
      <c r="F60" s="668"/>
      <c r="G60" s="668"/>
      <c r="H60" s="668"/>
      <c r="I60" s="668"/>
      <c r="J60" s="668"/>
      <c r="K60" s="668"/>
      <c r="L60" s="668"/>
      <c r="M60" s="668"/>
      <c r="N60" s="668"/>
      <c r="O60" s="669"/>
      <c r="P60" s="128"/>
    </row>
    <row r="61" spans="1:17" s="59" customFormat="1" ht="45" customHeight="1" thickBot="1">
      <c r="A61" s="670" t="str">
        <f>VLOOKUP(L12,Reporte!$N$5:$BZ$133,64,FALSE)</f>
        <v>N/A</v>
      </c>
      <c r="B61" s="671"/>
      <c r="C61" s="671"/>
      <c r="D61" s="671"/>
      <c r="E61" s="671"/>
      <c r="F61" s="671"/>
      <c r="G61" s="671"/>
      <c r="H61" s="671"/>
      <c r="I61" s="671"/>
      <c r="J61" s="671"/>
      <c r="K61" s="671"/>
      <c r="L61" s="671"/>
      <c r="M61" s="671"/>
      <c r="N61" s="671"/>
      <c r="O61" s="672"/>
      <c r="P61" s="155"/>
      <c r="Q61" s="156"/>
    </row>
    <row r="62" spans="1:17" ht="12">
      <c r="A62" s="667" t="s">
        <v>119</v>
      </c>
      <c r="B62" s="668"/>
      <c r="C62" s="668"/>
      <c r="D62" s="668"/>
      <c r="E62" s="668"/>
      <c r="F62" s="668"/>
      <c r="G62" s="668"/>
      <c r="H62" s="668"/>
      <c r="I62" s="668"/>
      <c r="J62" s="668"/>
      <c r="K62" s="668"/>
      <c r="L62" s="668"/>
      <c r="M62" s="668"/>
      <c r="N62" s="668"/>
      <c r="O62" s="669"/>
      <c r="P62" s="128"/>
    </row>
    <row r="63" spans="1:17" s="59" customFormat="1" ht="45" customHeight="1" thickBot="1">
      <c r="A63" s="673" t="str">
        <f>VLOOKUP(L12,Reporte!$N$5:$BZ$133,65,FALSE)</f>
        <v>Dentro del periodo reportado se gestionó  la respuesta de 524 solicitudes de conceptos cumpliendo con el  trámite del  100% de los radicados, de esta forma señalar la oportunidad y resolutividad en el cumplimiento de las funciones asignadas con el control  efectivo del indicador​</v>
      </c>
      <c r="B63" s="674"/>
      <c r="C63" s="674"/>
      <c r="D63" s="674"/>
      <c r="E63" s="674"/>
      <c r="F63" s="674"/>
      <c r="G63" s="674"/>
      <c r="H63" s="674"/>
      <c r="I63" s="674"/>
      <c r="J63" s="674"/>
      <c r="K63" s="674"/>
      <c r="L63" s="674"/>
      <c r="M63" s="674"/>
      <c r="N63" s="674"/>
      <c r="O63" s="675"/>
      <c r="P63" s="155"/>
      <c r="Q63" s="156"/>
    </row>
    <row r="64" spans="1:17" ht="12" customHeight="1">
      <c r="A64" s="676" t="str">
        <f>VLOOKUP(L12,Reporte!$AP$5:$CB$133,39,FALSE)</f>
        <v>OBSERVACIONES: Se han gestionado 999 de los conceptos, derechos de petición y solicitudes del total de 1008 recibidas en el periodo, se incumplió la meta porcentual de 100% para lo corrido de 2025. 
No se presentan observaciones sobre el reporte de datos realizado en el SharePoint de PAG 2025</v>
      </c>
      <c r="B64" s="677"/>
      <c r="C64" s="677"/>
      <c r="D64" s="677"/>
      <c r="E64" s="677"/>
      <c r="F64" s="677"/>
      <c r="G64" s="677"/>
      <c r="H64" s="677"/>
      <c r="I64" s="677"/>
      <c r="J64" s="677"/>
      <c r="K64" s="677"/>
      <c r="L64" s="677"/>
      <c r="M64" s="677"/>
      <c r="N64" s="677"/>
      <c r="O64" s="678"/>
      <c r="P64" s="128"/>
    </row>
    <row r="65" spans="1:16" ht="38.25" customHeight="1" thickBot="1">
      <c r="A65" s="679"/>
      <c r="B65" s="680"/>
      <c r="C65" s="680"/>
      <c r="D65" s="680"/>
      <c r="E65" s="680"/>
      <c r="F65" s="680"/>
      <c r="G65" s="680"/>
      <c r="H65" s="680"/>
      <c r="I65" s="680"/>
      <c r="J65" s="680"/>
      <c r="K65" s="680"/>
      <c r="L65" s="680"/>
      <c r="M65" s="680"/>
      <c r="N65" s="680"/>
      <c r="O65" s="681"/>
      <c r="P65" s="128"/>
    </row>
    <row r="66" spans="1:16" ht="12">
      <c r="B66" s="157"/>
    </row>
    <row r="67" spans="1:16" ht="15.75">
      <c r="A67" s="659" t="s">
        <v>1600</v>
      </c>
      <c r="B67" s="659"/>
      <c r="C67" s="659"/>
      <c r="D67" s="659"/>
      <c r="E67" s="660">
        <f>+INDICADORES!D22</f>
        <v>46037</v>
      </c>
      <c r="F67" s="660"/>
    </row>
  </sheetData>
  <mergeCells count="112">
    <mergeCell ref="A67:D67"/>
    <mergeCell ref="E67:F67"/>
    <mergeCell ref="A49:O49"/>
    <mergeCell ref="A50:O50"/>
    <mergeCell ref="A51:O51"/>
    <mergeCell ref="A52:O52"/>
    <mergeCell ref="A53:O53"/>
    <mergeCell ref="A54:O54"/>
    <mergeCell ref="A43:O43"/>
    <mergeCell ref="A44:O44"/>
    <mergeCell ref="A45:O45"/>
    <mergeCell ref="A46:O46"/>
    <mergeCell ref="A47:O47"/>
    <mergeCell ref="A48:O48"/>
    <mergeCell ref="A61:O61"/>
    <mergeCell ref="A62:O62"/>
    <mergeCell ref="A63:O63"/>
    <mergeCell ref="A64:O65"/>
    <mergeCell ref="A55:O55"/>
    <mergeCell ref="A56:O56"/>
    <mergeCell ref="A57:O57"/>
    <mergeCell ref="A58:O58"/>
    <mergeCell ref="A59:O59"/>
    <mergeCell ref="A60:O60"/>
    <mergeCell ref="I38:J38"/>
    <mergeCell ref="A39:O39"/>
    <mergeCell ref="A40:O40"/>
    <mergeCell ref="A41:O41"/>
    <mergeCell ref="A42:O42"/>
    <mergeCell ref="G34:H34"/>
    <mergeCell ref="I34:J34"/>
    <mergeCell ref="G35:H35"/>
    <mergeCell ref="I35:J35"/>
    <mergeCell ref="G36:H36"/>
    <mergeCell ref="I36:J36"/>
    <mergeCell ref="A22:B22"/>
    <mergeCell ref="A23:B23"/>
    <mergeCell ref="A24:O24"/>
    <mergeCell ref="G25:H25"/>
    <mergeCell ref="I25:J26"/>
    <mergeCell ref="K25:K26"/>
    <mergeCell ref="L25:O25"/>
    <mergeCell ref="G26:H26"/>
    <mergeCell ref="L26:O38"/>
    <mergeCell ref="G27:H27"/>
    <mergeCell ref="G31:H31"/>
    <mergeCell ref="I31:J31"/>
    <mergeCell ref="G32:H32"/>
    <mergeCell ref="I32:J32"/>
    <mergeCell ref="G33:H33"/>
    <mergeCell ref="I33:J33"/>
    <mergeCell ref="I27:J27"/>
    <mergeCell ref="G28:H28"/>
    <mergeCell ref="I28:J28"/>
    <mergeCell ref="G29:H29"/>
    <mergeCell ref="I29:J29"/>
    <mergeCell ref="G30:H30"/>
    <mergeCell ref="I30:J30"/>
    <mergeCell ref="G38:H38"/>
    <mergeCell ref="A18:O18"/>
    <mergeCell ref="A19:E19"/>
    <mergeCell ref="F19:J19"/>
    <mergeCell ref="K19:O19"/>
    <mergeCell ref="A20:O20"/>
    <mergeCell ref="A21:B21"/>
    <mergeCell ref="A15:B17"/>
    <mergeCell ref="C15:E17"/>
    <mergeCell ref="F15:G17"/>
    <mergeCell ref="H15:I15"/>
    <mergeCell ref="J15:L15"/>
    <mergeCell ref="M15:O17"/>
    <mergeCell ref="H16:I16"/>
    <mergeCell ref="J16:L16"/>
    <mergeCell ref="H17:I17"/>
    <mergeCell ref="J17:L17"/>
    <mergeCell ref="A13:O13"/>
    <mergeCell ref="A14:B14"/>
    <mergeCell ref="C14:E14"/>
    <mergeCell ref="F14:G14"/>
    <mergeCell ref="H14:L14"/>
    <mergeCell ref="M14:O14"/>
    <mergeCell ref="N10:O11"/>
    <mergeCell ref="C11:E11"/>
    <mergeCell ref="C12:E12"/>
    <mergeCell ref="J12:K12"/>
    <mergeCell ref="L12:M12"/>
    <mergeCell ref="N12:O12"/>
    <mergeCell ref="A8:B8"/>
    <mergeCell ref="C8:O8"/>
    <mergeCell ref="A9:B12"/>
    <mergeCell ref="C9:E9"/>
    <mergeCell ref="F9:I9"/>
    <mergeCell ref="J9:O9"/>
    <mergeCell ref="C10:E10"/>
    <mergeCell ref="F10:I12"/>
    <mergeCell ref="J10:K11"/>
    <mergeCell ref="L10:M11"/>
    <mergeCell ref="A5:B5"/>
    <mergeCell ref="C5:O5"/>
    <mergeCell ref="A6:B6"/>
    <mergeCell ref="C6:O6"/>
    <mergeCell ref="A7:B7"/>
    <mergeCell ref="C7:O7"/>
    <mergeCell ref="A1:B4"/>
    <mergeCell ref="C1:K2"/>
    <mergeCell ref="L1:M2"/>
    <mergeCell ref="N1:O2"/>
    <mergeCell ref="C3:K4"/>
    <mergeCell ref="L3:M3"/>
    <mergeCell ref="N3:O3"/>
    <mergeCell ref="L4:M4"/>
    <mergeCell ref="N4:O4"/>
  </mergeCells>
  <printOptions horizontalCentered="1"/>
  <pageMargins left="0.23622047244094491" right="0.23622047244094491" top="0.74803149606299213" bottom="0.74803149606299213" header="0.31496062992125984" footer="0.31496062992125984"/>
  <pageSetup paperSize="5" scale="48" firstPageNumber="0" pageOrder="overThenDown" orientation="portrait"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Numero xmlns="b6565643-c00f-44ce-b5d1-532a85e4382c">HV_2025</Numero>
    <Language xmlns="http://schemas.microsoft.com/sharepoint/v3">Español (España)</Language>
    <Fecha_x0020_de_x0020_Publicacion xmlns="b6565643-c00f-44ce-b5d1-532a85e4382c">2025-07-09T05:00:00+00:00</Fecha_x0020_de_x0020_Publicacion>
    <Tipo_de_Norma xmlns="b6565643-c00f-44ce-b5d1-532a85e4382c">No aplica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Histórica</Frecuencia_de_actualizacion>
    <Fecha_de_Caducidad xmlns="b6565643-c00f-44ce-b5d1-532a85e4382c" xsi:nil="true"/>
    <Nombre_del_responsable_Produccion xmlns="b6565643-c00f-44ce-b5d1-532a85e4382c">Oficina Asesora de Planeación</Nombre_del_responsable_Produccion>
    <Mes_Plantilla xmlns="b6565643-c00f-44ce-b5d1-532a85e4382c">septiembre</Mes_Plantilla>
    <Fecha_de_Generacion_Informacion xmlns="b6565643-c00f-44ce-b5d1-532a85e4382c">2026-01-15T05:00:00+00:00</Fecha_de_Generacion_Informacion>
    <Tipo_de_vigilado xmlns="b6565643-c00f-44ce-b5d1-532a85e4382c" xsi:nil="true"/>
    <Categoria_x0020_Plantilla xmlns="b6565643-c00f-44ce-b5d1-532a85e4382c" xsi:nil="true"/>
    <Codigo_dependencia2 xmlns="b6565643-c00f-44ce-b5d1-532a85e4382c" xsi:nil="true"/>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2025</Ano_Plantilla>
    <Descripcion xmlns="b6565643-c00f-44ce-b5d1-532a85e4382c">Indicadores Plan Anual de Gestión  correspondientes a la Vigencia 2025</Descripcion>
    <Informacion_publicada_o_disponible xmlns="b6565643-c00f-44ce-b5d1-532a85e4382c">https://www.supersalud.gov.co/es-co/nuestra-entidad/estructura-organica-y-talento-humano/procesos-y-procedimientos</Informacion_publicada_o_disponible>
    <Palabras_Claves xmlns="b6565643-c00f-44ce-b5d1-532a85e4382c" xsi:nil="true"/>
    <Estado_Plantilla xmlns="b6565643-c00f-44ce-b5d1-532a85e4382c">En ejecución</Estado_Plantilla>
    <Medio_de_conservacion_y_x002f_o_soporte xmlns="b6565643-c00f-44ce-b5d1-532a85e4382c">Documento electrónico</Medio_de_conservacion_y_x002f_o_soporte>
    <Area_Plantilla xmlns="b6565643-c00f-44ce-b5d1-532a85e4382c">Oficina Asesora de Planeación </Area_Plantilla>
    <Codigo_Area xmlns="b6565643-c00f-44ce-b5d1-532a85e4382c" xsi:nil="true"/>
    <Codigo_Subserie xmlns="b6565643-c00f-44ce-b5d1-532a85e4382c" xsi:nil="true"/>
    <_Creditos xmlns="b6565643-c00f-44ce-b5d1-532a85e4382c" xsi:nil="true"/>
    <_dlc_DocId xmlns="b6565643-c00f-44ce-b5d1-532a85e4382c">XQAF2AT3N76N-262-412</_dlc_DocId>
    <_dlc_DocIdUrl xmlns="b6565643-c00f-44ce-b5d1-532a85e4382c">
      <Url>https://docs.supersalud.gov.co/PortalWeb/planeacion/_layouts/15/DocIdRedir.aspx?ID=XQAF2AT3N76N-262-412</Url>
      <Description>XQAF2AT3N76N-262-412</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3518E852C274C64E8DED795FC7B5E2B3" ma:contentTypeVersion="147" ma:contentTypeDescription="" ma:contentTypeScope="" ma:versionID="2d1d0989e24e1805e3773d9ba4338916">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A6C8DD-E63F-4A2A-BD5A-DBE395D5F46B}">
  <ds:schemaRefs>
    <ds:schemaRef ds:uri="http://www.w3.org/XML/1998/namespace"/>
    <ds:schemaRef ds:uri="http://purl.org/dc/terms/"/>
    <ds:schemaRef ds:uri="http://schemas.microsoft.com/sharepoint/v3"/>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fc59cac2-4a0b-49e5-b878-56577be82993"/>
    <ds:schemaRef ds:uri="http://purl.org/dc/elements/1.1/"/>
    <ds:schemaRef ds:uri="http://schemas.microsoft.com/sharepoint/v3/fields"/>
    <ds:schemaRef ds:uri="b6565643-c00f-44ce-b5d1-532a85e4382c"/>
    <ds:schemaRef ds:uri="http://schemas.microsoft.com/office/2006/metadata/properties"/>
  </ds:schemaRefs>
</ds:datastoreItem>
</file>

<file path=customXml/itemProps2.xml><?xml version="1.0" encoding="utf-8"?>
<ds:datastoreItem xmlns:ds="http://schemas.openxmlformats.org/officeDocument/2006/customXml" ds:itemID="{A570614B-A0A6-4F5D-AA96-9046679D6987}">
  <ds:schemaRefs>
    <ds:schemaRef ds:uri="http://schemas.microsoft.com/sharepoint/events"/>
  </ds:schemaRefs>
</ds:datastoreItem>
</file>

<file path=customXml/itemProps3.xml><?xml version="1.0" encoding="utf-8"?>
<ds:datastoreItem xmlns:ds="http://schemas.openxmlformats.org/officeDocument/2006/customXml" ds:itemID="{0304357B-0353-4171-85D6-63E8C34DE3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6565643-c00f-44ce-b5d1-532a85e4382c"/>
    <ds:schemaRef ds:uri="http://schemas.microsoft.com/sharepoint/v3/fields"/>
    <ds:schemaRef ds:uri="fc59cac2-4a0b-49e5-b878-56577be829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5A4B9DB-DE68-4A35-88EA-3A078385A1A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148</vt:i4>
      </vt:variant>
      <vt:variant>
        <vt:lpstr>Rangos con nombre</vt:lpstr>
      </vt:variant>
      <vt:variant>
        <vt:i4>129</vt:i4>
      </vt:variant>
    </vt:vector>
  </HeadingPairs>
  <TitlesOfParts>
    <vt:vector size="277" baseType="lpstr">
      <vt:lpstr>PLANTILLA</vt:lpstr>
      <vt:lpstr>SharePoint</vt:lpstr>
      <vt:lpstr>Reporte</vt:lpstr>
      <vt:lpstr>INDICADORES</vt:lpstr>
      <vt:lpstr>DIA</vt:lpstr>
      <vt:lpstr>DFJYC</vt:lpstr>
      <vt:lpstr>DEAS</vt:lpstr>
      <vt:lpstr>DETGRAT</vt:lpstr>
      <vt:lpstr>DPU</vt:lpstr>
      <vt:lpstr>DOLF</vt:lpstr>
      <vt:lpstr>DPSS</vt:lpstr>
      <vt:lpstr>DID</vt:lpstr>
      <vt:lpstr>DJ</vt:lpstr>
      <vt:lpstr>OAC</vt:lpstr>
      <vt:lpstr>OAP</vt:lpstr>
      <vt:lpstr>OCI</vt:lpstr>
      <vt:lpstr>SG</vt:lpstr>
      <vt:lpstr>OFL</vt:lpstr>
      <vt:lpstr>CT31</vt:lpstr>
      <vt:lpstr>CT32</vt:lpstr>
      <vt:lpstr>GF02-D</vt:lpstr>
      <vt:lpstr>CT25</vt:lpstr>
      <vt:lpstr>CT29</vt:lpstr>
      <vt:lpstr>JC01</vt:lpstr>
      <vt:lpstr>JC02</vt:lpstr>
      <vt:lpstr>JC03</vt:lpstr>
      <vt:lpstr>JC04</vt:lpstr>
      <vt:lpstr>JC05</vt:lpstr>
      <vt:lpstr>JC06</vt:lpstr>
      <vt:lpstr>JC07</vt:lpstr>
      <vt:lpstr>JC08</vt:lpstr>
      <vt:lpstr>TR06</vt:lpstr>
      <vt:lpstr>SE35</vt:lpstr>
      <vt:lpstr>AT12</vt:lpstr>
      <vt:lpstr>CT04</vt:lpstr>
      <vt:lpstr>CT28</vt:lpstr>
      <vt:lpstr>SE27</vt:lpstr>
      <vt:lpstr>SE47</vt:lpstr>
      <vt:lpstr>SE28</vt:lpstr>
      <vt:lpstr>CT21</vt:lpstr>
      <vt:lpstr>AT05</vt:lpstr>
      <vt:lpstr>AT11</vt:lpstr>
      <vt:lpstr>SE11</vt:lpstr>
      <vt:lpstr>DE09</vt:lpstr>
      <vt:lpstr>SE33</vt:lpstr>
      <vt:lpstr>SE34</vt:lpstr>
      <vt:lpstr>SE48</vt:lpstr>
      <vt:lpstr>SE49</vt:lpstr>
      <vt:lpstr>SE50</vt:lpstr>
      <vt:lpstr>SE31</vt:lpstr>
      <vt:lpstr>RL18</vt:lpstr>
      <vt:lpstr>RL10</vt:lpstr>
      <vt:lpstr>RL23</vt:lpstr>
      <vt:lpstr>AT04</vt:lpstr>
      <vt:lpstr>RL04</vt:lpstr>
      <vt:lpstr>RL03</vt:lpstr>
      <vt:lpstr>RL06</vt:lpstr>
      <vt:lpstr>RL24</vt:lpstr>
      <vt:lpstr>SE43</vt:lpstr>
      <vt:lpstr>SE42</vt:lpstr>
      <vt:lpstr>RL19</vt:lpstr>
      <vt:lpstr>RL20</vt:lpstr>
      <vt:lpstr>RL11</vt:lpstr>
      <vt:lpstr>SE22</vt:lpstr>
      <vt:lpstr>SE23</vt:lpstr>
      <vt:lpstr>AT09</vt:lpstr>
      <vt:lpstr>AT02</vt:lpstr>
      <vt:lpstr>AT03</vt:lpstr>
      <vt:lpstr>SE06</vt:lpstr>
      <vt:lpstr>SE05</vt:lpstr>
      <vt:lpstr>TR05</vt:lpstr>
      <vt:lpstr>TR07</vt:lpstr>
      <vt:lpstr>SE38</vt:lpstr>
      <vt:lpstr>SE39</vt:lpstr>
      <vt:lpstr>SE26</vt:lpstr>
      <vt:lpstr>CT23</vt:lpstr>
      <vt:lpstr>CT24</vt:lpstr>
      <vt:lpstr>TR04</vt:lpstr>
      <vt:lpstr>CT05</vt:lpstr>
      <vt:lpstr>CT06</vt:lpstr>
      <vt:lpstr>CT07</vt:lpstr>
      <vt:lpstr>DI07</vt:lpstr>
      <vt:lpstr>DI09</vt:lpstr>
      <vt:lpstr>DI10</vt:lpstr>
      <vt:lpstr>DE10</vt:lpstr>
      <vt:lpstr>DE16</vt:lpstr>
      <vt:lpstr>DE17</vt:lpstr>
      <vt:lpstr>DI34</vt:lpstr>
      <vt:lpstr>DI38</vt:lpstr>
      <vt:lpstr>DI31</vt:lpstr>
      <vt:lpstr>DI36</vt:lpstr>
      <vt:lpstr>DE13</vt:lpstr>
      <vt:lpstr>DE14</vt:lpstr>
      <vt:lpstr>DE18</vt:lpstr>
      <vt:lpstr>GJ13</vt:lpstr>
      <vt:lpstr>GJ02</vt:lpstr>
      <vt:lpstr>CT15</vt:lpstr>
      <vt:lpstr>CT16</vt:lpstr>
      <vt:lpstr>GJ04</vt:lpstr>
      <vt:lpstr>GJ05</vt:lpstr>
      <vt:lpstr>GJ06</vt:lpstr>
      <vt:lpstr>GJ07</vt:lpstr>
      <vt:lpstr>GJ14</vt:lpstr>
      <vt:lpstr>GJ15</vt:lpstr>
      <vt:lpstr>GJ12</vt:lpstr>
      <vt:lpstr>GJ10</vt:lpstr>
      <vt:lpstr>DI14</vt:lpstr>
      <vt:lpstr>DI35</vt:lpstr>
      <vt:lpstr>DI17</vt:lpstr>
      <vt:lpstr>GM01</vt:lpstr>
      <vt:lpstr>GM06</vt:lpstr>
      <vt:lpstr>GM03</vt:lpstr>
      <vt:lpstr>GM07</vt:lpstr>
      <vt:lpstr>DE04</vt:lpstr>
      <vt:lpstr>DE01</vt:lpstr>
      <vt:lpstr>GM04</vt:lpstr>
      <vt:lpstr>GM05</vt:lpstr>
      <vt:lpstr>PE01</vt:lpstr>
      <vt:lpstr>PE02</vt:lpstr>
      <vt:lpstr>PE03</vt:lpstr>
      <vt:lpstr>PE04</vt:lpstr>
      <vt:lpstr>PE05</vt:lpstr>
      <vt:lpstr>AC04</vt:lpstr>
      <vt:lpstr>AC05</vt:lpstr>
      <vt:lpstr>AC06</vt:lpstr>
      <vt:lpstr>AC07</vt:lpstr>
      <vt:lpstr>DI28</vt:lpstr>
      <vt:lpstr>BS01</vt:lpstr>
      <vt:lpstr>BS04</vt:lpstr>
      <vt:lpstr>BS08</vt:lpstr>
      <vt:lpstr>BS09</vt:lpstr>
      <vt:lpstr>BS05</vt:lpstr>
      <vt:lpstr>BS06</vt:lpstr>
      <vt:lpstr>DI23</vt:lpstr>
      <vt:lpstr>DI24</vt:lpstr>
      <vt:lpstr>DI33</vt:lpstr>
      <vt:lpstr>DI18</vt:lpstr>
      <vt:lpstr>DI20</vt:lpstr>
      <vt:lpstr>GF01</vt:lpstr>
      <vt:lpstr>GF02</vt:lpstr>
      <vt:lpstr>GF07</vt:lpstr>
      <vt:lpstr>GF08</vt:lpstr>
      <vt:lpstr>GF09</vt:lpstr>
      <vt:lpstr>GF11</vt:lpstr>
      <vt:lpstr>CT17</vt:lpstr>
      <vt:lpstr>SE25</vt:lpstr>
      <vt:lpstr>SE46</vt:lpstr>
      <vt:lpstr>DATOS</vt:lpstr>
      <vt:lpstr>'AC04'!Área_de_impresión</vt:lpstr>
      <vt:lpstr>'AC05'!Área_de_impresión</vt:lpstr>
      <vt:lpstr>'AC06'!Área_de_impresión</vt:lpstr>
      <vt:lpstr>'AC07'!Área_de_impresión</vt:lpstr>
      <vt:lpstr>'AT02'!Área_de_impresión</vt:lpstr>
      <vt:lpstr>'AT03'!Área_de_impresión</vt:lpstr>
      <vt:lpstr>'AT04'!Área_de_impresión</vt:lpstr>
      <vt:lpstr>'AT05'!Área_de_impresión</vt:lpstr>
      <vt:lpstr>'AT09'!Área_de_impresión</vt:lpstr>
      <vt:lpstr>'AT11'!Área_de_impresión</vt:lpstr>
      <vt:lpstr>'AT12'!Área_de_impresión</vt:lpstr>
      <vt:lpstr>'BS01'!Área_de_impresión</vt:lpstr>
      <vt:lpstr>'BS04'!Área_de_impresión</vt:lpstr>
      <vt:lpstr>'BS05'!Área_de_impresión</vt:lpstr>
      <vt:lpstr>'BS06'!Área_de_impresión</vt:lpstr>
      <vt:lpstr>'BS08'!Área_de_impresión</vt:lpstr>
      <vt:lpstr>'BS09'!Área_de_impresión</vt:lpstr>
      <vt:lpstr>'CT04'!Área_de_impresión</vt:lpstr>
      <vt:lpstr>'CT05'!Área_de_impresión</vt:lpstr>
      <vt:lpstr>'CT06'!Área_de_impresión</vt:lpstr>
      <vt:lpstr>'CT07'!Área_de_impresión</vt:lpstr>
      <vt:lpstr>'CT15'!Área_de_impresión</vt:lpstr>
      <vt:lpstr>'CT16'!Área_de_impresión</vt:lpstr>
      <vt:lpstr>'CT17'!Área_de_impresión</vt:lpstr>
      <vt:lpstr>'CT21'!Área_de_impresión</vt:lpstr>
      <vt:lpstr>'CT23'!Área_de_impresión</vt:lpstr>
      <vt:lpstr>'CT24'!Área_de_impresión</vt:lpstr>
      <vt:lpstr>'CT25'!Área_de_impresión</vt:lpstr>
      <vt:lpstr>'CT28'!Área_de_impresión</vt:lpstr>
      <vt:lpstr>'CT29'!Área_de_impresión</vt:lpstr>
      <vt:lpstr>'CT31'!Área_de_impresión</vt:lpstr>
      <vt:lpstr>'CT32'!Área_de_impresión</vt:lpstr>
      <vt:lpstr>'DE01'!Área_de_impresión</vt:lpstr>
      <vt:lpstr>'DE04'!Área_de_impresión</vt:lpstr>
      <vt:lpstr>'DE09'!Área_de_impresión</vt:lpstr>
      <vt:lpstr>'DE10'!Área_de_impresión</vt:lpstr>
      <vt:lpstr>'DE14'!Área_de_impresión</vt:lpstr>
      <vt:lpstr>'DE16'!Área_de_impresión</vt:lpstr>
      <vt:lpstr>'DE17'!Área_de_impresión</vt:lpstr>
      <vt:lpstr>'DE18'!Área_de_impresión</vt:lpstr>
      <vt:lpstr>'DI07'!Área_de_impresión</vt:lpstr>
      <vt:lpstr>'DI09'!Área_de_impresión</vt:lpstr>
      <vt:lpstr>'DI10'!Área_de_impresión</vt:lpstr>
      <vt:lpstr>'DI14'!Área_de_impresión</vt:lpstr>
      <vt:lpstr>'DI17'!Área_de_impresión</vt:lpstr>
      <vt:lpstr>'DI18'!Área_de_impresión</vt:lpstr>
      <vt:lpstr>'DI20'!Área_de_impresión</vt:lpstr>
      <vt:lpstr>'DI23'!Área_de_impresión</vt:lpstr>
      <vt:lpstr>'DI24'!Área_de_impresión</vt:lpstr>
      <vt:lpstr>'DI28'!Área_de_impresión</vt:lpstr>
      <vt:lpstr>'DI31'!Área_de_impresión</vt:lpstr>
      <vt:lpstr>'DI33'!Área_de_impresión</vt:lpstr>
      <vt:lpstr>'DI34'!Área_de_impresión</vt:lpstr>
      <vt:lpstr>'DI35'!Área_de_impresión</vt:lpstr>
      <vt:lpstr>'DI36'!Área_de_impresión</vt:lpstr>
      <vt:lpstr>'DI38'!Área_de_impresión</vt:lpstr>
      <vt:lpstr>'GF01'!Área_de_impresión</vt:lpstr>
      <vt:lpstr>'GF02'!Área_de_impresión</vt:lpstr>
      <vt:lpstr>'GF02-D'!Área_de_impresión</vt:lpstr>
      <vt:lpstr>'GF07'!Área_de_impresión</vt:lpstr>
      <vt:lpstr>'GF08'!Área_de_impresión</vt:lpstr>
      <vt:lpstr>'GF09'!Área_de_impresión</vt:lpstr>
      <vt:lpstr>'GF11'!Área_de_impresión</vt:lpstr>
      <vt:lpstr>'GJ02'!Área_de_impresión</vt:lpstr>
      <vt:lpstr>'GJ04'!Área_de_impresión</vt:lpstr>
      <vt:lpstr>'GJ05'!Área_de_impresión</vt:lpstr>
      <vt:lpstr>'GJ06'!Área_de_impresión</vt:lpstr>
      <vt:lpstr>'GJ07'!Área_de_impresión</vt:lpstr>
      <vt:lpstr>'GJ10'!Área_de_impresión</vt:lpstr>
      <vt:lpstr>'GJ12'!Área_de_impresión</vt:lpstr>
      <vt:lpstr>'GJ13'!Área_de_impresión</vt:lpstr>
      <vt:lpstr>'GJ14'!Área_de_impresión</vt:lpstr>
      <vt:lpstr>'GJ15'!Área_de_impresión</vt:lpstr>
      <vt:lpstr>'GM01'!Área_de_impresión</vt:lpstr>
      <vt:lpstr>'GM03'!Área_de_impresión</vt:lpstr>
      <vt:lpstr>'GM04'!Área_de_impresión</vt:lpstr>
      <vt:lpstr>'GM05'!Área_de_impresión</vt:lpstr>
      <vt:lpstr>'GM06'!Área_de_impresión</vt:lpstr>
      <vt:lpstr>'GM07'!Área_de_impresión</vt:lpstr>
      <vt:lpstr>'JC01'!Área_de_impresión</vt:lpstr>
      <vt:lpstr>'JC02'!Área_de_impresión</vt:lpstr>
      <vt:lpstr>'JC03'!Área_de_impresión</vt:lpstr>
      <vt:lpstr>'JC04'!Área_de_impresión</vt:lpstr>
      <vt:lpstr>'JC05'!Área_de_impresión</vt:lpstr>
      <vt:lpstr>'JC06'!Área_de_impresión</vt:lpstr>
      <vt:lpstr>'JC07'!Área_de_impresión</vt:lpstr>
      <vt:lpstr>'JC08'!Área_de_impresión</vt:lpstr>
      <vt:lpstr>'PE01'!Área_de_impresión</vt:lpstr>
      <vt:lpstr>'PE02'!Área_de_impresión</vt:lpstr>
      <vt:lpstr>'PE03'!Área_de_impresión</vt:lpstr>
      <vt:lpstr>'PE04'!Área_de_impresión</vt:lpstr>
      <vt:lpstr>'PE05'!Área_de_impresión</vt:lpstr>
      <vt:lpstr>PLANTILLA!Área_de_impresión</vt:lpstr>
      <vt:lpstr>'RL03'!Área_de_impresión</vt:lpstr>
      <vt:lpstr>'RL04'!Área_de_impresión</vt:lpstr>
      <vt:lpstr>'RL06'!Área_de_impresión</vt:lpstr>
      <vt:lpstr>'RL10'!Área_de_impresión</vt:lpstr>
      <vt:lpstr>'RL11'!Área_de_impresión</vt:lpstr>
      <vt:lpstr>'RL18'!Área_de_impresión</vt:lpstr>
      <vt:lpstr>'RL19'!Área_de_impresión</vt:lpstr>
      <vt:lpstr>'RL20'!Área_de_impresión</vt:lpstr>
      <vt:lpstr>'RL23'!Área_de_impresión</vt:lpstr>
      <vt:lpstr>'RL24'!Área_de_impresión</vt:lpstr>
      <vt:lpstr>'SE05'!Área_de_impresión</vt:lpstr>
      <vt:lpstr>'SE06'!Área_de_impresión</vt:lpstr>
      <vt:lpstr>'SE11'!Área_de_impresión</vt:lpstr>
      <vt:lpstr>'SE22'!Área_de_impresión</vt:lpstr>
      <vt:lpstr>'SE23'!Área_de_impresión</vt:lpstr>
      <vt:lpstr>'SE25'!Área_de_impresión</vt:lpstr>
      <vt:lpstr>'SE26'!Área_de_impresión</vt:lpstr>
      <vt:lpstr>'SE27'!Área_de_impresión</vt:lpstr>
      <vt:lpstr>'SE28'!Área_de_impresión</vt:lpstr>
      <vt:lpstr>'SE31'!Área_de_impresión</vt:lpstr>
      <vt:lpstr>'SE33'!Área_de_impresión</vt:lpstr>
      <vt:lpstr>'SE34'!Área_de_impresión</vt:lpstr>
      <vt:lpstr>'SE35'!Área_de_impresión</vt:lpstr>
      <vt:lpstr>'SE38'!Área_de_impresión</vt:lpstr>
      <vt:lpstr>'SE39'!Área_de_impresión</vt:lpstr>
      <vt:lpstr>'SE42'!Área_de_impresión</vt:lpstr>
      <vt:lpstr>'SE43'!Área_de_impresión</vt:lpstr>
      <vt:lpstr>'SE46'!Área_de_impresión</vt:lpstr>
      <vt:lpstr>'SE47'!Área_de_impresión</vt:lpstr>
      <vt:lpstr>'SE48'!Área_de_impresión</vt:lpstr>
      <vt:lpstr>'SE49'!Área_de_impresión</vt:lpstr>
      <vt:lpstr>'SE50'!Área_de_impresión</vt:lpstr>
      <vt:lpstr>'TR04'!Área_de_impresión</vt:lpstr>
      <vt:lpstr>'TR05'!Área_de_impresión</vt:lpstr>
      <vt:lpstr>'TR06'!Área_de_impresión</vt:lpstr>
      <vt:lpstr>'TR07'!Área_de_impresión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Plan Anual de Gestión 2025</dc:title>
  <dc:subject/>
  <dc:creator>Monica.Salazar@supersalud.gov.co</dc:creator>
  <cp:keywords/>
  <dc:description/>
  <cp:lastModifiedBy>Adriana Maria Guerrero Ladino</cp:lastModifiedBy>
  <cp:revision/>
  <cp:lastPrinted>2025-11-01T13:20:08Z</cp:lastPrinted>
  <dcterms:created xsi:type="dcterms:W3CDTF">2019-04-24T17:51:23Z</dcterms:created>
  <dcterms:modified xsi:type="dcterms:W3CDTF">2026-02-20T13:24:24Z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0x010100E869469811132C4797680B6FFDEAE3E2003518E852C274C64E8DED795FC7B5E2B3</vt:lpwstr>
  </property>
  <property fmtid="{D5CDD505-2E9C-101B-9397-08002B2CF9AE}" pid="3" name="_dlc_DocIdItemGuid">
    <vt:lpwstr>8a17edd5-d8e9-4e9d-9713-000c0749f227</vt:lpwstr>
  </property>
</Properties>
</file>